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88" yWindow="336" windowWidth="10476" windowHeight="3828" tabRatio="761"/>
  </bookViews>
  <sheets>
    <sheet name="All Applications" sheetId="1" r:id="rId1"/>
  </sheets>
  <definedNames>
    <definedName name="_xlnm.Print_Area" localSheetId="0">'All Applications'!$A$1:$AD$22</definedName>
    <definedName name="_xlnm.Print_Titles" localSheetId="0">'All Applications'!$A:$B,'All Applications'!$1:$1</definedName>
  </definedNames>
  <calcPr calcId="171027"/>
  <fileRecoveryPr autoRecover="0"/>
</workbook>
</file>

<file path=xl/calcChain.xml><?xml version="1.0" encoding="utf-8"?>
<calcChain xmlns="http://schemas.openxmlformats.org/spreadsheetml/2006/main">
  <c r="M3" i="1" l="1"/>
  <c r="P3" i="1"/>
  <c r="Q3" i="1" s="1"/>
  <c r="R3" i="1"/>
  <c r="T3" i="1"/>
  <c r="U3" i="1"/>
  <c r="Z3" i="1"/>
  <c r="M4" i="1"/>
  <c r="P4" i="1"/>
  <c r="Q4" i="1" s="1"/>
  <c r="R4" i="1"/>
  <c r="T4" i="1"/>
  <c r="U4" i="1"/>
  <c r="Z4" i="1"/>
  <c r="M5" i="1"/>
  <c r="P5" i="1"/>
  <c r="Q5" i="1" s="1"/>
  <c r="R5" i="1"/>
  <c r="T5" i="1"/>
  <c r="U5" i="1"/>
  <c r="Z5" i="1"/>
  <c r="M6" i="1"/>
  <c r="P6" i="1"/>
  <c r="R6" i="1"/>
  <c r="T6" i="1"/>
  <c r="U6" i="1"/>
  <c r="Z6" i="1"/>
  <c r="M7" i="1"/>
  <c r="P7" i="1"/>
  <c r="Q7" i="1"/>
  <c r="R7" i="1"/>
  <c r="T7" i="1"/>
  <c r="U7" i="1"/>
  <c r="Z7" i="1"/>
  <c r="M8" i="1"/>
  <c r="P8" i="1"/>
  <c r="Q8" i="1" s="1"/>
  <c r="R8" i="1"/>
  <c r="T8" i="1"/>
  <c r="U8" i="1"/>
  <c r="Z8" i="1"/>
  <c r="M9" i="1"/>
  <c r="P9" i="1"/>
  <c r="Q9" i="1" s="1"/>
  <c r="R9" i="1"/>
  <c r="T9" i="1"/>
  <c r="U9" i="1"/>
  <c r="Y9" i="1"/>
  <c r="M10" i="1"/>
  <c r="P10" i="1"/>
  <c r="R10" i="1"/>
  <c r="T10" i="1"/>
  <c r="U10" i="1"/>
  <c r="Z10" i="1"/>
  <c r="M11" i="1"/>
  <c r="P11" i="1"/>
  <c r="Q11" i="1"/>
  <c r="R11" i="1"/>
  <c r="T11" i="1"/>
  <c r="U11" i="1"/>
  <c r="Z11" i="1"/>
  <c r="M12" i="1"/>
  <c r="P12" i="1"/>
  <c r="Q12" i="1" s="1"/>
  <c r="R12" i="1"/>
  <c r="T12" i="1"/>
  <c r="U12" i="1"/>
  <c r="Z12" i="1"/>
  <c r="M13" i="1"/>
  <c r="P13" i="1"/>
  <c r="Q13" i="1" s="1"/>
  <c r="R13" i="1"/>
  <c r="T13" i="1"/>
  <c r="U13" i="1"/>
  <c r="Z13" i="1"/>
  <c r="M15" i="1"/>
  <c r="P15" i="1"/>
  <c r="Q15" i="1"/>
  <c r="R15" i="1"/>
  <c r="T15" i="1"/>
  <c r="U15" i="1"/>
  <c r="Y15" i="1"/>
  <c r="M16" i="1"/>
  <c r="P16" i="1"/>
  <c r="Q16" i="1" s="1"/>
  <c r="R16" i="1"/>
  <c r="T16" i="1"/>
  <c r="U16" i="1"/>
  <c r="Z16" i="1"/>
  <c r="Y4" i="1"/>
  <c r="Z9" i="1"/>
  <c r="Y5" i="1"/>
  <c r="Y13" i="1"/>
  <c r="Y11" i="1"/>
  <c r="Y16" i="1"/>
  <c r="Y10" i="1"/>
  <c r="Y6" i="1"/>
  <c r="Z15" i="1"/>
  <c r="Y7" i="1"/>
  <c r="Y3" i="1"/>
  <c r="S12" i="1" l="1"/>
  <c r="S3" i="1"/>
  <c r="S8" i="1"/>
  <c r="W8" i="1" s="1"/>
  <c r="S16" i="1"/>
  <c r="W16" i="1" s="1"/>
  <c r="W12" i="1"/>
  <c r="S4" i="1"/>
  <c r="S15" i="1"/>
  <c r="W15" i="1" s="1"/>
  <c r="Y12" i="1"/>
  <c r="Y8" i="1"/>
  <c r="W3" i="1"/>
  <c r="S11" i="1"/>
  <c r="W11" i="1" s="1"/>
  <c r="Q10" i="1"/>
  <c r="S10" i="1" s="1"/>
  <c r="W10" i="1" s="1"/>
  <c r="S7" i="1"/>
  <c r="W7" i="1" s="1"/>
  <c r="Q6" i="1"/>
  <c r="S6" i="1" s="1"/>
  <c r="W6" i="1" s="1"/>
  <c r="W4" i="1"/>
  <c r="S13" i="1"/>
  <c r="W13" i="1" s="1"/>
  <c r="S9" i="1"/>
  <c r="W9" i="1" s="1"/>
  <c r="S5" i="1"/>
  <c r="W5" i="1" s="1"/>
</calcChain>
</file>

<file path=xl/sharedStrings.xml><?xml version="1.0" encoding="utf-8"?>
<sst xmlns="http://schemas.openxmlformats.org/spreadsheetml/2006/main" count="218" uniqueCount="100">
  <si>
    <t>Application Number</t>
  </si>
  <si>
    <t>County</t>
  </si>
  <si>
    <t>Lottery Number</t>
  </si>
  <si>
    <t>Total Points</t>
  </si>
  <si>
    <t>Alachua</t>
  </si>
  <si>
    <t>Seminole</t>
  </si>
  <si>
    <t>Escambia</t>
  </si>
  <si>
    <t>Lake</t>
  </si>
  <si>
    <t>Martin</t>
  </si>
  <si>
    <t>Eligible For Funding?</t>
  </si>
  <si>
    <t>Collier</t>
  </si>
  <si>
    <t>St. Johns</t>
  </si>
  <si>
    <t>Duval</t>
  </si>
  <si>
    <t>Orange</t>
  </si>
  <si>
    <t>Palm Beach</t>
  </si>
  <si>
    <t>Total Units</t>
  </si>
  <si>
    <t>Qualifying Financial Assistance</t>
  </si>
  <si>
    <t>Florida Job Creation</t>
  </si>
  <si>
    <t>Number of Bedrooms Added</t>
  </si>
  <si>
    <t>Max Funding for Predevelopment and Credit Underwriting Costs</t>
  </si>
  <si>
    <t>Maximum Eligible Funding Award Amount</t>
  </si>
  <si>
    <t>CRH County Award Tally</t>
  </si>
  <si>
    <t>CRH or SLU?</t>
  </si>
  <si>
    <t>SLU County Award Tally</t>
  </si>
  <si>
    <t>Proposed number of Residents</t>
  </si>
  <si>
    <t>Involves Demolition?</t>
  </si>
  <si>
    <t>Shared Housing?</t>
  </si>
  <si>
    <t>Name of proposed Development</t>
  </si>
  <si>
    <t>Contact Name</t>
  </si>
  <si>
    <t>Name Of Applicant</t>
  </si>
  <si>
    <t>Dev Category</t>
  </si>
  <si>
    <t>Bathroom Facilites Added?</t>
  </si>
  <si>
    <t>If Renovation existing CRH, additional Funding for adding Bedrooms</t>
  </si>
  <si>
    <t>If Renovation existing CRH and adding Bedrooms, additional funding for adding bathrooms?</t>
  </si>
  <si>
    <t>If Renovation of CRH with 6 Residents, add $25,000</t>
  </si>
  <si>
    <t>If New Construction and involves Demolition, add $10,000</t>
  </si>
  <si>
    <t>CRH that is IB?</t>
  </si>
  <si>
    <t>2018-002G</t>
  </si>
  <si>
    <t>2018-003G</t>
  </si>
  <si>
    <t>2018-004G</t>
  </si>
  <si>
    <t>2018-005G</t>
  </si>
  <si>
    <t>2018-006G</t>
  </si>
  <si>
    <t>2018-007G</t>
  </si>
  <si>
    <t>2018-008G</t>
  </si>
  <si>
    <t>2018-009G</t>
  </si>
  <si>
    <t>2018-010G</t>
  </si>
  <si>
    <t>2018-011G</t>
  </si>
  <si>
    <t>2018-013G</t>
  </si>
  <si>
    <t>2018-014G</t>
  </si>
  <si>
    <t>Segovia Group Home</t>
  </si>
  <si>
    <t>The Buttonwood Home at The Arc of Alachua County</t>
  </si>
  <si>
    <t>Grove House</t>
  </si>
  <si>
    <t>The Tina Philips Home</t>
  </si>
  <si>
    <t>Winter Park Group Home</t>
  </si>
  <si>
    <t>Sipporta Group Home</t>
  </si>
  <si>
    <t>Independence Place</t>
  </si>
  <si>
    <t>Home in the Set</t>
  </si>
  <si>
    <t>Miami Road Group Home</t>
  </si>
  <si>
    <t>The Eagles Nest</t>
  </si>
  <si>
    <t>South Martin House</t>
  </si>
  <si>
    <t>The Arc Gateway LeJeune House</t>
  </si>
  <si>
    <t>South Florida Boost</t>
  </si>
  <si>
    <t>David M Vinson</t>
  </si>
  <si>
    <t>The Arc of the St. Johns</t>
  </si>
  <si>
    <t>Y</t>
  </si>
  <si>
    <t>Ren</t>
  </si>
  <si>
    <t>N</t>
  </si>
  <si>
    <t>CRH</t>
  </si>
  <si>
    <t/>
  </si>
  <si>
    <t>Judi L. Scarborough</t>
  </si>
  <si>
    <t>The Arc of Alachua County, Inc.</t>
  </si>
  <si>
    <t>NC</t>
  </si>
  <si>
    <t>Jim P. Whittaker</t>
  </si>
  <si>
    <t>The Arc Jacksonville, Inc.</t>
  </si>
  <si>
    <t>Jean-Marie Moore Moore</t>
  </si>
  <si>
    <t>Palm Beach Habilitation Center, Inc.</t>
  </si>
  <si>
    <t>Sharon L Gossman</t>
  </si>
  <si>
    <t>Central Florida Group Homes, L.L.C. (Central Florida Group Homes, L.L.C. is Limited Liability Company whose sole member is Central Florida Communities, Inc.)</t>
  </si>
  <si>
    <t>Russell J. Greene</t>
  </si>
  <si>
    <t>The Arc of Palm Beach County, Inc.</t>
  </si>
  <si>
    <t>Sheryl Soukup</t>
  </si>
  <si>
    <t>Residential Options of Florida, Inc.</t>
  </si>
  <si>
    <t>Rehab</t>
  </si>
  <si>
    <t>SLU</t>
  </si>
  <si>
    <t>Kathryn S Spencer</t>
  </si>
  <si>
    <t>Gulfstream Goodwill Industries, Inc.</t>
  </si>
  <si>
    <t>John R Riehm</t>
  </si>
  <si>
    <t>The Arc Sunrise of Central Florida aka SunriseArc, Inc</t>
  </si>
  <si>
    <t>Keith W Muniz</t>
  </si>
  <si>
    <t>ARC of Martin County, Inc.</t>
  </si>
  <si>
    <t>Cathy Lauterbach</t>
  </si>
  <si>
    <t>The Arc Gateway, Inc.</t>
  </si>
  <si>
    <t>Calculation for Base Award</t>
  </si>
  <si>
    <t>Base Award (Columns M+P+Q+R)</t>
  </si>
  <si>
    <t>2018-012G*</t>
  </si>
  <si>
    <t>*2018-012G Maximum Eligible Funding Award Amount changed as a result of scoring.</t>
  </si>
  <si>
    <t>Eligible Applications</t>
  </si>
  <si>
    <t>Ineligible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</si>
  <si>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</si>
  <si>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October 27, 2017,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</si>
</sst>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3" fontId="5" fillId="0" borderId="0" xfId="1" applyFont="1" applyFill="1" applyAlignment="1">
      <alignment horizontal="left" vertical="center"/>
    </xf>
    <xf numFmtId="44" fontId="6" fillId="0" borderId="0" xfId="2" applyFont="1" applyAlignment="1">
      <alignment vertical="center"/>
    </xf>
    <xf numFmtId="43" fontId="4" fillId="0" borderId="0" xfId="1" applyFont="1" applyFill="1" applyAlignment="1">
      <alignment horizontal="center" vertical="center"/>
    </xf>
    <xf numFmtId="44" fontId="4" fillId="0" borderId="0" xfId="2" applyFont="1" applyAlignment="1">
      <alignment vertical="center"/>
    </xf>
    <xf numFmtId="43" fontId="4" fillId="0" borderId="0" xfId="1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7">
    <cellStyle name="Comma" xfId="1" builtinId="3"/>
    <cellStyle name="Comma 2" xfId="6"/>
    <cellStyle name="Currency" xfId="2" builtinId="4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99CC"/>
      <color rgb="FF66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showGridLines="0" tabSelected="1" zoomScale="90" zoomScaleNormal="90" zoomScaleSheetLayoutView="80" workbookViewId="0">
      <pane xSplit="2" ySplit="1" topLeftCell="C8" activePane="bottomRight" state="frozen"/>
      <selection pane="topRight" activeCell="C1" sqref="C1"/>
      <selection pane="bottomLeft" activeCell="A9" sqref="A9"/>
      <selection pane="bottomRight" activeCell="A21" sqref="A21:AC21"/>
    </sheetView>
  </sheetViews>
  <sheetFormatPr defaultColWidth="9.33203125" defaultRowHeight="13.2" x14ac:dyDescent="0.25"/>
  <cols>
    <col min="1" max="1" width="11.6640625" style="13" customWidth="1"/>
    <col min="2" max="2" width="20.88671875" style="15" customWidth="1"/>
    <col min="3" max="3" width="10.33203125" style="13" customWidth="1"/>
    <col min="4" max="4" width="14.33203125" style="13" customWidth="1"/>
    <col min="5" max="5" width="28.21875" style="16" customWidth="1"/>
    <col min="6" max="6" width="10.109375" style="19" hidden="1" customWidth="1"/>
    <col min="7" max="8" width="5.88671875" style="16" customWidth="1"/>
    <col min="9" max="9" width="8.109375" style="16" customWidth="1"/>
    <col min="10" max="10" width="9.77734375" style="16" customWidth="1"/>
    <col min="11" max="11" width="9.6640625" style="16" hidden="1" customWidth="1"/>
    <col min="12" max="12" width="6.44140625" style="16" hidden="1" customWidth="1"/>
    <col min="13" max="13" width="10.88671875" style="18" hidden="1" customWidth="1"/>
    <col min="14" max="14" width="9.6640625" style="18" hidden="1" customWidth="1"/>
    <col min="15" max="15" width="9" style="16" hidden="1" customWidth="1"/>
    <col min="16" max="16" width="13.88671875" style="13" hidden="1" customWidth="1"/>
    <col min="17" max="17" width="19.6640625" style="13" hidden="1" customWidth="1"/>
    <col min="18" max="20" width="13.109375" style="13" hidden="1" customWidth="1"/>
    <col min="21" max="21" width="12.44140625" style="21" hidden="1" customWidth="1"/>
    <col min="22" max="22" width="13.109375" style="13" hidden="1" customWidth="1"/>
    <col min="23" max="23" width="11.6640625" style="13" customWidth="1"/>
    <col min="24" max="24" width="8.109375" style="13" customWidth="1"/>
    <col min="25" max="25" width="8.33203125" style="13" hidden="1" customWidth="1"/>
    <col min="26" max="26" width="7.5546875" style="13" hidden="1" customWidth="1"/>
    <col min="27" max="27" width="6.6640625" style="13" customWidth="1"/>
    <col min="28" max="28" width="9" style="13" customWidth="1"/>
    <col min="29" max="29" width="9.5546875" style="13" customWidth="1"/>
    <col min="30" max="30" width="7.5546875" style="13" customWidth="1"/>
    <col min="31" max="16384" width="9.33203125" style="13"/>
  </cols>
  <sheetData>
    <row r="1" spans="1:30" s="4" customFormat="1" ht="66" customHeight="1" x14ac:dyDescent="0.25">
      <c r="A1" s="1" t="s">
        <v>0</v>
      </c>
      <c r="B1" s="1" t="s">
        <v>27</v>
      </c>
      <c r="C1" s="1" t="s">
        <v>1</v>
      </c>
      <c r="D1" s="1" t="s">
        <v>28</v>
      </c>
      <c r="E1" s="1" t="s">
        <v>29</v>
      </c>
      <c r="F1" s="1" t="s">
        <v>25</v>
      </c>
      <c r="G1" s="1" t="s">
        <v>22</v>
      </c>
      <c r="H1" s="1" t="s">
        <v>36</v>
      </c>
      <c r="I1" s="1" t="s">
        <v>26</v>
      </c>
      <c r="J1" s="1" t="s">
        <v>30</v>
      </c>
      <c r="K1" s="1" t="s">
        <v>24</v>
      </c>
      <c r="L1" s="1" t="s">
        <v>15</v>
      </c>
      <c r="M1" s="1" t="s">
        <v>92</v>
      </c>
      <c r="N1" s="1" t="s">
        <v>18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93</v>
      </c>
      <c r="T1" s="1" t="s">
        <v>35</v>
      </c>
      <c r="U1" s="2" t="s">
        <v>61</v>
      </c>
      <c r="V1" s="1" t="s">
        <v>19</v>
      </c>
      <c r="W1" s="1" t="s">
        <v>20</v>
      </c>
      <c r="X1" s="3" t="s">
        <v>9</v>
      </c>
      <c r="Y1" s="3" t="s">
        <v>21</v>
      </c>
      <c r="Z1" s="3" t="s">
        <v>23</v>
      </c>
      <c r="AA1" s="3" t="s">
        <v>3</v>
      </c>
      <c r="AB1" s="3" t="s">
        <v>16</v>
      </c>
      <c r="AC1" s="3" t="s">
        <v>17</v>
      </c>
      <c r="AD1" s="3" t="s">
        <v>2</v>
      </c>
    </row>
    <row r="2" spans="1:30" s="4" customFormat="1" ht="25.2" customHeight="1" x14ac:dyDescent="0.25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" x14ac:dyDescent="0.25">
      <c r="A3" s="5" t="s">
        <v>37</v>
      </c>
      <c r="B3" s="5" t="s">
        <v>49</v>
      </c>
      <c r="C3" s="5" t="s">
        <v>11</v>
      </c>
      <c r="D3" s="5" t="s">
        <v>62</v>
      </c>
      <c r="E3" s="5" t="s">
        <v>63</v>
      </c>
      <c r="F3" s="6" t="s">
        <v>66</v>
      </c>
      <c r="G3" s="6" t="s">
        <v>67</v>
      </c>
      <c r="H3" s="6" t="s">
        <v>66</v>
      </c>
      <c r="I3" s="6" t="s">
        <v>64</v>
      </c>
      <c r="J3" s="6" t="s">
        <v>65</v>
      </c>
      <c r="K3" s="6">
        <v>6</v>
      </c>
      <c r="L3" s="6">
        <v>1</v>
      </c>
      <c r="M3" s="7">
        <f t="shared" ref="M3:M13" si="0">IF(AND(G3="CRH",J3&lt;&gt;"Ren",K3=6),400000,IF(AND(G3="SLU",I3="N",L3=3),235000,IF(AND(G3="SLU",I3="N",L3=6),500000,IF(J3="ren",K3*14000,IF(K3&gt;=9,500000,IF(K3&gt;=6,395000,IF(K3=5,340000,IF(K3=4,290000,235000))))))))</f>
        <v>84000</v>
      </c>
      <c r="N3" s="6">
        <v>1</v>
      </c>
      <c r="O3" s="6" t="s">
        <v>66</v>
      </c>
      <c r="P3" s="7">
        <f t="shared" ref="P3:P13" si="1">IF(AND(J3="Ren",G3="CRH",N3=1),32000,IF(AND(J3="Ren",G3="CRH",N3=2),52000,IF(AND(J3="Ren",G3="CRH",N3=3),72000,0)))</f>
        <v>32000</v>
      </c>
      <c r="Q3" s="7">
        <f t="shared" ref="Q3:Q13" si="2">IF(AND(P3&gt;0,O3="Y"),15000,0)</f>
        <v>0</v>
      </c>
      <c r="R3" s="7">
        <f t="shared" ref="R3:R13" si="3">IF(AND(J3="Ren",G3="CRH",K3=6),25000,0)</f>
        <v>25000</v>
      </c>
      <c r="S3" s="7">
        <f t="shared" ref="S3:S13" si="4">SUM(P3:R3)+M3</f>
        <v>141000</v>
      </c>
      <c r="T3" s="7">
        <f t="shared" ref="T3:T13" si="5">IF(AND(F3="Y",J3="NC"),10000,0)</f>
        <v>0</v>
      </c>
      <c r="U3" s="8">
        <f t="shared" ref="U3:U13" si="6">IF(AND(OR(C3="Broward",C3="Miami-Dade",C3="Palm Beach"),OR(J3="NC",J3="Rehabilitation"),K3&gt;=6),100000,0)</f>
        <v>0</v>
      </c>
      <c r="V3" s="9">
        <v>17000</v>
      </c>
      <c r="W3" s="10">
        <f t="shared" ref="W3:W13" si="7">SUM(T3:V3)+S3</f>
        <v>158000</v>
      </c>
      <c r="X3" s="11" t="s">
        <v>64</v>
      </c>
      <c r="Y3" s="12" t="e">
        <f>IF(G3="SLU","N/A",LOOKUP($C3,#REF!))</f>
        <v>#REF!</v>
      </c>
      <c r="Z3" s="12" t="str">
        <f>IF(G3="CRH","N/A",LOOKUP($C3,#REF!))</f>
        <v>N/A</v>
      </c>
      <c r="AA3" s="11">
        <v>83</v>
      </c>
      <c r="AB3" s="11" t="s">
        <v>66</v>
      </c>
      <c r="AC3" s="11" t="s">
        <v>64</v>
      </c>
      <c r="AD3" s="11">
        <v>2</v>
      </c>
    </row>
    <row r="4" spans="1:30" ht="24" x14ac:dyDescent="0.25">
      <c r="A4" s="5" t="s">
        <v>38</v>
      </c>
      <c r="B4" s="5" t="s">
        <v>50</v>
      </c>
      <c r="C4" s="5" t="s">
        <v>4</v>
      </c>
      <c r="D4" s="5" t="s">
        <v>69</v>
      </c>
      <c r="E4" s="5" t="s">
        <v>70</v>
      </c>
      <c r="F4" s="6" t="s">
        <v>66</v>
      </c>
      <c r="G4" s="6" t="s">
        <v>67</v>
      </c>
      <c r="H4" s="6" t="s">
        <v>64</v>
      </c>
      <c r="I4" s="6" t="s">
        <v>64</v>
      </c>
      <c r="J4" s="6" t="s">
        <v>71</v>
      </c>
      <c r="K4" s="6">
        <v>6</v>
      </c>
      <c r="L4" s="6">
        <v>1</v>
      </c>
      <c r="M4" s="7">
        <f t="shared" si="0"/>
        <v>400000</v>
      </c>
      <c r="N4" s="6"/>
      <c r="O4" s="6" t="s">
        <v>66</v>
      </c>
      <c r="P4" s="7">
        <f t="shared" si="1"/>
        <v>0</v>
      </c>
      <c r="Q4" s="7">
        <f t="shared" si="2"/>
        <v>0</v>
      </c>
      <c r="R4" s="7">
        <f t="shared" si="3"/>
        <v>0</v>
      </c>
      <c r="S4" s="7">
        <f t="shared" si="4"/>
        <v>400000</v>
      </c>
      <c r="T4" s="7">
        <f t="shared" si="5"/>
        <v>0</v>
      </c>
      <c r="U4" s="8">
        <f t="shared" si="6"/>
        <v>0</v>
      </c>
      <c r="V4" s="9">
        <v>17000</v>
      </c>
      <c r="W4" s="10">
        <f t="shared" si="7"/>
        <v>417000</v>
      </c>
      <c r="X4" s="11" t="s">
        <v>64</v>
      </c>
      <c r="Y4" s="12" t="e">
        <f>IF(G4="SLU","N/A",LOOKUP($C4,#REF!))</f>
        <v>#REF!</v>
      </c>
      <c r="Z4" s="12" t="str">
        <f>IF(G4="CRH","N/A",LOOKUP($C4,#REF!))</f>
        <v>N/A</v>
      </c>
      <c r="AA4" s="11">
        <v>93</v>
      </c>
      <c r="AB4" s="11" t="s">
        <v>64</v>
      </c>
      <c r="AC4" s="11" t="s">
        <v>64</v>
      </c>
      <c r="AD4" s="11">
        <v>1</v>
      </c>
    </row>
    <row r="5" spans="1:30" ht="43.5" customHeight="1" x14ac:dyDescent="0.25">
      <c r="A5" s="5" t="s">
        <v>39</v>
      </c>
      <c r="B5" s="5" t="s">
        <v>51</v>
      </c>
      <c r="C5" s="5" t="s">
        <v>12</v>
      </c>
      <c r="D5" s="5" t="s">
        <v>72</v>
      </c>
      <c r="E5" s="5" t="s">
        <v>73</v>
      </c>
      <c r="F5" s="6" t="s">
        <v>66</v>
      </c>
      <c r="G5" s="6" t="s">
        <v>67</v>
      </c>
      <c r="H5" s="6" t="s">
        <v>66</v>
      </c>
      <c r="I5" s="6" t="s">
        <v>64</v>
      </c>
      <c r="J5" s="6" t="s">
        <v>71</v>
      </c>
      <c r="K5" s="6">
        <v>6</v>
      </c>
      <c r="L5" s="6">
        <v>1</v>
      </c>
      <c r="M5" s="7">
        <f t="shared" si="0"/>
        <v>400000</v>
      </c>
      <c r="N5" s="6"/>
      <c r="O5" s="6" t="s">
        <v>66</v>
      </c>
      <c r="P5" s="7">
        <f t="shared" si="1"/>
        <v>0</v>
      </c>
      <c r="Q5" s="7">
        <f t="shared" si="2"/>
        <v>0</v>
      </c>
      <c r="R5" s="7">
        <f t="shared" si="3"/>
        <v>0</v>
      </c>
      <c r="S5" s="7">
        <f t="shared" si="4"/>
        <v>400000</v>
      </c>
      <c r="T5" s="7">
        <f t="shared" si="5"/>
        <v>0</v>
      </c>
      <c r="U5" s="8">
        <f t="shared" si="6"/>
        <v>0</v>
      </c>
      <c r="V5" s="9">
        <v>17000</v>
      </c>
      <c r="W5" s="10">
        <f t="shared" si="7"/>
        <v>417000</v>
      </c>
      <c r="X5" s="11" t="s">
        <v>64</v>
      </c>
      <c r="Y5" s="12" t="e">
        <f>IF(G5="SLU","N/A",LOOKUP($C5,#REF!))</f>
        <v>#REF!</v>
      </c>
      <c r="Z5" s="12" t="str">
        <f>IF(G5="CRH","N/A",LOOKUP($C5,#REF!))</f>
        <v>N/A</v>
      </c>
      <c r="AA5" s="11">
        <v>91</v>
      </c>
      <c r="AB5" s="11" t="s">
        <v>64</v>
      </c>
      <c r="AC5" s="11" t="s">
        <v>64</v>
      </c>
      <c r="AD5" s="11">
        <v>11</v>
      </c>
    </row>
    <row r="6" spans="1:30" ht="24" x14ac:dyDescent="0.25">
      <c r="A6" s="5" t="s">
        <v>40</v>
      </c>
      <c r="B6" s="5" t="s">
        <v>52</v>
      </c>
      <c r="C6" s="5" t="s">
        <v>14</v>
      </c>
      <c r="D6" s="5" t="s">
        <v>74</v>
      </c>
      <c r="E6" s="5" t="s">
        <v>75</v>
      </c>
      <c r="F6" s="6" t="s">
        <v>64</v>
      </c>
      <c r="G6" s="6" t="s">
        <v>67</v>
      </c>
      <c r="H6" s="6" t="s">
        <v>66</v>
      </c>
      <c r="I6" s="6" t="s">
        <v>64</v>
      </c>
      <c r="J6" s="6" t="s">
        <v>71</v>
      </c>
      <c r="K6" s="6">
        <v>6</v>
      </c>
      <c r="L6" s="6">
        <v>1</v>
      </c>
      <c r="M6" s="7">
        <f t="shared" si="0"/>
        <v>400000</v>
      </c>
      <c r="N6" s="6"/>
      <c r="O6" s="6" t="s">
        <v>66</v>
      </c>
      <c r="P6" s="7">
        <f t="shared" si="1"/>
        <v>0</v>
      </c>
      <c r="Q6" s="7">
        <f t="shared" si="2"/>
        <v>0</v>
      </c>
      <c r="R6" s="7">
        <f t="shared" si="3"/>
        <v>0</v>
      </c>
      <c r="S6" s="7">
        <f t="shared" si="4"/>
        <v>400000</v>
      </c>
      <c r="T6" s="7">
        <f t="shared" si="5"/>
        <v>10000</v>
      </c>
      <c r="U6" s="8">
        <f t="shared" si="6"/>
        <v>100000</v>
      </c>
      <c r="V6" s="9">
        <v>17000</v>
      </c>
      <c r="W6" s="10">
        <f t="shared" si="7"/>
        <v>527000</v>
      </c>
      <c r="X6" s="11" t="s">
        <v>64</v>
      </c>
      <c r="Y6" s="12" t="e">
        <f>IF(G6="SLU","N/A",LOOKUP($C6,#REF!))</f>
        <v>#REF!</v>
      </c>
      <c r="Z6" s="12" t="str">
        <f>IF(G6="CRH","N/A",LOOKUP($C6,#REF!))</f>
        <v>N/A</v>
      </c>
      <c r="AA6" s="11">
        <v>75</v>
      </c>
      <c r="AB6" s="14" t="s">
        <v>64</v>
      </c>
      <c r="AC6" s="11" t="s">
        <v>64</v>
      </c>
      <c r="AD6" s="11">
        <v>9</v>
      </c>
    </row>
    <row r="7" spans="1:30" ht="60" x14ac:dyDescent="0.25">
      <c r="A7" s="5" t="s">
        <v>41</v>
      </c>
      <c r="B7" s="5" t="s">
        <v>53</v>
      </c>
      <c r="C7" s="5" t="s">
        <v>5</v>
      </c>
      <c r="D7" s="5" t="s">
        <v>76</v>
      </c>
      <c r="E7" s="5" t="s">
        <v>77</v>
      </c>
      <c r="F7" s="6" t="s">
        <v>66</v>
      </c>
      <c r="G7" s="6" t="s">
        <v>67</v>
      </c>
      <c r="H7" s="6" t="s">
        <v>64</v>
      </c>
      <c r="I7" s="6" t="s">
        <v>64</v>
      </c>
      <c r="J7" s="6" t="s">
        <v>65</v>
      </c>
      <c r="K7" s="6">
        <v>6</v>
      </c>
      <c r="L7" s="6">
        <v>1</v>
      </c>
      <c r="M7" s="7">
        <f t="shared" si="0"/>
        <v>84000</v>
      </c>
      <c r="N7" s="6"/>
      <c r="O7" s="6" t="s">
        <v>66</v>
      </c>
      <c r="P7" s="7">
        <f t="shared" si="1"/>
        <v>0</v>
      </c>
      <c r="Q7" s="7">
        <f t="shared" si="2"/>
        <v>0</v>
      </c>
      <c r="R7" s="7">
        <f t="shared" si="3"/>
        <v>25000</v>
      </c>
      <c r="S7" s="7">
        <f t="shared" si="4"/>
        <v>109000</v>
      </c>
      <c r="T7" s="7">
        <f t="shared" si="5"/>
        <v>0</v>
      </c>
      <c r="U7" s="8">
        <f t="shared" si="6"/>
        <v>0</v>
      </c>
      <c r="V7" s="9">
        <v>17000</v>
      </c>
      <c r="W7" s="10">
        <f t="shared" si="7"/>
        <v>126000</v>
      </c>
      <c r="X7" s="11" t="s">
        <v>64</v>
      </c>
      <c r="Y7" s="12" t="e">
        <f>IF(G7="SLU","N/A",LOOKUP($C7,#REF!))</f>
        <v>#REF!</v>
      </c>
      <c r="Z7" s="12" t="str">
        <f>IF(G7="CRH","N/A",LOOKUP($C7,#REF!))</f>
        <v>N/A</v>
      </c>
      <c r="AA7" s="11">
        <v>78</v>
      </c>
      <c r="AB7" s="14" t="s">
        <v>66</v>
      </c>
      <c r="AC7" s="11" t="s">
        <v>64</v>
      </c>
      <c r="AD7" s="11">
        <v>4</v>
      </c>
    </row>
    <row r="8" spans="1:30" ht="12" x14ac:dyDescent="0.25">
      <c r="A8" s="5" t="s">
        <v>42</v>
      </c>
      <c r="B8" s="5" t="s">
        <v>54</v>
      </c>
      <c r="C8" s="5" t="s">
        <v>14</v>
      </c>
      <c r="D8" s="5" t="s">
        <v>78</v>
      </c>
      <c r="E8" s="5" t="s">
        <v>79</v>
      </c>
      <c r="F8" s="6" t="s">
        <v>64</v>
      </c>
      <c r="G8" s="6" t="s">
        <v>67</v>
      </c>
      <c r="H8" s="6" t="s">
        <v>66</v>
      </c>
      <c r="I8" s="6" t="s">
        <v>64</v>
      </c>
      <c r="J8" s="6" t="s">
        <v>71</v>
      </c>
      <c r="K8" s="6">
        <v>6</v>
      </c>
      <c r="L8" s="6">
        <v>1</v>
      </c>
      <c r="M8" s="7">
        <f t="shared" si="0"/>
        <v>400000</v>
      </c>
      <c r="N8" s="6"/>
      <c r="O8" s="6" t="s">
        <v>66</v>
      </c>
      <c r="P8" s="7">
        <f t="shared" si="1"/>
        <v>0</v>
      </c>
      <c r="Q8" s="7">
        <f t="shared" si="2"/>
        <v>0</v>
      </c>
      <c r="R8" s="7">
        <f t="shared" si="3"/>
        <v>0</v>
      </c>
      <c r="S8" s="7">
        <f t="shared" si="4"/>
        <v>400000</v>
      </c>
      <c r="T8" s="7">
        <f t="shared" si="5"/>
        <v>10000</v>
      </c>
      <c r="U8" s="8">
        <f t="shared" si="6"/>
        <v>100000</v>
      </c>
      <c r="V8" s="9">
        <v>17000</v>
      </c>
      <c r="W8" s="10">
        <f t="shared" si="7"/>
        <v>527000</v>
      </c>
      <c r="X8" s="11" t="s">
        <v>64</v>
      </c>
      <c r="Y8" s="12" t="e">
        <f>IF(G8="SLU","N/A",LOOKUP($C8,#REF!))</f>
        <v>#REF!</v>
      </c>
      <c r="Z8" s="12" t="str">
        <f>IF(G8="CRH","N/A",LOOKUP($C8,#REF!))</f>
        <v>N/A</v>
      </c>
      <c r="AA8" s="11">
        <v>97</v>
      </c>
      <c r="AB8" s="14" t="s">
        <v>64</v>
      </c>
      <c r="AC8" s="11" t="s">
        <v>64</v>
      </c>
      <c r="AD8" s="11">
        <v>8</v>
      </c>
    </row>
    <row r="9" spans="1:30" ht="12" x14ac:dyDescent="0.25">
      <c r="A9" s="5" t="s">
        <v>43</v>
      </c>
      <c r="B9" s="5" t="s">
        <v>55</v>
      </c>
      <c r="C9" s="5" t="s">
        <v>10</v>
      </c>
      <c r="D9" s="5" t="s">
        <v>80</v>
      </c>
      <c r="E9" s="5" t="s">
        <v>81</v>
      </c>
      <c r="F9" s="6" t="s">
        <v>66</v>
      </c>
      <c r="G9" s="6" t="s">
        <v>83</v>
      </c>
      <c r="H9" s="6" t="s">
        <v>66</v>
      </c>
      <c r="I9" s="6" t="s">
        <v>64</v>
      </c>
      <c r="J9" s="6" t="s">
        <v>82</v>
      </c>
      <c r="K9" s="6">
        <v>3</v>
      </c>
      <c r="L9" s="6">
        <v>1</v>
      </c>
      <c r="M9" s="7">
        <f t="shared" si="0"/>
        <v>235000</v>
      </c>
      <c r="N9" s="6"/>
      <c r="O9" s="6" t="s">
        <v>66</v>
      </c>
      <c r="P9" s="7">
        <f t="shared" si="1"/>
        <v>0</v>
      </c>
      <c r="Q9" s="7">
        <f t="shared" si="2"/>
        <v>0</v>
      </c>
      <c r="R9" s="7">
        <f t="shared" si="3"/>
        <v>0</v>
      </c>
      <c r="S9" s="7">
        <f t="shared" si="4"/>
        <v>235000</v>
      </c>
      <c r="T9" s="7">
        <f t="shared" si="5"/>
        <v>0</v>
      </c>
      <c r="U9" s="8">
        <f t="shared" si="6"/>
        <v>0</v>
      </c>
      <c r="V9" s="9">
        <v>17000</v>
      </c>
      <c r="W9" s="10">
        <f t="shared" si="7"/>
        <v>252000</v>
      </c>
      <c r="X9" s="11" t="s">
        <v>64</v>
      </c>
      <c r="Y9" s="12" t="str">
        <f>IF(G9="SLU","N/A",LOOKUP($C9,#REF!))</f>
        <v>N/A</v>
      </c>
      <c r="Z9" s="12" t="e">
        <f>IF(G9="CRH","N/A",LOOKUP($C9,#REF!))</f>
        <v>#REF!</v>
      </c>
      <c r="AA9" s="11">
        <v>82</v>
      </c>
      <c r="AB9" s="14" t="s">
        <v>64</v>
      </c>
      <c r="AC9" s="11" t="s">
        <v>64</v>
      </c>
      <c r="AD9" s="11">
        <v>12</v>
      </c>
    </row>
    <row r="10" spans="1:30" ht="60" x14ac:dyDescent="0.25">
      <c r="A10" s="5" t="s">
        <v>45</v>
      </c>
      <c r="B10" s="5" t="s">
        <v>57</v>
      </c>
      <c r="C10" s="5" t="s">
        <v>13</v>
      </c>
      <c r="D10" s="5" t="s">
        <v>76</v>
      </c>
      <c r="E10" s="5" t="s">
        <v>77</v>
      </c>
      <c r="F10" s="6" t="s">
        <v>66</v>
      </c>
      <c r="G10" s="6" t="s">
        <v>67</v>
      </c>
      <c r="H10" s="6" t="s">
        <v>64</v>
      </c>
      <c r="I10" s="6" t="s">
        <v>64</v>
      </c>
      <c r="J10" s="6" t="s">
        <v>65</v>
      </c>
      <c r="K10" s="6">
        <v>6</v>
      </c>
      <c r="L10" s="6">
        <v>1</v>
      </c>
      <c r="M10" s="7">
        <f t="shared" si="0"/>
        <v>84000</v>
      </c>
      <c r="N10" s="6"/>
      <c r="O10" s="6" t="s">
        <v>66</v>
      </c>
      <c r="P10" s="7">
        <f t="shared" si="1"/>
        <v>0</v>
      </c>
      <c r="Q10" s="7">
        <f t="shared" si="2"/>
        <v>0</v>
      </c>
      <c r="R10" s="7">
        <f t="shared" si="3"/>
        <v>25000</v>
      </c>
      <c r="S10" s="7">
        <f t="shared" si="4"/>
        <v>109000</v>
      </c>
      <c r="T10" s="7">
        <f t="shared" si="5"/>
        <v>0</v>
      </c>
      <c r="U10" s="8">
        <f t="shared" si="6"/>
        <v>0</v>
      </c>
      <c r="V10" s="9">
        <v>17000</v>
      </c>
      <c r="W10" s="10">
        <f t="shared" si="7"/>
        <v>126000</v>
      </c>
      <c r="X10" s="11" t="s">
        <v>64</v>
      </c>
      <c r="Y10" s="12" t="e">
        <f>IF(G10="SLU","N/A",LOOKUP($C10,#REF!))</f>
        <v>#REF!</v>
      </c>
      <c r="Z10" s="12" t="str">
        <f>IF(G10="CRH","N/A",LOOKUP($C10,#REF!))</f>
        <v>N/A</v>
      </c>
      <c r="AA10" s="11">
        <v>78</v>
      </c>
      <c r="AB10" s="14" t="s">
        <v>66</v>
      </c>
      <c r="AC10" s="11" t="s">
        <v>64</v>
      </c>
      <c r="AD10" s="11">
        <v>10</v>
      </c>
    </row>
    <row r="11" spans="1:30" ht="24" x14ac:dyDescent="0.25">
      <c r="A11" s="5" t="s">
        <v>46</v>
      </c>
      <c r="B11" s="5" t="s">
        <v>58</v>
      </c>
      <c r="C11" s="5" t="s">
        <v>7</v>
      </c>
      <c r="D11" s="5" t="s">
        <v>86</v>
      </c>
      <c r="E11" s="5" t="s">
        <v>87</v>
      </c>
      <c r="F11" s="6" t="s">
        <v>66</v>
      </c>
      <c r="G11" s="6" t="s">
        <v>67</v>
      </c>
      <c r="H11" s="6" t="s">
        <v>64</v>
      </c>
      <c r="I11" s="6" t="s">
        <v>64</v>
      </c>
      <c r="J11" s="6" t="s">
        <v>71</v>
      </c>
      <c r="K11" s="6">
        <v>6</v>
      </c>
      <c r="L11" s="6">
        <v>1</v>
      </c>
      <c r="M11" s="7">
        <f t="shared" si="0"/>
        <v>400000</v>
      </c>
      <c r="N11" s="6"/>
      <c r="O11" s="6" t="s">
        <v>66</v>
      </c>
      <c r="P11" s="7">
        <f t="shared" si="1"/>
        <v>0</v>
      </c>
      <c r="Q11" s="7">
        <f t="shared" si="2"/>
        <v>0</v>
      </c>
      <c r="R11" s="7">
        <f t="shared" si="3"/>
        <v>0</v>
      </c>
      <c r="S11" s="7">
        <f t="shared" si="4"/>
        <v>400000</v>
      </c>
      <c r="T11" s="7">
        <f t="shared" si="5"/>
        <v>0</v>
      </c>
      <c r="U11" s="8">
        <f t="shared" si="6"/>
        <v>0</v>
      </c>
      <c r="V11" s="9">
        <v>17000</v>
      </c>
      <c r="W11" s="10">
        <f t="shared" si="7"/>
        <v>417000</v>
      </c>
      <c r="X11" s="11" t="s">
        <v>64</v>
      </c>
      <c r="Y11" s="12" t="e">
        <f>IF(G11="SLU","N/A",LOOKUP($C11,#REF!))</f>
        <v>#REF!</v>
      </c>
      <c r="Z11" s="12" t="str">
        <f>IF(G11="CRH","N/A",LOOKUP($C11,#REF!))</f>
        <v>N/A</v>
      </c>
      <c r="AA11" s="11">
        <v>87</v>
      </c>
      <c r="AB11" s="14" t="s">
        <v>66</v>
      </c>
      <c r="AC11" s="11" t="s">
        <v>64</v>
      </c>
      <c r="AD11" s="11">
        <v>7</v>
      </c>
    </row>
    <row r="12" spans="1:30" ht="12" x14ac:dyDescent="0.25">
      <c r="A12" s="5" t="s">
        <v>47</v>
      </c>
      <c r="B12" s="5" t="s">
        <v>59</v>
      </c>
      <c r="C12" s="5" t="s">
        <v>8</v>
      </c>
      <c r="D12" s="5" t="s">
        <v>88</v>
      </c>
      <c r="E12" s="5" t="s">
        <v>89</v>
      </c>
      <c r="F12" s="6" t="s">
        <v>66</v>
      </c>
      <c r="G12" s="6" t="s">
        <v>67</v>
      </c>
      <c r="H12" s="6" t="s">
        <v>66</v>
      </c>
      <c r="I12" s="6" t="s">
        <v>64</v>
      </c>
      <c r="J12" s="6" t="s">
        <v>82</v>
      </c>
      <c r="K12" s="6">
        <v>6</v>
      </c>
      <c r="L12" s="6">
        <v>1</v>
      </c>
      <c r="M12" s="7">
        <f t="shared" si="0"/>
        <v>400000</v>
      </c>
      <c r="N12" s="6"/>
      <c r="O12" s="6" t="s">
        <v>66</v>
      </c>
      <c r="P12" s="7">
        <f t="shared" si="1"/>
        <v>0</v>
      </c>
      <c r="Q12" s="7">
        <f t="shared" si="2"/>
        <v>0</v>
      </c>
      <c r="R12" s="7">
        <f t="shared" si="3"/>
        <v>0</v>
      </c>
      <c r="S12" s="7">
        <f t="shared" si="4"/>
        <v>400000</v>
      </c>
      <c r="T12" s="7">
        <f t="shared" si="5"/>
        <v>0</v>
      </c>
      <c r="U12" s="8">
        <f t="shared" si="6"/>
        <v>0</v>
      </c>
      <c r="V12" s="9">
        <v>17000</v>
      </c>
      <c r="W12" s="10">
        <f t="shared" si="7"/>
        <v>417000</v>
      </c>
      <c r="X12" s="11" t="s">
        <v>64</v>
      </c>
      <c r="Y12" s="12" t="e">
        <f>IF(G12="SLU","N/A",LOOKUP($C12,#REF!))</f>
        <v>#REF!</v>
      </c>
      <c r="Z12" s="12" t="str">
        <f>IF(G12="CRH","N/A",LOOKUP($C12,#REF!))</f>
        <v>N/A</v>
      </c>
      <c r="AA12" s="11">
        <v>80</v>
      </c>
      <c r="AB12" s="14" t="s">
        <v>64</v>
      </c>
      <c r="AC12" s="11" t="s">
        <v>64</v>
      </c>
      <c r="AD12" s="11">
        <v>5</v>
      </c>
    </row>
    <row r="13" spans="1:30" ht="24" x14ac:dyDescent="0.25">
      <c r="A13" s="5" t="s">
        <v>48</v>
      </c>
      <c r="B13" s="5" t="s">
        <v>60</v>
      </c>
      <c r="C13" s="5" t="s">
        <v>6</v>
      </c>
      <c r="D13" s="5" t="s">
        <v>90</v>
      </c>
      <c r="E13" s="5" t="s">
        <v>91</v>
      </c>
      <c r="F13" s="6" t="s">
        <v>64</v>
      </c>
      <c r="G13" s="6" t="s">
        <v>67</v>
      </c>
      <c r="H13" s="6" t="s">
        <v>66</v>
      </c>
      <c r="I13" s="6" t="s">
        <v>64</v>
      </c>
      <c r="J13" s="6" t="s">
        <v>71</v>
      </c>
      <c r="K13" s="6">
        <v>6</v>
      </c>
      <c r="L13" s="6">
        <v>1</v>
      </c>
      <c r="M13" s="7">
        <f t="shared" si="0"/>
        <v>400000</v>
      </c>
      <c r="N13" s="6"/>
      <c r="O13" s="6" t="s">
        <v>66</v>
      </c>
      <c r="P13" s="7">
        <f t="shared" si="1"/>
        <v>0</v>
      </c>
      <c r="Q13" s="7">
        <f t="shared" si="2"/>
        <v>0</v>
      </c>
      <c r="R13" s="7">
        <f t="shared" si="3"/>
        <v>0</v>
      </c>
      <c r="S13" s="7">
        <f t="shared" si="4"/>
        <v>400000</v>
      </c>
      <c r="T13" s="7">
        <f t="shared" si="5"/>
        <v>10000</v>
      </c>
      <c r="U13" s="8">
        <f t="shared" si="6"/>
        <v>0</v>
      </c>
      <c r="V13" s="9">
        <v>17000</v>
      </c>
      <c r="W13" s="10">
        <f t="shared" si="7"/>
        <v>427000</v>
      </c>
      <c r="X13" s="11" t="s">
        <v>64</v>
      </c>
      <c r="Y13" s="12" t="e">
        <f>IF(G13="SLU","N/A",LOOKUP($C13,#REF!))</f>
        <v>#REF!</v>
      </c>
      <c r="Z13" s="12" t="str">
        <f>IF(G13="CRH","N/A",LOOKUP($C13,#REF!))</f>
        <v>N/A</v>
      </c>
      <c r="AA13" s="11">
        <v>97</v>
      </c>
      <c r="AB13" s="14" t="s">
        <v>66</v>
      </c>
      <c r="AC13" s="11" t="s">
        <v>64</v>
      </c>
      <c r="AD13" s="11">
        <v>13</v>
      </c>
    </row>
    <row r="14" spans="1:30" s="4" customFormat="1" ht="25.2" customHeight="1" x14ac:dyDescent="0.25">
      <c r="A14" s="22" t="s">
        <v>97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" x14ac:dyDescent="0.25">
      <c r="A15" s="5" t="s">
        <v>44</v>
      </c>
      <c r="B15" s="5" t="s">
        <v>56</v>
      </c>
      <c r="C15" s="5" t="s">
        <v>14</v>
      </c>
      <c r="D15" s="5" t="s">
        <v>84</v>
      </c>
      <c r="E15" s="5" t="s">
        <v>85</v>
      </c>
      <c r="F15" s="6" t="s">
        <v>66</v>
      </c>
      <c r="G15" s="6" t="s">
        <v>83</v>
      </c>
      <c r="H15" s="6" t="s">
        <v>66</v>
      </c>
      <c r="I15" s="6" t="s">
        <v>66</v>
      </c>
      <c r="J15" s="6" t="s">
        <v>71</v>
      </c>
      <c r="K15" s="6" t="s">
        <v>68</v>
      </c>
      <c r="L15" s="6">
        <v>6</v>
      </c>
      <c r="M15" s="7">
        <f>IF(AND(G15="CRH",J15&lt;&gt;"Ren",K15=6),400000,IF(AND(G15="SLU",I15="N",L15=3),235000,IF(AND(G15="SLU",I15="N",L15=6),500000,IF(J15="ren",K15*14000,IF(K15&gt;=9,500000,IF(K15&gt;=6,395000,IF(K15=5,340000,IF(K15=4,290000,235000))))))))</f>
        <v>500000</v>
      </c>
      <c r="N15" s="6"/>
      <c r="O15" s="6" t="s">
        <v>66</v>
      </c>
      <c r="P15" s="7">
        <f>IF(AND(J15="Ren",G15="CRH",N15=1),32000,IF(AND(J15="Ren",G15="CRH",N15=2),52000,IF(AND(J15="Ren",G15="CRH",N15=3),72000,0)))</f>
        <v>0</v>
      </c>
      <c r="Q15" s="7">
        <f>IF(AND(P15&gt;0,O15="Y"),15000,0)</f>
        <v>0</v>
      </c>
      <c r="R15" s="7">
        <f>IF(AND(J15="Ren",G15="CRH",K15=6),25000,0)</f>
        <v>0</v>
      </c>
      <c r="S15" s="7">
        <f>SUM(P15:R15)+M15</f>
        <v>500000</v>
      </c>
      <c r="T15" s="7">
        <f>IF(AND(F15="Y",J15="NC"),10000,0)</f>
        <v>0</v>
      </c>
      <c r="U15" s="8">
        <f>IF(AND(OR(C15="Broward",C15="Miami-Dade",C15="Palm Beach"),OR(J15="NC",J15="Rehabilitation"),K15&gt;=6),100000,0)</f>
        <v>100000</v>
      </c>
      <c r="V15" s="9">
        <v>17000</v>
      </c>
      <c r="W15" s="10">
        <f>SUM(T15:V15)+S15</f>
        <v>617000</v>
      </c>
      <c r="X15" s="11" t="s">
        <v>66</v>
      </c>
      <c r="Y15" s="12" t="str">
        <f>IF(G15="SLU","N/A",LOOKUP($C15,#REF!))</f>
        <v>N/A</v>
      </c>
      <c r="Z15" s="12" t="e">
        <f>IF(G15="CRH","N/A",LOOKUP($C15,#REF!))</f>
        <v>#REF!</v>
      </c>
      <c r="AA15" s="11">
        <v>81</v>
      </c>
      <c r="AB15" s="14" t="s">
        <v>64</v>
      </c>
      <c r="AC15" s="11" t="s">
        <v>64</v>
      </c>
      <c r="AD15" s="11">
        <v>3</v>
      </c>
    </row>
    <row r="16" spans="1:30" ht="12" x14ac:dyDescent="0.25">
      <c r="A16" s="5" t="s">
        <v>94</v>
      </c>
      <c r="B16" s="5" t="s">
        <v>59</v>
      </c>
      <c r="C16" s="5" t="s">
        <v>8</v>
      </c>
      <c r="D16" s="5" t="s">
        <v>88</v>
      </c>
      <c r="E16" s="5" t="s">
        <v>89</v>
      </c>
      <c r="F16" s="6" t="s">
        <v>66</v>
      </c>
      <c r="G16" s="6" t="s">
        <v>67</v>
      </c>
      <c r="H16" s="6" t="s">
        <v>66</v>
      </c>
      <c r="I16" s="6" t="s">
        <v>64</v>
      </c>
      <c r="J16" s="6" t="s">
        <v>65</v>
      </c>
      <c r="K16" s="6">
        <v>6</v>
      </c>
      <c r="L16" s="6">
        <v>1</v>
      </c>
      <c r="M16" s="7">
        <f>IF(AND(G16="CRH",J16&lt;&gt;"Ren",K16=6),400000,IF(AND(G16="SLU",I16="N",L16=3),235000,IF(AND(G16="SLU",I16="N",L16=6),500000,IF(J16="ren",K16*14000,IF(K16&gt;=9,500000,IF(K16&gt;=6,395000,IF(K16=5,340000,IF(K16=4,290000,235000))))))))</f>
        <v>84000</v>
      </c>
      <c r="N16" s="6"/>
      <c r="O16" s="6" t="s">
        <v>66</v>
      </c>
      <c r="P16" s="7">
        <f>IF(AND(J16="Ren",G16="CRH",N16=1),32000,IF(AND(J16="Ren",G16="CRH",N16=2),52000,IF(AND(J16="Ren",G16="CRH",N16=3),72000,0)))</f>
        <v>0</v>
      </c>
      <c r="Q16" s="7">
        <f>IF(AND(P16&gt;0,O16="Y"),15000,0)</f>
        <v>0</v>
      </c>
      <c r="R16" s="7">
        <f>IF(AND(J16="Ren",G16="CRH",K16=6),25000,0)</f>
        <v>25000</v>
      </c>
      <c r="S16" s="7">
        <f>SUM(P16:R16)+M16</f>
        <v>109000</v>
      </c>
      <c r="T16" s="7">
        <f>IF(AND(F16="Y",J16="NC"),10000,0)</f>
        <v>0</v>
      </c>
      <c r="U16" s="8">
        <f>IF(AND(OR(C16="Broward",C16="Miami-Dade",C16="Palm Beach"),OR(J16="NC",J16="Rehabilitation"),K16&gt;=6),100000,0)</f>
        <v>0</v>
      </c>
      <c r="V16" s="9">
        <v>17000</v>
      </c>
      <c r="W16" s="10">
        <f>SUM(T16:V16)+S16</f>
        <v>126000</v>
      </c>
      <c r="X16" s="11" t="s">
        <v>66</v>
      </c>
      <c r="Y16" s="12" t="e">
        <f>IF(G16="SLU","N/A",LOOKUP($C16,#REF!))</f>
        <v>#REF!</v>
      </c>
      <c r="Z16" s="12" t="str">
        <f>IF(G16="CRH","N/A",LOOKUP($C16,#REF!))</f>
        <v>N/A</v>
      </c>
      <c r="AA16" s="11">
        <v>55</v>
      </c>
      <c r="AB16" s="14" t="s">
        <v>64</v>
      </c>
      <c r="AC16" s="11" t="s">
        <v>64</v>
      </c>
      <c r="AD16" s="11">
        <v>6</v>
      </c>
    </row>
    <row r="17" spans="1:29" ht="25.8" customHeight="1" x14ac:dyDescent="0.25">
      <c r="A17" s="13" t="s">
        <v>95</v>
      </c>
      <c r="F17" s="17"/>
    </row>
    <row r="18" spans="1:29" ht="12" x14ac:dyDescent="0.25">
      <c r="M18" s="20"/>
      <c r="N18" s="20"/>
    </row>
    <row r="19" spans="1:29" ht="12" x14ac:dyDescent="0.25">
      <c r="A19" s="13" t="s">
        <v>99</v>
      </c>
      <c r="M19" s="20"/>
      <c r="N19" s="20"/>
    </row>
    <row r="20" spans="1:29" ht="12" x14ac:dyDescent="0.25">
      <c r="M20" s="20"/>
      <c r="N20" s="20"/>
    </row>
    <row r="21" spans="1:29" ht="26.4" customHeight="1" x14ac:dyDescent="0.25">
      <c r="A21" s="23" t="s">
        <v>98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</sheetData>
  <mergeCells count="3">
    <mergeCell ref="A2:AD2"/>
    <mergeCell ref="A14:AD14"/>
    <mergeCell ref="A21:AC21"/>
  </mergeCells>
  <phoneticPr fontId="0" type="noConversion"/>
  <pageMargins left="0.7" right="0.7" top="0.75" bottom="0.75" header="0.3" footer="0.3"/>
  <pageSetup scale="70" fitToHeight="0" orientation="landscape" r:id="rId1"/>
  <headerFooter alignWithMargins="0">
    <oddHeader>&amp;C&amp;"Arial,Bold"&amp;14RFA 2017-106 
All Applications&amp;R10-27-17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2017-10-26T19:09:50Z</dcterms:modified>
</cp:coreProperties>
</file>