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https://intranet.floridahousing.org/sites/MF/allocations/Combined Cycle/2019 Rules and RFAs/2019-109 HOME RD/"/>
    </mc:Choice>
  </mc:AlternateContent>
  <xr:revisionPtr revIDLastSave="0" documentId="13_ncr:1_{30DA61F8-A869-4C9C-B2F8-B97F7551C05B}" xr6:coauthVersionLast="36" xr6:coauthVersionMax="36"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0" yWindow="0" windowWidth="23040" windowHeight="8775" xr2:uid="{00000000-000D-0000-FFFF-FFFF00000000}"/>
  </bookViews>
  <sheets>
    <sheet name="Sheet1" sheetId="1" r:id="rId1"/>
  </sheets>
  <definedNames>
    <definedName name="Acq_elig">Sheet1!$H$171</definedName>
    <definedName name="Acq_inelig">Sheet1!$K$171</definedName>
    <definedName name="Acq_total">Sheet1!$N$171</definedName>
    <definedName name="Acquisition_eligible">Sheet1!$H$176</definedName>
    <definedName name="Acquisition_ineligible">Sheet1!$K$176</definedName>
    <definedName name="Acquisition_total">Sheet1!$N$176</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2ndmort">Sheet1!$H$299</definedName>
    <definedName name="ConstrAnalysis_3rdmort">Sheet1!$H$301</definedName>
    <definedName name="ConstrAnalysis_CDBG_DR">Sheet1!$H$283</definedName>
    <definedName name="ConstrAnalysis_deferredfee">Sheet1!$H$314</definedName>
    <definedName name="ConstrAnalysis_firstmort">Sheet1!$H$297</definedName>
    <definedName name="ConstrAnalysis_HC">Sheet1!$H$293</definedName>
    <definedName name="ConstrAnalysis_Hcbridgeloan">Sheet1!$H$295</definedName>
    <definedName name="ConstrAnalysis_HOME_request">Sheet1!$H$279</definedName>
    <definedName name="ConstrAnalysis_MMRB_request">Sheet1!$H$277</definedName>
    <definedName name="ConstrAnalysis_NHTF_request">Sheet1!$H$281</definedName>
    <definedName name="ConstrAnalysis_nonFHFCgrants">Sheet1!$H$303</definedName>
    <definedName name="ConstrAnalysis_other1">Sheet1!$H$310</definedName>
    <definedName name="ConstrAnalysis_other1_title">Sheet1!$E$310</definedName>
    <definedName name="ConstrAnalysis_other2">Sheet1!$H$312</definedName>
    <definedName name="ConstrAnalysis_other2_title">Sheet1!$E$312</definedName>
    <definedName name="ConstrAnalysis_RD_514_516">Sheet1!$H$306</definedName>
    <definedName name="ConstrAnalysis_RD_515">Sheet1!$H$307</definedName>
    <definedName name="ConstrAnalysis_RD_538">Sheet1!$H$308</definedName>
    <definedName name="ConstrAnalysis_SAIL_request">Sheet1!$H$273</definedName>
    <definedName name="ConstrAnalysis_SAILELI_request">Sheet1!$H$275</definedName>
    <definedName name="ConstrAnalysis_surplus">Sheet1!$H$320</definedName>
    <definedName name="ConstrAnalysis_totalsources">Sheet1!$H$316</definedName>
    <definedName name="Contingency_Hard_eligible">Sheet1!$H$65</definedName>
    <definedName name="Contingency_Hard_ineligible">Sheet1!$K$65</definedName>
    <definedName name="Contingency_Hard_total">Sheet1!$N$65</definedName>
    <definedName name="Contingency_Soft_eligible">Sheet1!$H$133</definedName>
    <definedName name="Contingency_Soft_ineligible">Sheet1!$K$133</definedName>
    <definedName name="Contingency_Soft_total">Sheet1!$N$133</definedName>
    <definedName name="Description_acquisition_other">Sheet1!$F$244</definedName>
    <definedName name="Description_Actual_offsite">Sheet1!$F$211</definedName>
    <definedName name="Description_Actual_other">Sheet1!$F$215</definedName>
    <definedName name="Description_financial_other">Sheet1!$F$237</definedName>
    <definedName name="Description_General_impact">Sheet1!$F$222</definedName>
    <definedName name="Description_General_other">Sheet1!$F$228</definedName>
    <definedName name="Developer_fee_acq_eligible">Sheet1!$H$182</definedName>
    <definedName name="Developer_fee_acq_ineligible">Sheet1!$K$182</definedName>
    <definedName name="Developer_fee_acq_total">Sheet1!$N$182</definedName>
    <definedName name="Developer_fee_eligible">Sheet1!$H$189</definedName>
    <definedName name="Developer_fee_ineligible">Sheet1!$K$189</definedName>
    <definedName name="Developer_fee_non_acq_eligible">Sheet1!$H$184</definedName>
    <definedName name="Developer_fee_non_acq_ineligible">Sheet1!$K$184</definedName>
    <definedName name="Developer_fee_non_acq_total">Sheet1!$N$184</definedName>
    <definedName name="Developer_fee_Percentage_dropdown">Sheet1!$Q$184</definedName>
    <definedName name="Developer_fee_total">Sheet1!$N$189</definedName>
    <definedName name="Development_Cost_eligible">Sheet1!$H$178</definedName>
    <definedName name="Development_Cost_ineligible">Sheet1!$K$178</definedName>
    <definedName name="Development_Cost_total">Sheet1!$N$178</definedName>
    <definedName name="ELIData">Sheet1!$E$495:$H$562</definedName>
    <definedName name="Excel_RFA_Number">Sheet1!$B$2</definedName>
    <definedName name="Financial_bridge_commitment_eligible">Sheet1!$H$161</definedName>
    <definedName name="Financial_bridge_commitment_ineligible">Sheet1!$K$161</definedName>
    <definedName name="Financial_bridge_commitment_total">Sheet1!$N$161</definedName>
    <definedName name="Financial_bridge_interest_eligible">Sheet1!$H$163</definedName>
    <definedName name="Financial_bridge_interest_ineligible">Sheet1!$K$163</definedName>
    <definedName name="Financial_bridge_interest_total">Sheet1!$N$163</definedName>
    <definedName name="Financial_constr_commitment_eligible">Sheet1!$H$142</definedName>
    <definedName name="Financial_constr_commitment_ineligible">Sheet1!$K$142</definedName>
    <definedName name="Financial_constr_commitment_total">Sheet1!$N$142</definedName>
    <definedName name="Financial_constr_enhancement_eligible">Sheet1!$H$145</definedName>
    <definedName name="Financial_constr_enhancement_ineligible">Sheet1!$K$145</definedName>
    <definedName name="Financial_constr_enhancement_total">Sheet1!$N$145</definedName>
    <definedName name="Financial_constr_interest_eligible">Sheet1!$H$147</definedName>
    <definedName name="Financial_constr_interest_ineligible">Sheet1!$K$147</definedName>
    <definedName name="Financial_constr_interest_total">Sheet1!$N$147</definedName>
    <definedName name="Financial_nonperm_closing_eligible">Sheet1!$H$150</definedName>
    <definedName name="Financial_nonperm_closing_ineligible">Sheet1!$K$150</definedName>
    <definedName name="Financial_nonperm_closing_total">Sheet1!$N$150</definedName>
    <definedName name="Financial_other_eligible">Sheet1!$H$165</definedName>
    <definedName name="Financial_other_ineligible">Sheet1!$K$165</definedName>
    <definedName name="Financial_other_total">Sheet1!$N$165</definedName>
    <definedName name="Financial_perm_closing_ineligible">Sheet1!$K$158</definedName>
    <definedName name="Financial_perm_closing_total">Sheet1!$N$158</definedName>
    <definedName name="Financial_perm_commitment_ineligible">Sheet1!$K$153</definedName>
    <definedName name="Financial_perm_commitment_total">Sheet1!$N$153</definedName>
    <definedName name="Financial_perm_enhancement_ineligible">Sheet1!$K$156</definedName>
    <definedName name="Financial_perm_enhancement_total">Sheet1!$N$156</definedName>
    <definedName name="Financial_total_eligible">Sheet1!$H$167</definedName>
    <definedName name="Financial_total_ineligible">Sheet1!$K$167</definedName>
    <definedName name="Financial_totalcosts_total">Sheet1!$N$167</definedName>
    <definedName name="General_Accounting_eligible">Sheet1!$H$73</definedName>
    <definedName name="General_Accounting_ineligible">Sheet1!$K$73</definedName>
    <definedName name="General_Accounting_total">Sheet1!$N$73</definedName>
    <definedName name="General_adminfee_ineligible">Sheet1!$K$93</definedName>
    <definedName name="General_adminfee_total">Sheet1!$N$93</definedName>
    <definedName name="General_applicationfee_ineligible">Sheet1!$K$95</definedName>
    <definedName name="General_applicationfee_total">Sheet1!$N$95</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Sheet1!$K$85</definedName>
    <definedName name="General_brokeragefee_total">Sheet1!$N$85</definedName>
    <definedName name="General_builder_ins_eligible">Sheet1!$H$81</definedName>
    <definedName name="General_builder_ins_ineligible">Sheet1!$K$81</definedName>
    <definedName name="General_builder_ins_total">Sheet1!$N$81</definedName>
    <definedName name="General_capitalneeds_eligible">Sheet1!$H$87</definedName>
    <definedName name="General_capitalneeds_ineligible">Sheet1!$K$87</definedName>
    <definedName name="General_capitalneeds_total">Sheet1!$N$87</definedName>
    <definedName name="General_compliancefee_ineligible">Sheet1!$K$97</definedName>
    <definedName name="General_compliancefee_total">Sheet1!$N$97</definedName>
    <definedName name="General_cu_fee_eligible">Sheet1!$H$99</definedName>
    <definedName name="General_cu_fee_ineligible">Sheet1!$K$99</definedName>
    <definedName name="General_cu_fee_total">Sheet1!$N$99</definedName>
    <definedName name="General_engineering_eligible">Sheet1!$H$89</definedName>
    <definedName name="General_engineering_ineligible">Sheet1!$K$89</definedName>
    <definedName name="General_engineering_total">Sheet1!$N$89</definedName>
    <definedName name="General_environmental_eligible">Sheet1!$H$91</definedName>
    <definedName name="General_environmental_ineligible">Sheet1!$K$91</definedName>
    <definedName name="General_environmental_total">Sheet1!$N$91</definedName>
    <definedName name="General_HERS_eligible">Sheet1!$H$102</definedName>
    <definedName name="General_HERS_ineligible">Sheet1!$K$102</definedName>
    <definedName name="General_HERS_total">Sheet1!$N$102</definedName>
    <definedName name="General_Impact_eligible">Sheet1!$H$104</definedName>
    <definedName name="General_Impact_ineligible">Sheet1!$K$104</definedName>
    <definedName name="General_Impact_total">Sheet1!$N$104</definedName>
    <definedName name="General_inspectionfee_eligible">Sheet1!$H$106</definedName>
    <definedName name="General_inspectionfee_ineligible">Sheet1!$K$106</definedName>
    <definedName name="General_inspectionfee_total">Sheet1!$N$106</definedName>
    <definedName name="General_insurance_eligible">Sheet1!$H$108</definedName>
    <definedName name="General_insurance_ineligible">Sheet1!$K$108</definedName>
    <definedName name="General_insurance_total">Sheet1!$N$108</definedName>
    <definedName name="General_legalfee_eligible">Sheet1!$H$110</definedName>
    <definedName name="General_legalfee_ineligible">Sheet1!$K$110</definedName>
    <definedName name="General_legalfee_total">Sheet1!$N$110</definedName>
    <definedName name="General_marketing_ineligible">Sheet1!$K$114</definedName>
    <definedName name="General_marketing_total">Sheet1!$N$114</definedName>
    <definedName name="General_marketstudy_eligible">Sheet1!$H$112</definedName>
    <definedName name="General_marketstudy_ineligible">Sheet1!$K$112</definedName>
    <definedName name="General_marketstudy_total">Sheet1!$N$112</definedName>
    <definedName name="General_other_eligible">Sheet1!$H$128</definedName>
    <definedName name="General_other_ineligible">Sheet1!$K$128</definedName>
    <definedName name="General_other_total">Sheet1!$N$128</definedName>
    <definedName name="General_permit_eligible">Sheet1!$H$83</definedName>
    <definedName name="General_permit_ineligible">Sheet1!$K$83</definedName>
    <definedName name="General_permit_total">Sheet1!$N$83</definedName>
    <definedName name="General_propertytaxes_eligible">Sheet1!$H$116</definedName>
    <definedName name="General_propertytaxes_ineligible">Sheet1!$K$116</definedName>
    <definedName name="General_propertytaxes_total">Sheet1!$N$116</definedName>
    <definedName name="General_relocation_eligible">Sheet1!$H$118</definedName>
    <definedName name="General_relocation_ineligible">Sheet1!$K$118</definedName>
    <definedName name="General_relocation_total">Sheet1!$N$118</definedName>
    <definedName name="General_soiltest_eligible">Sheet1!$H$120</definedName>
    <definedName name="General_soiltest_ineligible">Sheet1!$K$120</definedName>
    <definedName name="General_soiltest_total">Sheet1!$N$120</definedName>
    <definedName name="General_survey_eligible">Sheet1!$H$122</definedName>
    <definedName name="General_survey_ineligible">Sheet1!$K$122</definedName>
    <definedName name="General_survey_total">Sheet1!$N$122</definedName>
    <definedName name="General_titleinsurance_eligible">Sheet1!$H$124</definedName>
    <definedName name="General_titleinsurance_ineligible">Sheet1!$K$124</definedName>
    <definedName name="General_titleinsurance_total">Sheet1!$N$124</definedName>
    <definedName name="General_totaldevelopmentcost_eligible">Sheet1!$H$131</definedName>
    <definedName name="General_totaldevelopmentcost_ineligible">Sheet1!$K$131</definedName>
    <definedName name="General_totaldevelopmentcost_total">Sheet1!$N$131</definedName>
    <definedName name="General_utilityconnection_eligible">Sheet1!$H$126</definedName>
    <definedName name="General_utilityconnection_ineligible">Sheet1!$K$126</definedName>
    <definedName name="General_utilityconnection_total">Sheet1!$N$126</definedName>
    <definedName name="greyed01">Sheet1!$N$110,Sheet1!$N$108,Sheet1!$N$106,Sheet1!$N$104,Sheet1!$N$102,Sheet1!$N$99,Sheet1!$N$97,Sheet1!$N$95,Sheet1!$N$93,Sheet1!$N$91,Sheet1!$N$89,Sheet1!$N$87,Sheet1!#REF!,Sheet1!$N$85,Sheet1!$N$83,Sheet1!$N$81,Sheet1!$N$79,Sheet1!#REF!,Sheet1!$N$75,Sheet1!$N$73,Sheet1!$N$63,Sheet1!$N$60,Sheet1!$N$57,Sheet1!$N$55,Sheet1!$N$53,Sheet1!$N$51,Sheet1!$N$49,Sheet1!$N$47,Sheet1!$N$45,Sheet1!$N$43,Sheet1!$N$41,Sheet1!$N$39,Sheet1!$K$63,Sheet1!$K$57,Sheet1!$H$57,Sheet1!$H$63</definedName>
    <definedName name="greyed02">Sheet1!$N$112,Sheet1!$N$114,Sheet1!$N$116,Sheet1!$N$120,Sheet1!$N$122,Sheet1!$N$124,Sheet1!$N$126,Sheet1!$N$128,Sheet1!$N$131,Sheet1!$K$131,Sheet1!$H$131,Sheet1!#REF!,Sheet1!$N$142,Sheet1!$N$145,Sheet1!$N$147,Sheet1!$N$153,Sheet1!$N$156,Sheet1!$N$158,Sheet1!$N$161,Sheet1!$N$163,Sheet1!$N$150,Sheet1!$N$165,Sheet1!$N$167,Sheet1!$K$167,Sheet1!$H$167,Sheet1!$N$171,Sheet1!$N$173,Sheet1!$N$178,Sheet1!$K$178,Sheet1!$H$178,Sheet1!$N$189</definedName>
    <definedName name="greyed03">Sheet1!$N$193,Sheet1!$N$195,Sheet1!$K$195,Sheet1!$H$195,Sheet1!$H$269,Sheet1!$H$316,Sheet1!$H$320,Sheet1!$H$330,Sheet1!#REF!,Sheet1!#REF!,Sheet1!$H$369,Sheet1!$H$373</definedName>
    <definedName name="Land_ineligible">Sheet1!$K$193</definedName>
    <definedName name="Land_total">Sheet1!$N$193</definedName>
    <definedName name="ODR_eligible">Sheet1!$H$191</definedName>
    <definedName name="ODR_ineligible">Sheet1!$K$191</definedName>
    <definedName name="ODR_total">Sheet1!$N$191</definedName>
    <definedName name="Other_eligible">Sheet1!$H$173</definedName>
    <definedName name="Other_ineligible">Sheet1!$K$173</definedName>
    <definedName name="Other_total">Sheet1!$N$173</definedName>
    <definedName name="PermAnalysis_2ndmort">Sheet1!$H$352</definedName>
    <definedName name="PermAnalysis_3rdmort">Sheet1!$H$354</definedName>
    <definedName name="PermAnalysis_CDBG_DR">Sheet1!$H$344</definedName>
    <definedName name="PermAnalysis_deferredfee">Sheet1!$H$367</definedName>
    <definedName name="PermAnalysis_firstmort">Sheet1!$H$350</definedName>
    <definedName name="PermAnalysis_GrantLoan">Sheet1!$H$342</definedName>
    <definedName name="PermAnalysis_HC">Sheet1!$H$348</definedName>
    <definedName name="PermAnalysis_Hcpartnerscontr">Sheet1!#REF!</definedName>
    <definedName name="PermAnalysis_HOME">Sheet1!$H$340</definedName>
    <definedName name="PermAnalysis_MMRB">Sheet1!$H$338</definedName>
    <definedName name="PermAnalysis_nonFHFCgrants">Sheet1!$H$356</definedName>
    <definedName name="PermAnalysis_other1">Sheet1!$H$363</definedName>
    <definedName name="PermAnalysis_other1_title">Sheet1!$E$363</definedName>
    <definedName name="PermAnalysis_other2">Sheet1!$H$365</definedName>
    <definedName name="PermAnalysis_other2_title">Sheet1!$E$365</definedName>
    <definedName name="PermAnalysis_RD_514_516">Sheet1!$H$359</definedName>
    <definedName name="PermAnalysis_RD_515">Sheet1!$H$360</definedName>
    <definedName name="PermAnalysis_RD_538">Sheet1!$H$361</definedName>
    <definedName name="PermAnalysis_SAIL_request">Sheet1!$H$334</definedName>
    <definedName name="PermAnalysis_SAILELI_request">Sheet1!$H$336</definedName>
    <definedName name="PermAnalysis_surplus">Sheet1!$H$373</definedName>
    <definedName name="PermAnalysis_totalsources">Sheet1!$H$369</definedName>
    <definedName name="PermAnalysis_ViabilityLoan">Sheet1!$H$346</definedName>
    <definedName name="_xlnm.Print_Area" localSheetId="0">Sheet1!$A$1:$P$472</definedName>
    <definedName name="Pro_Forma_Dev_Cat">Sheet1!$K$32</definedName>
    <definedName name="TDC_eligible">Sheet1!$H$195</definedName>
    <definedName name="TDC_ineligible">Sheet1!$K$195</definedName>
    <definedName name="TDC_total">Sheet1!$N$195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79" i="1" l="1"/>
  <c r="B277" i="1"/>
  <c r="B338" i="1"/>
  <c r="B340" i="1" s="1"/>
  <c r="K391" i="1" l="1"/>
  <c r="S333" i="1"/>
  <c r="S272" i="1"/>
  <c r="Q336" i="1"/>
  <c r="S273" i="1" l="1"/>
  <c r="B287" i="1"/>
  <c r="N388" i="1"/>
  <c r="Q431" i="1" l="1"/>
  <c r="K431" i="1" l="1"/>
  <c r="N118" i="1"/>
  <c r="K494" i="1" l="1"/>
  <c r="K398" i="1" s="1"/>
  <c r="K421" i="1" s="1"/>
  <c r="N386" i="1"/>
  <c r="H464" i="1"/>
  <c r="N454" i="1" s="1"/>
  <c r="H468" i="1" l="1"/>
  <c r="M467" i="1" s="1"/>
  <c r="H470" i="1"/>
  <c r="K470" i="1" s="1"/>
  <c r="K458" i="1"/>
  <c r="K457" i="1"/>
  <c r="K464" i="1" l="1"/>
  <c r="K459" i="1"/>
  <c r="K460" i="1"/>
  <c r="K468" i="1"/>
  <c r="K462" i="1"/>
  <c r="K456" i="1"/>
  <c r="Q457" i="1" s="1"/>
  <c r="K466" i="1"/>
  <c r="K461" i="1"/>
  <c r="B442" i="1"/>
  <c r="S334" i="1" l="1"/>
  <c r="Q334" i="1" l="1"/>
  <c r="Q333" i="1"/>
  <c r="P334" i="1" s="1"/>
  <c r="D253" i="1"/>
  <c r="Q170" i="1" l="1"/>
  <c r="Q175" i="1"/>
  <c r="R259" i="1" l="1"/>
  <c r="Q259" i="1"/>
  <c r="R258" i="1"/>
  <c r="R257" i="1"/>
  <c r="Q64" i="1"/>
  <c r="N435" i="1" l="1"/>
  <c r="Q282" i="1" l="1"/>
  <c r="Q343" i="1" l="1"/>
  <c r="P342" i="1" s="1"/>
  <c r="R343" i="1" s="1"/>
  <c r="P281" i="1"/>
  <c r="R282" i="1" s="1"/>
  <c r="Q342" i="1"/>
  <c r="D260" i="1" l="1"/>
  <c r="C346" i="1"/>
  <c r="C342" i="1"/>
  <c r="C340" i="1"/>
  <c r="C338" i="1"/>
  <c r="C336" i="1"/>
  <c r="K176" i="1"/>
  <c r="H176" i="1"/>
  <c r="K167" i="1"/>
  <c r="H167" i="1"/>
  <c r="C60" i="1"/>
  <c r="K57" i="1"/>
  <c r="H57" i="1"/>
  <c r="K131" i="1"/>
  <c r="H131" i="1"/>
  <c r="E8" i="1"/>
  <c r="W184" i="1" l="1"/>
  <c r="K189" i="1"/>
  <c r="Q182" i="1" l="1"/>
  <c r="W182" i="1" s="1"/>
  <c r="N191" i="1" l="1"/>
  <c r="D307" i="1" l="1"/>
  <c r="D308" i="1" s="1"/>
  <c r="D360" i="1"/>
  <c r="D361" i="1" s="1"/>
  <c r="P33" i="1"/>
  <c r="D258" i="1" l="1"/>
  <c r="D402" i="1" l="1"/>
  <c r="D406" i="1" l="1"/>
  <c r="P32" i="1"/>
  <c r="B377" i="1"/>
  <c r="D408" i="1" l="1"/>
  <c r="D411" i="1" l="1"/>
  <c r="D256" i="1"/>
  <c r="D415" i="1" l="1"/>
  <c r="D417" i="1" s="1"/>
  <c r="D254" i="1"/>
  <c r="N176" i="1" l="1"/>
  <c r="N60" i="1"/>
  <c r="Q193" i="1" l="1"/>
  <c r="Q257" i="1"/>
  <c r="V182" i="1"/>
  <c r="D257" i="1"/>
  <c r="N182" i="1" l="1"/>
  <c r="B348" i="1" l="1"/>
  <c r="B350" i="1" s="1"/>
  <c r="B295" i="1" l="1"/>
  <c r="B297" i="1" s="1"/>
  <c r="B299" i="1" l="1"/>
  <c r="B301" i="1" s="1"/>
  <c r="B303" i="1" s="1"/>
  <c r="B310" i="1" s="1"/>
  <c r="B312" i="1" s="1"/>
  <c r="B314" i="1" s="1"/>
  <c r="B316" i="1" s="1"/>
  <c r="N73" i="1"/>
  <c r="N75" i="1"/>
  <c r="D373" i="1" l="1"/>
  <c r="D320" i="1"/>
  <c r="N139" i="1"/>
  <c r="K139" i="1"/>
  <c r="H139" i="1"/>
  <c r="N71" i="1"/>
  <c r="K71" i="1"/>
  <c r="H71" i="1"/>
  <c r="C334" i="1" l="1"/>
  <c r="E11" i="1" l="1"/>
  <c r="B324" i="1"/>
  <c r="B263" i="1"/>
  <c r="B199" i="1"/>
  <c r="B137" i="1"/>
  <c r="B69" i="1"/>
  <c r="E14" i="1" l="1"/>
  <c r="E19" i="1" s="1"/>
  <c r="K429" i="1"/>
  <c r="E24" i="1" l="1"/>
  <c r="N77" i="1"/>
  <c r="K63" i="1"/>
  <c r="H63" i="1"/>
  <c r="K178" i="1" l="1"/>
  <c r="K195" i="1" s="1"/>
  <c r="N193" i="1"/>
  <c r="K427" i="1" s="1"/>
  <c r="N173" i="1"/>
  <c r="P244" i="1" s="1"/>
  <c r="N171" i="1"/>
  <c r="N165" i="1"/>
  <c r="P237" i="1" s="1"/>
  <c r="N150" i="1"/>
  <c r="N163" i="1"/>
  <c r="N161" i="1"/>
  <c r="N158" i="1"/>
  <c r="N156" i="1"/>
  <c r="N153" i="1"/>
  <c r="N147" i="1"/>
  <c r="N145" i="1"/>
  <c r="N142" i="1"/>
  <c r="N124" i="1"/>
  <c r="N126" i="1"/>
  <c r="N122" i="1"/>
  <c r="N120" i="1"/>
  <c r="N116" i="1"/>
  <c r="N114" i="1"/>
  <c r="N112" i="1"/>
  <c r="N110" i="1"/>
  <c r="N108" i="1"/>
  <c r="N106" i="1"/>
  <c r="N104" i="1"/>
  <c r="P222" i="1" s="1"/>
  <c r="N102" i="1"/>
  <c r="N99" i="1"/>
  <c r="N97" i="1"/>
  <c r="N95" i="1"/>
  <c r="N93" i="1"/>
  <c r="N91" i="1"/>
  <c r="N89" i="1"/>
  <c r="N87" i="1"/>
  <c r="N85" i="1"/>
  <c r="N83" i="1"/>
  <c r="N81" i="1"/>
  <c r="N79" i="1"/>
  <c r="N55" i="1"/>
  <c r="P215" i="1" s="1"/>
  <c r="N53" i="1"/>
  <c r="N51" i="1"/>
  <c r="N49" i="1"/>
  <c r="N47" i="1"/>
  <c r="N45" i="1"/>
  <c r="P211" i="1" s="1"/>
  <c r="N43" i="1"/>
  <c r="N41" i="1"/>
  <c r="D319" i="1" l="1"/>
  <c r="N167" i="1"/>
  <c r="N57" i="1"/>
  <c r="V59" i="1" s="1"/>
  <c r="Q60" i="1" s="1"/>
  <c r="Q61" i="1" s="1"/>
  <c r="N128" i="1"/>
  <c r="P228" i="1" s="1"/>
  <c r="N39" i="1"/>
  <c r="P60" i="1" l="1"/>
  <c r="N131" i="1"/>
  <c r="V132" i="1" l="1"/>
  <c r="N63" i="1"/>
  <c r="V64" i="1" l="1"/>
  <c r="N65" i="1"/>
  <c r="N133" i="1"/>
  <c r="Q133" i="1" s="1"/>
  <c r="H178" i="1"/>
  <c r="Q258" i="1" s="1"/>
  <c r="B352" i="1"/>
  <c r="B354" i="1" s="1"/>
  <c r="D259" i="1" l="1"/>
  <c r="Q65" i="1"/>
  <c r="Q66" i="1" s="1"/>
  <c r="Q134" i="1"/>
  <c r="P133" i="1"/>
  <c r="N178" i="1"/>
  <c r="H187" i="1" s="1"/>
  <c r="B356" i="1"/>
  <c r="B363" i="1" s="1"/>
  <c r="P65" i="1" l="1"/>
  <c r="V184" i="1"/>
  <c r="N184" i="1"/>
  <c r="B365" i="1"/>
  <c r="B367" i="1" s="1"/>
  <c r="B369" i="1" s="1"/>
  <c r="D372" i="1" s="1"/>
  <c r="H189" i="1" l="1"/>
  <c r="N189" i="1" s="1"/>
  <c r="N187" i="1"/>
  <c r="V189" i="1" s="1"/>
  <c r="Q183" i="1" l="1"/>
  <c r="P182" i="1" s="1"/>
  <c r="Q185" i="1"/>
  <c r="H195" i="1"/>
  <c r="H369" i="1" l="1"/>
  <c r="N195" i="1"/>
  <c r="Q190" i="1"/>
  <c r="Q191" i="1" s="1"/>
  <c r="P184" i="1"/>
  <c r="Q195" i="1" l="1"/>
  <c r="H330" i="1"/>
  <c r="P336" i="1" s="1"/>
  <c r="K425" i="1"/>
  <c r="H269" i="1"/>
  <c r="P275" i="1" s="1"/>
  <c r="H316" i="1"/>
  <c r="P189" i="1"/>
  <c r="P273" i="1" l="1"/>
  <c r="S335" i="1"/>
  <c r="S274" i="1"/>
  <c r="K433" i="1"/>
  <c r="K435" i="1" s="1"/>
  <c r="K437" i="1" s="1"/>
  <c r="P438" i="1" s="1"/>
  <c r="Q274" i="1"/>
  <c r="Q335" i="1" s="1"/>
  <c r="H320" i="1"/>
  <c r="Q320" i="1" s="1"/>
  <c r="H373" i="1"/>
  <c r="Q373" i="1" s="1"/>
  <c r="P372" i="1" l="1"/>
  <c r="P319" i="1"/>
</calcChain>
</file>

<file path=xl/sharedStrings.xml><?xml version="1.0" encoding="utf-8"?>
<sst xmlns="http://schemas.openxmlformats.org/spreadsheetml/2006/main" count="629" uniqueCount="409">
  <si>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</si>
  <si>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</si>
  <si>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</si>
  <si>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</si>
  <si>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</si>
  <si>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</si>
  <si>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</si>
  <si>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</si>
  <si>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</si>
  <si>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</si>
  <si>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</si>
  <si>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</si>
  <si>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</si>
  <si>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</si>
  <si>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</si>
  <si>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</si>
  <si>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</si>
  <si>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</si>
  <si>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</si>
  <si>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</si>
  <si>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</si>
  <si>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</si>
  <si>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</si>
  <si>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</si>
  <si>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</si>
  <si>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</si>
  <si>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</si>
  <si>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</si>
  <si>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</si>
  <si>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</si>
  <si>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</si>
  <si>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</si>
  <si>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</si>
  <si>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</si>
  <si>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</si>
  <si>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</si>
  <si>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</si>
  <si>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</si>
  <si>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</si>
  <si>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</si>
  <si>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</si>
  <si>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</si>
  <si>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</si>
  <si>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</si>
  <si>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</si>
  <si>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</si>
  <si>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</si>
  <si>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</si>
  <si>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</si>
  <si>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</si>
  <si>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</si>
  <si>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</si>
  <si>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</si>
  <si>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</si>
  <si>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</si>
  <si>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</si>
  <si>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</si>
  <si>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</si>
  <si>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</si>
  <si>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</si>
  <si>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</si>
  <si>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</si>
  <si>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</si>
  <si>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</si>
  <si>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</si>
  <si>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</si>
  <si>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</si>
  <si>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</si>
  <si>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</si>
  <si>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</si>
  <si>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</si>
  <si>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</si>
  <si>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</si>
  <si>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</si>
  <si>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</si>
  <si>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</si>
  <si>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</si>
  <si>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</si>
  <si>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</si>
  <si>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</si>
  <si>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</si>
  <si>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</si>
  <si>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Grants</t>
  </si>
  <si>
    <r>
      <t xml:space="preserve">USDA RD Financing: </t>
    </r>
    <r>
      <rPr>
        <u/>
        <sz val="8"/>
        <rFont val="Arial"/>
        <family val="2"/>
      </rPr>
      <t/>
    </r>
  </si>
  <si>
    <t>DEVELOPMENT COSTS</t>
  </si>
  <si>
    <t>HC Equity Bridge Loan</t>
  </si>
  <si>
    <t>PERMANENT ANALYSIS</t>
  </si>
  <si>
    <t>B.</t>
  </si>
  <si>
    <t>Total Development Costs</t>
  </si>
  <si>
    <t>A.</t>
  </si>
  <si>
    <t>Permanent Funding Sources:</t>
  </si>
  <si>
    <t xml:space="preserve">Off-Site Work:  </t>
  </si>
  <si>
    <t>G.</t>
  </si>
  <si>
    <t>(C+D+E+F)</t>
  </si>
  <si>
    <t>Brokerage Fees - Land/Buildings</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</si>
  <si>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</si>
  <si>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</si>
  <si>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</si>
  <si>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</si>
  <si>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</si>
  <si>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</si>
  <si>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</si>
  <si>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</si>
  <si>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</si>
  <si>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</si>
  <si>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</si>
  <si>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</si>
  <si>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</si>
  <si>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</si>
  <si>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</si>
  <si>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</si>
  <si>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</si>
  <si>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</si>
  <si>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</si>
  <si>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</si>
  <si>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</si>
  <si>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</si>
  <si>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</si>
  <si>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</si>
  <si>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</si>
  <si>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</si>
  <si>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</si>
  <si>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</si>
  <si>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</si>
  <si>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</si>
  <si>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</si>
  <si>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</si>
  <si>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</si>
  <si>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</si>
  <si>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</si>
  <si>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</si>
  <si>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</si>
  <si>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</si>
  <si>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</si>
  <si>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</si>
  <si>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</si>
  <si>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</si>
  <si>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</si>
  <si>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</si>
  <si>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HOME Request Amount</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</si>
  <si>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</si>
  <si>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</si>
  <si>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</si>
  <si>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</si>
  <si>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</si>
  <si>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</si>
  <si>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</si>
  <si>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</si>
  <si>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</si>
  <si>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</si>
  <si>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</si>
  <si>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</si>
  <si>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</si>
  <si>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</si>
  <si>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</si>
  <si>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</si>
  <si>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</si>
  <si>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</si>
  <si>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</si>
  <si>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</si>
  <si>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</si>
  <si>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</si>
  <si>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</si>
  <si>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</si>
  <si>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</si>
  <si>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</si>
  <si>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</si>
  <si>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</si>
  <si>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</si>
  <si>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</si>
  <si>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</si>
  <si>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</si>
  <si>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</si>
  <si>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</si>
  <si>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</si>
  <si>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</si>
  <si>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</si>
  <si>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</si>
  <si>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</si>
  <si>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</si>
  <si>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</si>
  <si>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</si>
  <si>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</si>
  <si>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</si>
  <si>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</si>
  <si>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</si>
  <si>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</si>
  <si>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</si>
  <si>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</si>
  <si>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</si>
  <si>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</si>
  <si>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</si>
  <si>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</si>
  <si>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</si>
  <si>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</si>
  <si>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</si>
  <si>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</si>
  <si>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</si>
  <si>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</si>
  <si>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</si>
  <si>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</si>
  <si>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</si>
  <si>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</si>
  <si>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</si>
  <si>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</si>
  <si>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</si>
  <si>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</si>
  <si>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</si>
  <si>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</si>
  <si>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</si>
  <si>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</si>
  <si>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</si>
  <si>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</si>
  <si>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</si>
  <si>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</si>
  <si>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</si>
  <si>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</si>
  <si>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</si>
  <si>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</si>
  <si>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</si>
  <si>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</si>
  <si>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</si>
  <si>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</si>
  <si>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</si>
  <si>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</si>
  <si>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</si>
  <si>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</si>
  <si>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</si>
  <si>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</si>
  <si>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</si>
  <si>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</si>
  <si>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</si>
  <si>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</si>
  <si>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</si>
  <si>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</si>
  <si>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</si>
  <si>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</si>
  <si>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</si>
  <si>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</si>
  <si>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</si>
  <si>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</si>
  <si>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</si>
  <si>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</si>
  <si>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</si>
  <si>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</si>
  <si>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</si>
  <si>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</si>
  <si>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</si>
  <si>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</si>
  <si>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</si>
  <si>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</si>
  <si>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</si>
  <si>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</si>
  <si>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</si>
  <si>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</si>
  <si>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</si>
  <si>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</si>
  <si>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</si>
  <si>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</si>
  <si>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</si>
  <si>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</si>
  <si>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</si>
  <si>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</si>
  <si>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</si>
  <si>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</si>
  <si>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</si>
  <si>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</si>
  <si>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(c) Homelss Demographic Multiplier……………………………………………………………….</t>
  </si>
  <si>
    <t>Tax-Exempt Bond Add-On…………………………………………………………………………………………….</t>
  </si>
  <si>
    <t>(a) PHA is a Principal Add-On……………………………………………………………………..</t>
  </si>
  <si>
    <t>Tax-Exempt Bonds</t>
  </si>
  <si>
    <t>MMRB Request Amount</t>
  </si>
  <si>
    <t>Indicate the number of total units in the proposed Development:</t>
  </si>
  <si>
    <t>(enter a value)</t>
  </si>
  <si>
    <t>RD 514/516</t>
  </si>
  <si>
    <t>RD 515</t>
  </si>
  <si>
    <t>RD 538</t>
  </si>
  <si>
    <t>ELI Loan Request Amount</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</si>
  <si>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</si>
  <si>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</si>
  <si>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</si>
  <si>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</si>
  <si>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</si>
  <si>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</si>
  <si>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</si>
  <si>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Viability Loan Request Amount</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</si>
  <si>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</si>
  <si>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</si>
  <si>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</si>
  <si>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</si>
  <si>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</si>
  <si>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</si>
  <si>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</si>
  <si>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</si>
  <si>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</si>
  <si>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</si>
  <si>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</si>
  <si>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</si>
  <si>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</si>
  <si>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</si>
  <si>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</si>
  <si>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</si>
  <si>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</si>
  <si>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</si>
  <si>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</si>
  <si>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</si>
  <si>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FHFC Credit Underwriting Fees</t>
    </r>
    <r>
      <rPr>
        <vertAlign val="superscript"/>
        <sz val="9"/>
        <rFont val="Arial"/>
        <family val="2"/>
      </rPr>
      <t xml:space="preserve"> See Note (2)</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</si>
  <si>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</si>
  <si>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</si>
  <si>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NHTF Request Amount</t>
  </si>
  <si>
    <t>NHTF Forgivable Loan Request Amount Limits:</t>
  </si>
  <si>
    <t>&lt;Enter a whole #&gt;</t>
  </si>
  <si>
    <t xml:space="preserve">Is the proposed Development's TDC PU for Limitation purposes equal </t>
  </si>
  <si>
    <t>to or less than the TDC PU Limitation provided in the RFA?.......................................................</t>
  </si>
  <si>
    <t>Medium</t>
  </si>
  <si>
    <t>Small</t>
  </si>
  <si>
    <t>Large</t>
  </si>
  <si>
    <t>Does the Proposed Development consist of 100% New Construction?</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</si>
  <si>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</si>
  <si>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</si>
  <si>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</si>
  <si>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</si>
  <si>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r>
      <t>has been deferred must be included in Total Development Cost.</t>
    </r>
    <r>
      <rPr>
        <sz val="8"/>
        <color theme="0"/>
        <rFont val="Arial"/>
        <family val="2"/>
      </rPr>
      <t xml:space="preserve">  When the </t>
    </r>
  </si>
  <si>
    <t xml:space="preserve">Developer fee may not exceed the limits established in Rule Chapter 67-48, F.A.C., or this RFA Any portion of the fee that </t>
  </si>
  <si>
    <t xml:space="preserve">determining the maximum Developer fee.  In addition, an ODR is not permitted in this Application at all.  If one has been </t>
  </si>
  <si>
    <t>&lt;select from menu&gt;</t>
  </si>
  <si>
    <t>SF-RC-GA-</t>
  </si>
  <si>
    <t>SF-RC-NG-</t>
  </si>
  <si>
    <t>PF-RC-GA-</t>
  </si>
  <si>
    <t>PF-RC-NG-</t>
  </si>
  <si>
    <t>(Select one or no option, as applicable)</t>
  </si>
  <si>
    <t>N/A (Rehab only)</t>
  </si>
  <si>
    <t>SAIL Loan Request Amount Limits (the lesser of the following):</t>
  </si>
  <si>
    <r>
      <t>Non-Garden</t>
    </r>
    <r>
      <rPr>
        <i/>
        <sz val="9"/>
        <color theme="0" tint="-0.249977111117893"/>
        <rFont val="Arial"/>
        <family val="2"/>
      </rPr>
      <t xml:space="preserve"> (Rehab only)</t>
    </r>
  </si>
  <si>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</si>
  <si>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</si>
  <si>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</si>
  <si>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</si>
  <si>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</si>
  <si>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</si>
  <si>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</si>
  <si>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</si>
  <si>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</si>
  <si>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</si>
  <si>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</si>
  <si>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</si>
  <si>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</si>
  <si>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</si>
  <si>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</si>
  <si>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</si>
  <si>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</si>
  <si>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</si>
  <si>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</si>
  <si>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</si>
  <si>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</si>
  <si>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</si>
  <si>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</si>
  <si>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</si>
  <si>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</si>
  <si>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</si>
  <si>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</si>
  <si>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</si>
  <si>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</si>
  <si>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</si>
  <si>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</si>
  <si>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</si>
  <si>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</si>
  <si>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</si>
  <si>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</si>
  <si>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</si>
  <si>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</si>
  <si>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</si>
  <si>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</si>
  <si>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</si>
  <si>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</si>
  <si>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</si>
  <si>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</si>
  <si>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</si>
  <si>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</si>
  <si>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</si>
  <si>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</si>
  <si>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</si>
  <si>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CDBG-DR Request Amount</t>
  </si>
  <si>
    <t>(ELI Designation)</t>
  </si>
  <si>
    <t>PHA/FHFC HOME/CDBG-DR</t>
  </si>
  <si>
    <t>Less Demolition and Relocation Costs, if applicable</t>
  </si>
  <si>
    <t>Relocation Costs</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</si>
  <si>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</si>
  <si>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</si>
  <si>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in Rule Chapter 67-48, F.A.C., as applicable.</t>
  </si>
  <si>
    <t>Reserved strictly for acquisition brokerage fees of Applicant.  Other activities performed by a broker for the Applicant may be considered as consulting fees.  May not include any seller costs.  Rule Chapter 67-48, F.A.C. provides limits.  Land portion is ineligible basis.*</t>
  </si>
  <si>
    <t>Relocation costs are considered to be ineligible basis when the building from which the tenants came is demolished.*</t>
  </si>
  <si>
    <t xml:space="preserve">5% of the amount provided in column 3 for A2.1 TOTAL GENERAL DEVELOPMENT COST.  Limitations on these contingency </t>
  </si>
  <si>
    <t xml:space="preserve">line items post-Application are provided in Rule Chapter 67-48, F.A.C. </t>
  </si>
  <si>
    <t>80% AMI</t>
  </si>
  <si>
    <t>For TDC PU Limitation purposes, Garden Apartments include all structure types that are 3 stories or less.</t>
  </si>
  <si>
    <t>120% AMI</t>
  </si>
  <si>
    <t>SAIL Loan Request Amount</t>
  </si>
  <si>
    <t>Maximum ELI Loan Request.</t>
  </si>
  <si>
    <t>Funding Request Limits</t>
  </si>
  <si>
    <t>AIT Min SA ELI %</t>
  </si>
  <si>
    <t>THIS SECTION IS ONLY RELEVANT TO TAX-EXEMPT MMRB TRANSACTIONS IN BAY COUNTY</t>
  </si>
  <si>
    <t>HC INELIGIBLE OR HOME ONLY COSTS</t>
  </si>
  <si>
    <t xml:space="preserve">If Housing Credit equity proceeds are being used as a source of financing, complete Columns 1 and 2.  The </t>
  </si>
  <si>
    <t xml:space="preserve">various FHFC Program fees should be estimated and included in column 2 for at least the HOME Program, and include the </t>
  </si>
  <si>
    <t>Housing Credit Program along with the MMRB Program, if applicable.</t>
  </si>
  <si>
    <t xml:space="preserve">  The maximum soft cost contintengy allowed cannot exceed </t>
  </si>
  <si>
    <t xml:space="preserve">column 3 for A1.3. TOTAL ACTUAL CONSTRUCTION COSTS.  The maximum soft cost contintengy allowed cannot exceed </t>
  </si>
  <si>
    <t>RFA 2019-109 DEVELOPMENT COST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</si>
</sst>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 numFmtId="173" formatCode="&quot;$&quot;#,##0&quot; Per Unit&quot;"/>
  </numFmts>
  <fonts count="60"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10"/>
      <color theme="1"/>
      <name val="Arial"/>
      <family val="2"/>
    </font>
    <font>
      <i/>
      <sz val="9"/>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b/>
      <i/>
      <sz val="10"/>
      <color theme="0"/>
      <name val="Arial"/>
      <family val="2"/>
    </font>
    <font>
      <b/>
      <i/>
      <u/>
      <sz val="10"/>
      <color theme="1"/>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14">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0" fontId="48" fillId="0" borderId="0" xfId="0" applyFont="1" applyFill="1" applyProtection="1"/>
    <xf numFmtId="0" fontId="0" fillId="0" borderId="0" xfId="0" applyFill="1" applyProtection="1"/>
    <xf numFmtId="166" fontId="1" fillId="0" borderId="0" xfId="0" applyNumberFormat="1" applyFont="1" applyFill="1" applyAlignment="1" applyProtection="1">
      <alignment horizontal="right"/>
    </xf>
    <xf numFmtId="0" fontId="35" fillId="0" borderId="0" xfId="0" applyFont="1" applyFill="1" applyAlignment="1" applyProtection="1">
      <alignment horizontal="center" vertical="center"/>
    </xf>
    <xf numFmtId="0" fontId="1" fillId="0" borderId="19" xfId="0" applyFont="1" applyFill="1" applyBorder="1" applyAlignment="1" applyProtection="1">
      <alignment horizontal="right" indent="1"/>
    </xf>
    <xf numFmtId="6" fontId="0" fillId="0" borderId="19" xfId="0" applyNumberFormat="1" applyFont="1" applyFill="1" applyBorder="1" applyProtection="1"/>
    <xf numFmtId="6" fontId="49" fillId="0" borderId="0" xfId="0" applyNumberFormat="1" applyFont="1" applyProtection="1"/>
    <xf numFmtId="6" fontId="49" fillId="0" borderId="0" xfId="0" applyNumberFormat="1" applyFont="1" applyAlignment="1" applyProtection="1">
      <alignment horizontal="right"/>
    </xf>
    <xf numFmtId="0" fontId="24" fillId="0" borderId="0" xfId="0" applyFont="1" applyFill="1" applyProtection="1"/>
    <xf numFmtId="165" fontId="1" fillId="0" borderId="0" xfId="0" applyNumberFormat="1" applyFont="1" applyFill="1" applyAlignment="1" applyProtection="1">
      <alignment horizontal="right"/>
    </xf>
    <xf numFmtId="0" fontId="27" fillId="0" borderId="4" xfId="0" applyFont="1" applyFill="1" applyBorder="1" applyAlignment="1" applyProtection="1">
      <alignment horizontal="right" indent="1"/>
      <protection locked="0"/>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6" fontId="0" fillId="0" borderId="0" xfId="0" applyNumberFormat="1" applyBorder="1" applyAlignment="1" applyProtection="1">
      <alignment horizontal="right"/>
    </xf>
    <xf numFmtId="0" fontId="49" fillId="0" borderId="0" xfId="0" applyFont="1" applyBorder="1" applyProtection="1"/>
    <xf numFmtId="6" fontId="49" fillId="0" borderId="0" xfId="0" applyNumberFormat="1" applyFont="1" applyBorder="1" applyAlignment="1" applyProtection="1">
      <alignment horizontal="right"/>
    </xf>
    <xf numFmtId="0" fontId="50" fillId="0" borderId="0" xfId="0" applyFont="1" applyProtection="1"/>
    <xf numFmtId="6" fontId="50" fillId="0" borderId="0" xfId="0" applyNumberFormat="1"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51" fillId="0" borderId="0" xfId="0" quotePrefix="1" applyFont="1" applyProtection="1"/>
    <xf numFmtId="0" fontId="51" fillId="0" borderId="0" xfId="0" applyFont="1" applyProtection="1"/>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3"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0" fillId="0" borderId="0" xfId="0" quotePrefix="1" applyFont="1" applyProtection="1"/>
    <xf numFmtId="0" fontId="54" fillId="0" borderId="0" xfId="0" applyFont="1" applyAlignment="1" applyProtection="1">
      <alignment wrapText="1"/>
    </xf>
    <xf numFmtId="6" fontId="0" fillId="0" borderId="0" xfId="0" applyNumberFormat="1" applyFont="1" applyFill="1" applyProtection="1"/>
    <xf numFmtId="6" fontId="1" fillId="0" borderId="0" xfId="0" applyNumberFormat="1" applyFont="1" applyProtection="1"/>
    <xf numFmtId="0" fontId="53" fillId="0" borderId="0" xfId="0" applyFont="1" applyAlignment="1" applyProtection="1">
      <alignment horizontal="right" vertical="center"/>
    </xf>
    <xf numFmtId="0" fontId="56" fillId="0" borderId="0" xfId="0" applyFont="1" applyProtection="1"/>
    <xf numFmtId="9" fontId="56" fillId="0" borderId="0" xfId="0" applyNumberFormat="1" applyFont="1" applyProtection="1"/>
    <xf numFmtId="0" fontId="41" fillId="0" borderId="0" xfId="0" applyFont="1" applyProtection="1"/>
    <xf numFmtId="0" fontId="42" fillId="0" borderId="0" xfId="0" applyFont="1" applyBorder="1" applyProtection="1"/>
    <xf numFmtId="0" fontId="42" fillId="0" borderId="13" xfId="0" applyFont="1" applyBorder="1" applyProtection="1"/>
    <xf numFmtId="0" fontId="42" fillId="0" borderId="14" xfId="0" applyFont="1" applyBorder="1" applyProtection="1"/>
    <xf numFmtId="0" fontId="36" fillId="4" borderId="0" xfId="0" applyFont="1" applyFill="1" applyBorder="1" applyProtection="1"/>
    <xf numFmtId="40" fontId="11" fillId="0" borderId="4" xfId="0" applyNumberFormat="1" applyFont="1" applyFill="1" applyBorder="1" applyProtection="1">
      <protection locked="0"/>
    </xf>
    <xf numFmtId="10" fontId="0" fillId="4" borderId="17" xfId="0" applyNumberFormat="1" applyFont="1" applyFill="1" applyBorder="1" applyAlignment="1" applyProtection="1">
      <alignment horizontal="center"/>
    </xf>
    <xf numFmtId="0" fontId="0" fillId="0" borderId="0" xfId="0" quotePrefix="1" applyFont="1" applyProtection="1"/>
    <xf numFmtId="9" fontId="1" fillId="0" borderId="0" xfId="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7" fillId="0" borderId="0" xfId="0" applyFont="1" applyAlignment="1" applyProtection="1">
      <alignment vertical="center"/>
    </xf>
    <xf numFmtId="0" fontId="26" fillId="0" borderId="0" xfId="0" quotePrefix="1" applyFont="1" applyProtection="1"/>
    <xf numFmtId="0" fontId="58" fillId="0" borderId="0" xfId="0" applyFont="1" applyProtection="1"/>
    <xf numFmtId="6" fontId="1" fillId="9" borderId="0" xfId="0" applyNumberFormat="1" applyFont="1" applyFill="1" applyProtection="1"/>
    <xf numFmtId="9" fontId="50" fillId="0" borderId="0" xfId="0" applyNumberFormat="1" applyFont="1" applyProtection="1"/>
    <xf numFmtId="9" fontId="0" fillId="0" borderId="0" xfId="0" applyNumberFormat="1" applyAlignment="1" applyProtection="1">
      <alignment horizontal="center"/>
    </xf>
    <xf numFmtId="0" fontId="33" fillId="0" borderId="0" xfId="0" applyFont="1" applyFill="1" applyProtection="1"/>
    <xf numFmtId="0" fontId="27" fillId="0" borderId="4" xfId="0" applyFont="1" applyBorder="1" applyAlignment="1" applyProtection="1">
      <alignment horizontal="center"/>
      <protection locked="0"/>
    </xf>
    <xf numFmtId="0" fontId="27" fillId="7"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5" fillId="0" borderId="0" xfId="0" applyFont="1" applyAlignment="1" applyProtection="1">
      <alignment horizontal="center" vertical="center" wrapText="1"/>
    </xf>
    <xf numFmtId="0" fontId="54" fillId="0" borderId="0" xfId="0" applyFont="1" applyAlignment="1" applyProtection="1">
      <alignment horizontal="left" wrapText="1"/>
    </xf>
    <xf numFmtId="0" fontId="0" fillId="0" borderId="5" xfId="0" applyFont="1" applyBorder="1" applyAlignment="1" applyProtection="1">
      <alignment horizontal="center"/>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0" fillId="0" borderId="0" xfId="0" applyFont="1" applyBorder="1" applyAlignment="1" applyProtection="1">
      <alignment horizontal="center"/>
    </xf>
    <xf numFmtId="8" fontId="1" fillId="0" borderId="17" xfId="0" applyNumberFormat="1" applyFont="1" applyBorder="1" applyAlignment="1" applyProtection="1">
      <alignment horizontal="right" indent="1"/>
    </xf>
    <xf numFmtId="0" fontId="27" fillId="0" borderId="4" xfId="0" applyFont="1" applyBorder="1" applyAlignment="1" applyProtection="1">
      <alignment horizontal="center" vertic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47" fillId="0" borderId="0" xfId="0" applyFont="1" applyAlignment="1" applyProtection="1">
      <alignment horizontal="center"/>
      <protection locked="0"/>
    </xf>
    <xf numFmtId="0" fontId="27" fillId="0" borderId="4" xfId="0" applyFont="1" applyBorder="1" applyAlignment="1" applyProtection="1">
      <alignment horizontal="left"/>
      <protection locked="0"/>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59" fillId="0" borderId="0" xfId="0" applyFont="1" applyAlignment="1" applyProtection="1">
      <alignment horizontal="right" wrapText="1"/>
    </xf>
    <xf numFmtId="0" fontId="0" fillId="0" borderId="0" xfId="0" applyAlignment="1" applyProtection="1">
      <alignment horizontal="right" vertical="top" wrapText="1"/>
    </xf>
    <xf numFmtId="0" fontId="41"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27" fillId="0" borderId="4" xfId="0" applyFont="1" applyBorder="1" applyAlignment="1" applyProtection="1">
      <alignment horizontal="center"/>
    </xf>
    <xf numFmtId="0" fontId="35" fillId="4" borderId="14" xfId="0" applyFont="1" applyFill="1" applyBorder="1" applyAlignment="1" applyProtection="1">
      <alignment horizontal="left" vertical="top" wrapText="1"/>
    </xf>
    <xf numFmtId="0" fontId="35" fillId="4" borderId="13" xfId="0" applyFont="1" applyFill="1" applyBorder="1" applyAlignment="1" applyProtection="1">
      <alignment horizontal="left" vertical="top"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173" fontId="55" fillId="0" borderId="28" xfId="0" applyNumberFormat="1" applyFont="1" applyBorder="1" applyAlignment="1" applyProtection="1">
      <alignment horizontal="center"/>
    </xf>
    <xf numFmtId="171" fontId="55" fillId="0" borderId="12" xfId="0" applyNumberFormat="1" applyFont="1" applyBorder="1" applyAlignment="1" applyProtection="1">
      <alignment horizontal="center"/>
    </xf>
    <xf numFmtId="172" fontId="55" fillId="0" borderId="12" xfId="0" applyNumberFormat="1" applyFont="1" applyBorder="1" applyAlignment="1" applyProtection="1">
      <alignment horizontal="center"/>
    </xf>
    <xf numFmtId="170" fontId="55" fillId="0" borderId="28" xfId="0" applyNumberFormat="1" applyFont="1" applyBorder="1" applyAlignment="1" applyProtection="1">
      <alignment horizontal="center"/>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43" fillId="0" borderId="15" xfId="0" applyFont="1" applyBorder="1" applyAlignment="1" applyProtection="1">
      <alignment horizontal="left" vertical="center" wrapText="1"/>
    </xf>
  </cellXfs>
  <cellStyles count="2">
    <cellStyle name="Normal" xfId="0" builtinId="0"/>
    <cellStyle name="Percent" xfId="1" builtinId="5"/>
  </cellStyles>
  <dxfs count="107">
    <dxf>
      <font>
        <color rgb="FFC00000"/>
      </font>
      <fill>
        <patternFill>
          <bgColor rgb="FFFFE6FF"/>
        </patternFill>
      </fill>
    </dxf>
    <dxf>
      <font>
        <color rgb="FFC00000"/>
      </font>
      <fill>
        <patternFill>
          <bgColor rgb="FFFFE6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dxf>
    <dxf>
      <font>
        <b/>
        <i/>
        <color rgb="FFFF0000"/>
      </font>
      <fill>
        <patternFill>
          <bgColor rgb="FFFFEBFF"/>
        </patternFill>
      </fill>
    </dxf>
    <dxf>
      <font>
        <b/>
        <i/>
        <color rgb="FFFF0000"/>
      </font>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color rgb="FFFF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color rgb="FFC00000"/>
      </font>
      <fill>
        <patternFill>
          <bgColor rgb="FFFFEBFF"/>
        </patternFill>
      </fill>
    </dxf>
    <dxf>
      <font>
        <b/>
        <i/>
        <color rgb="FFFF0000"/>
      </font>
    </dxf>
    <dxf>
      <font>
        <b/>
        <i/>
        <color rgb="FFFF0000"/>
      </font>
      <fill>
        <patternFill>
          <bgColor rgb="FFFFEBFF"/>
        </patternFill>
      </fill>
    </dxf>
    <dxf>
      <font>
        <b/>
        <i/>
        <color rgb="FFFF0000"/>
      </font>
      <fill>
        <patternFill>
          <bgColor rgb="FFFFEBFF"/>
        </patternFill>
      </fill>
    </dxf>
    <dxf>
      <font>
        <b/>
        <i/>
        <color rgb="FFFF0000"/>
      </font>
    </dxf>
    <dxf>
      <font>
        <b/>
        <i/>
        <color rgb="FFFF0000"/>
      </font>
    </dxf>
    <dxf>
      <font>
        <b/>
        <i/>
        <color rgb="FFFF0000"/>
      </font>
      <fill>
        <patternFill>
          <bgColor rgb="FFFFEBFF"/>
        </patternFill>
      </fill>
    </dxf>
    <dxf>
      <font>
        <b/>
        <i/>
        <color rgb="FFFF0000"/>
      </font>
      <fill>
        <patternFill>
          <bgColor rgb="FFFFEBFF"/>
        </patternFill>
      </fill>
    </dxf>
    <dxf>
      <font>
        <color rgb="FFC00000"/>
      </font>
      <fill>
        <patternFill>
          <bgColor rgb="FFFFEBFF"/>
        </patternFill>
      </fill>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val="0"/>
        <i/>
        <color rgb="FFFF0000"/>
      </font>
    </dxf>
    <dxf>
      <font>
        <b val="0"/>
        <i/>
        <color rgb="FFFF0000"/>
      </font>
    </dxf>
    <dxf>
      <font>
        <b val="0"/>
        <i/>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6FF"/>
      <color rgb="FFFFCCFF"/>
      <color rgb="FFFFEBFF"/>
      <color rgb="FF0000FF"/>
      <color rgb="FFDDFFDD"/>
      <color rgb="FF81DEFF"/>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74"/>
  <sheetViews>
    <sheetView tabSelected="1" zoomScaleNormal="100" zoomScaleSheetLayoutView="100" zoomScalePageLayoutView="120" workbookViewId="0">
      <selection activeCell="K32" sqref="K32:N32"/>
    </sheetView>
  </sheetViews>
  <sheetFormatPr defaultColWidth="9.28515625" defaultRowHeight="12.75" x14ac:dyDescent="0.2"/>
  <cols>
    <col min="1" max="1" width="1.5703125" style="90" customWidth="1"/>
    <col min="2" max="2" width="3.5703125" style="90" customWidth="1"/>
    <col min="3" max="3" width="3.42578125" style="90" customWidth="1"/>
    <col min="4" max="4" width="2.5703125" style="90" customWidth="1"/>
    <col min="5" max="5" width="9.42578125" style="90" customWidth="1"/>
    <col min="6" max="6" width="19.5703125" style="90" customWidth="1"/>
    <col min="7" max="7" width="3.5703125" style="90" customWidth="1"/>
    <col min="8" max="8" width="15.5703125" style="90" customWidth="1"/>
    <col min="9" max="9" width="2.5703125" style="90" customWidth="1"/>
    <col min="10" max="10" width="3.5703125" style="90" customWidth="1"/>
    <col min="11" max="11" width="15.5703125" style="90" customWidth="1"/>
    <col min="12" max="12" width="2.5703125" style="90" customWidth="1"/>
    <col min="13" max="13" width="3.5703125" style="90" customWidth="1"/>
    <col min="14" max="14" width="16.5703125" style="90" customWidth="1"/>
    <col min="15" max="15" width="1.5703125" style="90" customWidth="1"/>
    <col min="16" max="16" width="5.42578125" style="90" customWidth="1"/>
    <col min="17" max="17" width="16.7109375" style="90" customWidth="1"/>
    <col min="18" max="21" width="9.28515625" style="90"/>
    <col min="22" max="22" width="20.5703125" style="90" customWidth="1"/>
    <col min="23" max="16384" width="9.28515625" style="90"/>
  </cols>
  <sheetData>
    <row r="1" spans="1:16" ht="3.75" customHeight="1" x14ac:dyDescent="0.2">
      <c r="A1" s="87"/>
      <c r="B1" s="87"/>
      <c r="C1" s="87"/>
      <c r="D1" s="87"/>
      <c r="E1" s="87"/>
      <c r="F1" s="87"/>
      <c r="G1" s="87"/>
      <c r="H1" s="87"/>
      <c r="I1" s="87"/>
      <c r="J1" s="87"/>
      <c r="K1" s="87"/>
      <c r="L1" s="87"/>
      <c r="M1" s="87"/>
      <c r="N1" s="87"/>
      <c r="O1" s="87"/>
      <c r="P1" s="87"/>
    </row>
    <row r="2" spans="1:16" x14ac:dyDescent="0.2">
      <c r="A2" s="1"/>
      <c r="B2" s="128" t="s">
        <v>408</v>
      </c>
      <c r="C2" s="88"/>
      <c r="D2" s="1"/>
      <c r="E2" s="1"/>
      <c r="F2" s="1"/>
      <c r="G2" s="1"/>
      <c r="H2" s="1"/>
      <c r="I2" s="1"/>
      <c r="J2" s="1"/>
      <c r="K2" s="1"/>
      <c r="L2" s="1"/>
      <c r="M2" s="1"/>
      <c r="N2" s="1"/>
      <c r="O2" s="89"/>
      <c r="P2" s="3" t="s">
        <v>343</v>
      </c>
    </row>
    <row r="3" spans="1:16" x14ac:dyDescent="0.2">
      <c r="A3" s="1"/>
      <c r="B3" s="25"/>
      <c r="C3" s="25"/>
      <c r="D3" s="1"/>
      <c r="E3" s="1"/>
      <c r="F3" s="1"/>
      <c r="G3" s="1"/>
      <c r="H3" s="1"/>
      <c r="I3" s="1"/>
      <c r="J3" s="1"/>
      <c r="K3" s="1"/>
      <c r="L3" s="1"/>
      <c r="M3" s="1"/>
      <c r="N3" s="1"/>
      <c r="O3" s="89"/>
      <c r="P3" s="89"/>
    </row>
    <row r="4" spans="1:16" x14ac:dyDescent="0.2">
      <c r="A4" s="1"/>
      <c r="B4" s="1"/>
      <c r="C4" s="1"/>
      <c r="D4" s="26" t="s">
        <v>0</v>
      </c>
      <c r="E4" s="117">
        <v>1</v>
      </c>
      <c r="F4" s="118" t="s">
        <v>323</v>
      </c>
      <c r="G4" s="88"/>
      <c r="H4" s="88"/>
      <c r="I4" s="88"/>
      <c r="J4" s="88"/>
      <c r="K4" s="88"/>
      <c r="L4" s="88"/>
      <c r="M4" s="88"/>
      <c r="N4" s="88"/>
      <c r="O4" s="89"/>
      <c r="P4" s="89"/>
    </row>
    <row r="5" spans="1:16" x14ac:dyDescent="0.2">
      <c r="A5" s="1"/>
      <c r="B5" s="1"/>
      <c r="C5" s="28"/>
      <c r="D5" s="28"/>
      <c r="E5" s="119"/>
      <c r="F5" s="118" t="s">
        <v>322</v>
      </c>
      <c r="G5" s="88"/>
      <c r="H5" s="88"/>
      <c r="I5" s="88"/>
      <c r="J5" s="88"/>
      <c r="K5" s="88"/>
      <c r="L5" s="88"/>
      <c r="M5" s="88"/>
      <c r="N5" s="88"/>
      <c r="O5" s="89"/>
      <c r="P5" s="89"/>
    </row>
    <row r="6" spans="1:16" hidden="1" x14ac:dyDescent="0.2">
      <c r="A6" s="1"/>
      <c r="B6" s="1"/>
      <c r="C6" s="28"/>
      <c r="D6" s="28"/>
      <c r="E6" s="119"/>
      <c r="F6" s="184" t="s">
        <v>290</v>
      </c>
      <c r="G6" s="185"/>
      <c r="H6" s="185"/>
      <c r="I6" s="185"/>
      <c r="J6" s="185"/>
      <c r="K6" s="185"/>
      <c r="L6" s="185"/>
      <c r="M6" s="185"/>
      <c r="N6" s="185"/>
      <c r="O6" s="89"/>
      <c r="P6" s="89"/>
    </row>
    <row r="7" spans="1:16" hidden="1" x14ac:dyDescent="0.2">
      <c r="A7" s="1"/>
      <c r="B7" s="1"/>
      <c r="C7" s="28"/>
      <c r="D7" s="28"/>
      <c r="E7" s="119"/>
      <c r="F7" s="184" t="s">
        <v>291</v>
      </c>
      <c r="G7" s="185"/>
      <c r="H7" s="185"/>
      <c r="I7" s="185"/>
      <c r="J7" s="185"/>
      <c r="K7" s="185"/>
      <c r="L7" s="185"/>
      <c r="M7" s="185"/>
      <c r="N7" s="185"/>
      <c r="O7" s="89"/>
      <c r="P7" s="89"/>
    </row>
    <row r="8" spans="1:16" x14ac:dyDescent="0.2">
      <c r="A8" s="1"/>
      <c r="B8" s="1"/>
      <c r="C8" s="28"/>
      <c r="D8" s="28"/>
      <c r="E8" s="117">
        <f>MAX(E$4:E7)+1</f>
        <v>2</v>
      </c>
      <c r="F8" s="118" t="s">
        <v>403</v>
      </c>
      <c r="G8" s="88"/>
      <c r="H8" s="88"/>
      <c r="I8" s="88"/>
      <c r="J8" s="88"/>
      <c r="K8" s="88"/>
      <c r="L8" s="88"/>
      <c r="M8" s="88"/>
      <c r="N8" s="88"/>
      <c r="O8" s="89"/>
      <c r="P8" s="89"/>
    </row>
    <row r="9" spans="1:16" x14ac:dyDescent="0.2">
      <c r="A9" s="1"/>
      <c r="B9" s="1"/>
      <c r="C9" s="28"/>
      <c r="D9" s="28"/>
      <c r="E9" s="117"/>
      <c r="F9" s="118" t="s">
        <v>404</v>
      </c>
      <c r="G9" s="88"/>
      <c r="H9" s="88"/>
      <c r="I9" s="88"/>
      <c r="J9" s="88"/>
      <c r="K9" s="88"/>
      <c r="L9" s="88"/>
      <c r="M9" s="88"/>
      <c r="N9" s="88"/>
      <c r="O9" s="89"/>
      <c r="P9" s="89"/>
    </row>
    <row r="10" spans="1:16" x14ac:dyDescent="0.2">
      <c r="A10" s="1"/>
      <c r="B10" s="1"/>
      <c r="C10" s="28"/>
      <c r="D10" s="28"/>
      <c r="E10" s="117"/>
      <c r="F10" s="244" t="s">
        <v>405</v>
      </c>
      <c r="G10" s="88"/>
      <c r="H10" s="88"/>
      <c r="I10" s="88"/>
      <c r="J10" s="88"/>
      <c r="K10" s="88"/>
      <c r="L10" s="88"/>
      <c r="M10" s="88"/>
      <c r="N10" s="88"/>
      <c r="O10" s="89"/>
      <c r="P10" s="89"/>
    </row>
    <row r="11" spans="1:16" x14ac:dyDescent="0.2">
      <c r="A11" s="1"/>
      <c r="B11" s="1"/>
      <c r="C11" s="1"/>
      <c r="D11" s="1"/>
      <c r="E11" s="117">
        <f>MAX(E$4:E8)+1</f>
        <v>3</v>
      </c>
      <c r="F11" s="118" t="s">
        <v>108</v>
      </c>
      <c r="G11" s="88"/>
      <c r="H11" s="88"/>
      <c r="I11" s="88"/>
      <c r="J11" s="88"/>
      <c r="K11" s="88"/>
      <c r="L11" s="88"/>
      <c r="M11" s="88"/>
      <c r="N11" s="88"/>
      <c r="O11" s="89"/>
      <c r="P11" s="89"/>
    </row>
    <row r="12" spans="1:16" x14ac:dyDescent="0.2">
      <c r="A12" s="1"/>
      <c r="B12" s="1"/>
      <c r="C12" s="1"/>
      <c r="D12" s="1"/>
      <c r="E12" s="120"/>
      <c r="F12" s="118" t="s">
        <v>287</v>
      </c>
      <c r="G12" s="88"/>
      <c r="H12" s="88"/>
      <c r="I12" s="88"/>
      <c r="J12" s="88"/>
      <c r="K12" s="88"/>
      <c r="L12" s="88"/>
      <c r="M12" s="88"/>
      <c r="N12" s="88"/>
      <c r="O12" s="89"/>
      <c r="P12" s="89"/>
    </row>
    <row r="13" spans="1:16" x14ac:dyDescent="0.2">
      <c r="A13" s="1"/>
      <c r="B13" s="1"/>
      <c r="C13" s="1"/>
      <c r="D13" s="1"/>
      <c r="E13" s="120"/>
      <c r="F13" s="118" t="s">
        <v>288</v>
      </c>
      <c r="G13" s="88"/>
      <c r="H13" s="88"/>
      <c r="I13" s="88"/>
      <c r="J13" s="88"/>
      <c r="K13" s="88"/>
      <c r="L13" s="88"/>
      <c r="M13" s="88"/>
      <c r="N13" s="88"/>
      <c r="O13" s="89"/>
      <c r="P13" s="89"/>
    </row>
    <row r="14" spans="1:16" x14ac:dyDescent="0.2">
      <c r="A14" s="1"/>
      <c r="B14" s="1"/>
      <c r="C14" s="1"/>
      <c r="D14" s="1"/>
      <c r="E14" s="117">
        <f>MAX(E$4:E13)+1</f>
        <v>4</v>
      </c>
      <c r="F14" s="118" t="s">
        <v>165</v>
      </c>
      <c r="G14" s="88"/>
      <c r="H14" s="88"/>
      <c r="I14" s="88"/>
      <c r="J14" s="88"/>
      <c r="K14" s="88"/>
      <c r="L14" s="88"/>
      <c r="M14" s="88"/>
      <c r="N14" s="88"/>
      <c r="O14" s="89"/>
      <c r="P14" s="89"/>
    </row>
    <row r="15" spans="1:16" x14ac:dyDescent="0.2">
      <c r="A15" s="1"/>
      <c r="B15" s="1"/>
      <c r="C15" s="1"/>
      <c r="D15" s="1"/>
      <c r="E15" s="120"/>
      <c r="F15" s="118" t="s">
        <v>407</v>
      </c>
      <c r="G15" s="121"/>
      <c r="H15" s="121"/>
      <c r="I15" s="121"/>
      <c r="J15" s="121"/>
      <c r="K15" s="121"/>
      <c r="L15" s="121"/>
      <c r="M15" s="121"/>
      <c r="N15" s="121"/>
      <c r="O15" s="89"/>
      <c r="P15" s="89"/>
    </row>
    <row r="16" spans="1:16" hidden="1" x14ac:dyDescent="0.2">
      <c r="A16" s="1"/>
      <c r="B16" s="1"/>
      <c r="C16" s="1"/>
      <c r="D16" s="1"/>
      <c r="E16" s="120"/>
      <c r="F16" s="118" t="s">
        <v>406</v>
      </c>
      <c r="G16" s="121"/>
      <c r="H16" s="121"/>
      <c r="I16" s="121"/>
      <c r="J16" s="121"/>
      <c r="K16" s="121"/>
      <c r="L16" s="121"/>
      <c r="M16" s="121"/>
      <c r="N16" s="121"/>
      <c r="O16" s="89"/>
      <c r="P16" s="89"/>
    </row>
    <row r="17" spans="1:19" x14ac:dyDescent="0.2">
      <c r="A17" s="1"/>
      <c r="B17" s="1"/>
      <c r="C17" s="1"/>
      <c r="D17" s="1"/>
      <c r="E17" s="122"/>
      <c r="F17" s="118" t="s">
        <v>392</v>
      </c>
      <c r="G17" s="88"/>
      <c r="H17" s="88"/>
      <c r="I17" s="88"/>
      <c r="J17" s="88"/>
      <c r="K17" s="88"/>
      <c r="L17" s="88"/>
      <c r="M17" s="88"/>
      <c r="N17" s="88"/>
      <c r="O17" s="89"/>
      <c r="P17" s="89"/>
    </row>
    <row r="18" spans="1:19" x14ac:dyDescent="0.2">
      <c r="A18" s="1"/>
      <c r="B18" s="1"/>
      <c r="C18" s="1"/>
      <c r="D18" s="1"/>
      <c r="E18" s="30"/>
      <c r="F18" s="28" t="s">
        <v>393</v>
      </c>
      <c r="G18" s="1"/>
      <c r="H18" s="1"/>
      <c r="I18" s="1"/>
      <c r="J18" s="1"/>
      <c r="K18" s="1"/>
      <c r="L18" s="1"/>
      <c r="M18" s="1"/>
      <c r="N18" s="1"/>
      <c r="O18" s="89"/>
      <c r="P18" s="89"/>
    </row>
    <row r="19" spans="1:19" x14ac:dyDescent="0.2">
      <c r="A19" s="1"/>
      <c r="B19" s="1"/>
      <c r="C19" s="1"/>
      <c r="D19" s="1"/>
      <c r="E19" s="117">
        <f>MAX(E$4:E17)+1</f>
        <v>5</v>
      </c>
      <c r="F19" s="162" t="s">
        <v>166</v>
      </c>
      <c r="G19" s="1"/>
      <c r="H19" s="1"/>
      <c r="I19" s="1"/>
      <c r="J19" s="1"/>
      <c r="K19" s="1"/>
      <c r="L19" s="1"/>
      <c r="M19" s="1"/>
      <c r="N19" s="1"/>
      <c r="O19" s="89"/>
      <c r="P19" s="89"/>
    </row>
    <row r="20" spans="1:19" x14ac:dyDescent="0.2">
      <c r="A20" s="1"/>
      <c r="B20" s="1"/>
      <c r="C20" s="1"/>
      <c r="D20" s="1"/>
      <c r="E20" s="30"/>
      <c r="F20" s="28" t="s">
        <v>324</v>
      </c>
      <c r="G20" s="1"/>
      <c r="H20" s="1"/>
      <c r="I20" s="1"/>
      <c r="J20" s="1"/>
      <c r="K20" s="1"/>
      <c r="L20" s="1"/>
      <c r="M20" s="1"/>
      <c r="N20" s="1"/>
      <c r="O20" s="89"/>
      <c r="P20" s="89"/>
    </row>
    <row r="21" spans="1:19" x14ac:dyDescent="0.2">
      <c r="A21" s="1"/>
      <c r="B21" s="1"/>
      <c r="C21" s="1"/>
      <c r="D21" s="1"/>
      <c r="E21" s="30"/>
      <c r="F21" s="28" t="s">
        <v>295</v>
      </c>
      <c r="G21" s="1"/>
      <c r="H21" s="1"/>
      <c r="I21" s="1"/>
      <c r="J21" s="1"/>
      <c r="K21" s="1"/>
      <c r="L21" s="1"/>
      <c r="M21" s="1"/>
      <c r="N21" s="1"/>
      <c r="O21" s="89"/>
      <c r="P21" s="89"/>
    </row>
    <row r="22" spans="1:19" x14ac:dyDescent="0.2">
      <c r="A22" s="1"/>
      <c r="B22" s="1"/>
      <c r="C22" s="1"/>
      <c r="D22" s="1"/>
      <c r="E22" s="112"/>
      <c r="F22" s="28" t="s">
        <v>296</v>
      </c>
      <c r="G22" s="1"/>
      <c r="H22" s="1"/>
      <c r="I22" s="1"/>
      <c r="J22" s="1"/>
      <c r="K22" s="1"/>
      <c r="L22" s="1"/>
      <c r="M22" s="1"/>
      <c r="N22" s="1"/>
      <c r="O22" s="89"/>
      <c r="P22" s="89"/>
    </row>
    <row r="23" spans="1:19" x14ac:dyDescent="0.2">
      <c r="A23" s="1"/>
      <c r="B23" s="1"/>
      <c r="C23" s="1"/>
      <c r="D23" s="1"/>
      <c r="E23" s="27"/>
      <c r="F23" s="28" t="s">
        <v>297</v>
      </c>
      <c r="G23" s="1"/>
      <c r="H23" s="1"/>
      <c r="I23" s="1"/>
      <c r="J23" s="1"/>
      <c r="K23" s="1"/>
      <c r="L23" s="1"/>
      <c r="M23" s="1"/>
      <c r="N23" s="1"/>
      <c r="O23" s="89"/>
      <c r="P23" s="89"/>
    </row>
    <row r="24" spans="1:19" x14ac:dyDescent="0.2">
      <c r="A24" s="1"/>
      <c r="B24" s="1"/>
      <c r="C24" s="1"/>
      <c r="D24" s="1"/>
      <c r="E24" s="112">
        <f>MAX(E$4:E23)+1</f>
        <v>6</v>
      </c>
      <c r="F24" s="28" t="s">
        <v>298</v>
      </c>
      <c r="G24" s="1"/>
      <c r="H24" s="1"/>
      <c r="I24" s="1"/>
      <c r="J24" s="1"/>
      <c r="K24" s="1"/>
      <c r="L24" s="1"/>
      <c r="M24" s="1"/>
      <c r="N24" s="1"/>
      <c r="O24" s="89"/>
      <c r="P24" s="89"/>
    </row>
    <row r="25" spans="1:19" x14ac:dyDescent="0.2">
      <c r="A25" s="1"/>
      <c r="B25" s="1"/>
      <c r="C25" s="1"/>
      <c r="D25" s="1"/>
      <c r="E25" s="27"/>
      <c r="F25" s="28" t="s">
        <v>387</v>
      </c>
      <c r="G25" s="1"/>
      <c r="H25" s="1"/>
      <c r="I25" s="1"/>
      <c r="J25" s="1"/>
      <c r="K25" s="1"/>
      <c r="L25" s="1"/>
      <c r="M25" s="1"/>
      <c r="N25" s="1"/>
      <c r="O25" s="89"/>
      <c r="P25" s="89"/>
    </row>
    <row r="26" spans="1:19" x14ac:dyDescent="0.2">
      <c r="A26" s="1"/>
      <c r="B26" s="1"/>
      <c r="C26" s="1"/>
      <c r="D26" s="1"/>
      <c r="E26" s="88"/>
      <c r="F26" s="28" t="s">
        <v>388</v>
      </c>
      <c r="G26" s="1"/>
      <c r="H26" s="1"/>
      <c r="I26" s="1"/>
      <c r="J26" s="1"/>
      <c r="K26" s="1"/>
      <c r="L26" s="1"/>
      <c r="M26" s="1"/>
      <c r="N26" s="1"/>
      <c r="O26" s="89"/>
      <c r="P26" s="89"/>
    </row>
    <row r="27" spans="1:19" x14ac:dyDescent="0.2">
      <c r="A27" s="1"/>
      <c r="B27" s="1"/>
      <c r="C27" s="1"/>
      <c r="D27" s="1"/>
      <c r="E27" s="88"/>
      <c r="F27" s="28" t="s">
        <v>389</v>
      </c>
      <c r="G27" s="1"/>
      <c r="H27" s="1"/>
      <c r="I27" s="1"/>
      <c r="J27" s="1"/>
      <c r="K27" s="1"/>
      <c r="L27" s="1"/>
      <c r="M27" s="1"/>
      <c r="N27" s="1"/>
      <c r="O27" s="89"/>
      <c r="P27" s="89"/>
    </row>
    <row r="28" spans="1:19" x14ac:dyDescent="0.2">
      <c r="A28" s="1"/>
      <c r="B28" s="1"/>
      <c r="C28" s="1"/>
      <c r="D28" s="1"/>
      <c r="E28" s="27"/>
      <c r="F28" s="88"/>
      <c r="G28" s="1"/>
      <c r="H28" s="1"/>
      <c r="I28" s="1"/>
      <c r="J28" s="1"/>
      <c r="K28" s="1"/>
      <c r="L28" s="1"/>
      <c r="M28" s="1"/>
      <c r="N28" s="1"/>
      <c r="O28" s="89"/>
      <c r="P28" s="89"/>
    </row>
    <row r="29" spans="1:19" x14ac:dyDescent="0.2">
      <c r="A29" s="1"/>
      <c r="B29" s="1"/>
      <c r="C29" s="31" t="s">
        <v>14</v>
      </c>
      <c r="D29" s="1"/>
      <c r="E29" s="27"/>
      <c r="F29" s="1"/>
      <c r="G29" s="1"/>
      <c r="H29" s="1"/>
      <c r="I29" s="1"/>
      <c r="J29" s="1"/>
      <c r="K29" s="1"/>
      <c r="L29" s="1"/>
      <c r="M29" s="1"/>
      <c r="N29" s="1"/>
      <c r="O29" s="89"/>
      <c r="P29" s="89"/>
    </row>
    <row r="30" spans="1:19" x14ac:dyDescent="0.2">
      <c r="A30" s="1"/>
      <c r="B30" s="1"/>
      <c r="C30" s="31" t="s">
        <v>15</v>
      </c>
      <c r="D30" s="1"/>
      <c r="E30" s="27"/>
      <c r="F30" s="28"/>
      <c r="G30" s="1"/>
      <c r="H30" s="1"/>
      <c r="I30" s="1"/>
      <c r="J30" s="1"/>
      <c r="K30" s="1"/>
      <c r="L30" s="1"/>
      <c r="M30" s="1"/>
      <c r="N30" s="1"/>
      <c r="O30" s="89"/>
      <c r="P30" s="89"/>
    </row>
    <row r="31" spans="1:19" x14ac:dyDescent="0.2">
      <c r="A31" s="1"/>
      <c r="B31" s="32"/>
      <c r="C31" s="88"/>
      <c r="D31" s="1"/>
      <c r="E31" s="1"/>
      <c r="F31" s="1"/>
      <c r="G31" s="1"/>
      <c r="H31" s="1"/>
      <c r="I31" s="1"/>
      <c r="J31" s="1"/>
      <c r="K31" s="1"/>
      <c r="L31" s="1"/>
      <c r="M31" s="1"/>
      <c r="N31" s="1"/>
      <c r="O31" s="89"/>
      <c r="P31" s="89"/>
    </row>
    <row r="32" spans="1:19" x14ac:dyDescent="0.2">
      <c r="A32" s="1"/>
      <c r="B32" s="32"/>
      <c r="C32" s="88"/>
      <c r="D32" s="1"/>
      <c r="E32" s="1"/>
      <c r="G32" s="1"/>
      <c r="I32" s="48" t="s">
        <v>119</v>
      </c>
      <c r="J32" s="1"/>
      <c r="K32" s="256" t="s">
        <v>140</v>
      </c>
      <c r="L32" s="256"/>
      <c r="M32" s="256"/>
      <c r="N32" s="256"/>
      <c r="O32" s="89"/>
      <c r="P32" s="129" t="str">
        <f>IF(K32=F488,"**","")</f>
        <v>**</v>
      </c>
      <c r="R32" s="131" t="s">
        <v>168</v>
      </c>
      <c r="S32" s="90" t="s">
        <v>169</v>
      </c>
    </row>
    <row r="33" spans="1:26" x14ac:dyDescent="0.2">
      <c r="A33" s="1"/>
      <c r="B33" s="32"/>
      <c r="C33" s="88"/>
      <c r="D33" s="1"/>
      <c r="E33" s="1"/>
      <c r="G33" s="1"/>
      <c r="I33" s="132" t="s">
        <v>272</v>
      </c>
      <c r="J33" s="1"/>
      <c r="K33" s="130" t="s">
        <v>273</v>
      </c>
      <c r="L33" s="133"/>
      <c r="M33" s="133"/>
      <c r="N33" s="133"/>
      <c r="O33" s="89"/>
      <c r="P33" s="129" t="str">
        <f>IF(N(K33)=0,"**","")</f>
        <v>**</v>
      </c>
    </row>
    <row r="34" spans="1:26" ht="12.75" customHeight="1" x14ac:dyDescent="0.2">
      <c r="A34" s="1"/>
      <c r="B34" s="32"/>
      <c r="C34" s="88"/>
      <c r="D34" s="1"/>
      <c r="E34" s="1"/>
      <c r="F34" s="1"/>
      <c r="G34" s="1"/>
      <c r="H34" s="1"/>
      <c r="Q34" s="304" t="s">
        <v>319</v>
      </c>
      <c r="R34" s="305"/>
      <c r="S34" s="305"/>
      <c r="T34" s="305"/>
      <c r="U34" s="305"/>
      <c r="V34" s="305"/>
      <c r="W34" s="305"/>
      <c r="X34" s="305"/>
      <c r="Y34" s="305"/>
      <c r="Z34" s="306"/>
    </row>
    <row r="35" spans="1:26" ht="12.75" customHeight="1" x14ac:dyDescent="0.2">
      <c r="A35" s="1"/>
      <c r="B35" s="1"/>
      <c r="C35" s="1"/>
      <c r="D35" s="1"/>
      <c r="E35" s="1"/>
      <c r="F35" s="1"/>
      <c r="G35" s="1"/>
      <c r="H35" s="170">
        <v>1</v>
      </c>
      <c r="I35" s="1"/>
      <c r="J35" s="1"/>
      <c r="K35" s="170">
        <v>2</v>
      </c>
      <c r="L35" s="1"/>
      <c r="M35" s="34"/>
      <c r="N35" s="111">
        <v>3</v>
      </c>
      <c r="O35" s="89"/>
      <c r="P35" s="89"/>
      <c r="Q35" s="307"/>
      <c r="R35" s="308"/>
      <c r="S35" s="308"/>
      <c r="T35" s="308"/>
      <c r="U35" s="308"/>
      <c r="V35" s="308"/>
      <c r="W35" s="308"/>
      <c r="X35" s="308"/>
      <c r="Y35" s="308"/>
      <c r="Z35" s="309"/>
    </row>
    <row r="36" spans="1:26" ht="23.65" customHeight="1" thickBot="1" x14ac:dyDescent="0.25">
      <c r="A36" s="1"/>
      <c r="B36" s="1"/>
      <c r="C36" s="1"/>
      <c r="D36" s="1"/>
      <c r="E36" s="1"/>
      <c r="F36" s="1"/>
      <c r="G36" s="1"/>
      <c r="H36" s="36" t="s">
        <v>112</v>
      </c>
      <c r="I36" s="33"/>
      <c r="J36" s="33"/>
      <c r="K36" s="37" t="s">
        <v>402</v>
      </c>
      <c r="L36" s="37"/>
      <c r="M36" s="73"/>
      <c r="N36" s="37" t="s">
        <v>113</v>
      </c>
      <c r="O36" s="89"/>
      <c r="P36" s="89"/>
      <c r="Q36" s="310"/>
      <c r="R36" s="311"/>
      <c r="S36" s="311"/>
      <c r="T36" s="311"/>
      <c r="U36" s="311"/>
      <c r="V36" s="311"/>
      <c r="W36" s="311"/>
      <c r="X36" s="311"/>
      <c r="Y36" s="311"/>
      <c r="Z36" s="312"/>
    </row>
    <row r="37" spans="1:26" x14ac:dyDescent="0.2">
      <c r="A37" s="1"/>
      <c r="B37" s="25" t="s">
        <v>84</v>
      </c>
      <c r="C37" s="1"/>
      <c r="D37" s="1"/>
      <c r="E37" s="1"/>
      <c r="F37" s="1"/>
      <c r="G37" s="1"/>
      <c r="H37" s="1"/>
      <c r="I37" s="1"/>
      <c r="J37" s="1"/>
      <c r="K37" s="68"/>
      <c r="L37" s="68"/>
      <c r="M37" s="68"/>
      <c r="N37" s="68"/>
      <c r="O37" s="89"/>
      <c r="P37" s="89"/>
    </row>
    <row r="38" spans="1:26" x14ac:dyDescent="0.2">
      <c r="A38" s="1"/>
      <c r="B38" s="38"/>
      <c r="C38" s="39" t="s">
        <v>17</v>
      </c>
      <c r="D38" s="1"/>
      <c r="E38" s="1"/>
      <c r="F38" s="1"/>
      <c r="G38" s="1"/>
      <c r="H38" s="1"/>
      <c r="I38" s="1"/>
      <c r="J38" s="1"/>
      <c r="K38" s="68"/>
      <c r="L38" s="68"/>
      <c r="M38" s="68"/>
      <c r="N38" s="68"/>
      <c r="O38" s="89"/>
      <c r="P38" s="89"/>
    </row>
    <row r="39" spans="1:26" x14ac:dyDescent="0.2">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
      <c r="B40" s="88"/>
      <c r="C40" s="88"/>
      <c r="D40" s="91"/>
      <c r="E40" s="88"/>
      <c r="F40" s="88"/>
      <c r="G40" s="88"/>
      <c r="H40" s="7"/>
      <c r="I40" s="7"/>
      <c r="J40" s="7"/>
      <c r="K40" s="15"/>
      <c r="L40" s="92"/>
      <c r="M40" s="92"/>
      <c r="N40" s="92"/>
      <c r="O40" s="89"/>
      <c r="P40" s="89"/>
    </row>
    <row r="41" spans="1:26" x14ac:dyDescent="0.2">
      <c r="A41" s="1"/>
      <c r="B41" s="38"/>
      <c r="C41" s="88"/>
      <c r="D41" s="40" t="s">
        <v>3</v>
      </c>
      <c r="E41" s="1"/>
      <c r="F41" s="1"/>
      <c r="G41" s="1"/>
      <c r="H41" s="12"/>
      <c r="I41" s="7"/>
      <c r="J41" s="8"/>
      <c r="K41" s="85"/>
      <c r="L41" s="16"/>
      <c r="M41" s="15"/>
      <c r="N41" s="69" t="str">
        <f ca="1">IF(AND(CELL("type",H41)="v",CELL("type",K41)="v")=TRUE,IF(H41+K41=0,"",H41+K41),IF(AND(CELL("type",H41)="v",CELL("type",K41)&lt;&gt;"v")=TRUE,H41,IF(AND(CELL("type",H41)&lt;&gt;"v",CELL("type",K41)="v")=TRUE,K41,"")))</f>
        <v/>
      </c>
      <c r="O41" s="89"/>
      <c r="P41" s="89"/>
      <c r="Q41" s="283" t="s">
        <v>160</v>
      </c>
      <c r="R41" s="283"/>
      <c r="S41" s="283"/>
      <c r="T41" s="283"/>
      <c r="U41" s="283"/>
      <c r="V41" s="283"/>
      <c r="W41" s="283"/>
      <c r="X41" s="283"/>
      <c r="Y41" s="283"/>
      <c r="Z41" s="283"/>
    </row>
    <row r="42" spans="1:26" x14ac:dyDescent="0.2">
      <c r="B42" s="38"/>
      <c r="C42" s="88"/>
      <c r="D42" s="91"/>
      <c r="E42" s="88"/>
      <c r="F42" s="88"/>
      <c r="G42" s="88"/>
      <c r="H42" s="7"/>
      <c r="I42" s="7"/>
      <c r="J42" s="7"/>
      <c r="K42" s="15"/>
      <c r="L42" s="92"/>
      <c r="M42" s="92"/>
      <c r="N42" s="92"/>
      <c r="O42" s="89"/>
      <c r="P42" s="89"/>
      <c r="Q42" s="283"/>
      <c r="R42" s="283"/>
      <c r="S42" s="283"/>
      <c r="T42" s="283"/>
      <c r="U42" s="283"/>
      <c r="V42" s="283"/>
      <c r="W42" s="283"/>
      <c r="X42" s="283"/>
      <c r="Y42" s="283"/>
      <c r="Z42" s="283"/>
    </row>
    <row r="43" spans="1:26" x14ac:dyDescent="0.2">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
      <c r="B44" s="38"/>
      <c r="C44" s="88"/>
      <c r="D44" s="91"/>
      <c r="E44" s="88"/>
      <c r="F44" s="88"/>
      <c r="G44" s="88"/>
      <c r="H44" s="7"/>
      <c r="I44" s="7"/>
      <c r="J44" s="7"/>
      <c r="K44" s="15"/>
      <c r="L44" s="92"/>
      <c r="M44" s="92"/>
      <c r="N44" s="92"/>
      <c r="O44" s="89"/>
      <c r="P44" s="89"/>
    </row>
    <row r="45" spans="1:26" ht="12.75" customHeight="1" x14ac:dyDescent="0.2">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
      <c r="B50" s="38"/>
      <c r="C50" s="88"/>
      <c r="D50" s="91"/>
      <c r="E50" s="88"/>
      <c r="F50" s="88"/>
      <c r="G50" s="88"/>
      <c r="H50" s="7"/>
      <c r="I50" s="7"/>
      <c r="J50" s="7"/>
      <c r="K50" s="15"/>
      <c r="L50" s="92"/>
      <c r="M50" s="92"/>
      <c r="N50" s="92"/>
      <c r="O50" s="89"/>
      <c r="P50" s="89"/>
    </row>
    <row r="51" spans="1:26" x14ac:dyDescent="0.2">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
      <c r="B52" s="38"/>
      <c r="C52" s="88"/>
      <c r="D52" s="91"/>
      <c r="E52" s="88"/>
      <c r="F52" s="88"/>
      <c r="G52" s="88"/>
      <c r="H52" s="7"/>
      <c r="I52" s="7"/>
      <c r="J52" s="7"/>
      <c r="K52" s="15"/>
      <c r="L52" s="92"/>
      <c r="M52" s="92"/>
      <c r="N52" s="92"/>
      <c r="O52" s="89"/>
      <c r="P52" s="89"/>
    </row>
    <row r="53" spans="1:26" x14ac:dyDescent="0.2">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83" t="s">
        <v>161</v>
      </c>
      <c r="R53" s="283"/>
      <c r="S53" s="283"/>
      <c r="T53" s="283"/>
      <c r="U53" s="283"/>
      <c r="V53" s="283"/>
      <c r="W53" s="283"/>
      <c r="X53" s="283"/>
      <c r="Y53" s="283"/>
      <c r="Z53" s="283"/>
    </row>
    <row r="54" spans="1:26" x14ac:dyDescent="0.2">
      <c r="B54" s="38"/>
      <c r="C54" s="88"/>
      <c r="D54" s="91"/>
      <c r="E54" s="88"/>
      <c r="F54" s="88"/>
      <c r="G54" s="88"/>
      <c r="H54" s="7" t="s">
        <v>334</v>
      </c>
      <c r="I54" s="7"/>
      <c r="J54" s="7"/>
      <c r="K54" s="15"/>
      <c r="L54" s="92"/>
      <c r="M54" s="92"/>
      <c r="N54" s="92"/>
      <c r="O54" s="89"/>
      <c r="P54" s="89"/>
      <c r="Q54" s="284"/>
      <c r="R54" s="284"/>
      <c r="S54" s="284"/>
      <c r="T54" s="284"/>
      <c r="U54" s="284"/>
      <c r="V54" s="284"/>
      <c r="W54" s="284"/>
      <c r="X54" s="284"/>
      <c r="Y54" s="284"/>
      <c r="Z54" s="284"/>
    </row>
    <row r="55" spans="1:26" ht="12.75" customHeight="1" x14ac:dyDescent="0.2">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83" t="s">
        <v>128</v>
      </c>
      <c r="R55" s="283"/>
      <c r="S55" s="283"/>
      <c r="T55" s="283"/>
      <c r="U55" s="283"/>
      <c r="V55" s="283"/>
      <c r="W55" s="283"/>
      <c r="X55" s="283"/>
      <c r="Y55" s="283"/>
      <c r="Z55" s="283"/>
    </row>
    <row r="56" spans="1:26" x14ac:dyDescent="0.2">
      <c r="B56" s="38"/>
      <c r="C56" s="88"/>
      <c r="D56" s="88"/>
      <c r="E56" s="88"/>
      <c r="F56" s="88"/>
      <c r="G56" s="88"/>
      <c r="H56" s="15"/>
      <c r="I56" s="7"/>
      <c r="J56" s="7"/>
      <c r="K56" s="15"/>
      <c r="L56" s="92"/>
      <c r="M56" s="92"/>
      <c r="N56" s="92"/>
      <c r="O56" s="89"/>
      <c r="P56" s="89"/>
      <c r="Q56" s="283"/>
      <c r="R56" s="283"/>
      <c r="S56" s="283"/>
      <c r="T56" s="283"/>
      <c r="U56" s="283"/>
      <c r="V56" s="283"/>
      <c r="W56" s="283"/>
      <c r="X56" s="283"/>
      <c r="Y56" s="283"/>
      <c r="Z56" s="283"/>
    </row>
    <row r="57" spans="1:26" x14ac:dyDescent="0.2">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
      <c r="B58" s="88"/>
      <c r="C58" s="88"/>
      <c r="D58" s="88"/>
      <c r="E58" s="88"/>
      <c r="F58" s="88"/>
      <c r="G58" s="88"/>
      <c r="H58" s="92"/>
      <c r="I58" s="93"/>
      <c r="J58" s="93"/>
      <c r="K58" s="92"/>
      <c r="L58" s="92"/>
      <c r="M58" s="92"/>
      <c r="N58" s="92"/>
      <c r="O58" s="89"/>
      <c r="P58" s="89"/>
      <c r="V58" s="134"/>
    </row>
    <row r="59" spans="1:26" ht="13.5" x14ac:dyDescent="0.2">
      <c r="B59" s="42" t="s">
        <v>13</v>
      </c>
      <c r="C59" s="43" t="s">
        <v>300</v>
      </c>
      <c r="D59" s="1"/>
      <c r="E59" s="1"/>
      <c r="F59" s="1"/>
      <c r="G59" s="1"/>
      <c r="H59" s="15"/>
      <c r="I59" s="7"/>
      <c r="J59" s="7"/>
      <c r="K59" s="15"/>
      <c r="L59" s="92"/>
      <c r="M59" s="92"/>
      <c r="N59" s="92"/>
      <c r="O59" s="89"/>
      <c r="P59" s="89"/>
      <c r="Q59" s="135">
        <v>0.14000000000000001</v>
      </c>
      <c r="R59" s="136" t="s">
        <v>155</v>
      </c>
      <c r="S59" s="137"/>
      <c r="T59" s="137"/>
      <c r="U59" s="137"/>
      <c r="V59" s="138">
        <f ca="1">IF(ISERROR(ROUNDDOWN(N(N57)*N(Q59),0)),0,ROUNDDOWN(N(N57)*N(Q59),0))</f>
        <v>0</v>
      </c>
      <c r="W59" s="136" t="s">
        <v>156</v>
      </c>
      <c r="X59" s="137"/>
      <c r="Y59" s="137"/>
      <c r="Z59" s="137"/>
    </row>
    <row r="60" spans="1:26" x14ac:dyDescent="0.2">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123</v>
      </c>
      <c r="S60" s="140"/>
      <c r="T60" s="140"/>
      <c r="U60" s="140"/>
      <c r="V60" s="140"/>
      <c r="W60" s="140"/>
      <c r="X60" s="140"/>
      <c r="Y60" s="140"/>
      <c r="Z60" s="140"/>
    </row>
    <row r="61" spans="1:26" x14ac:dyDescent="0.2">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
      <c r="B62" s="42" t="s">
        <v>30</v>
      </c>
      <c r="C62" s="11" t="s">
        <v>56</v>
      </c>
      <c r="D62" s="1"/>
      <c r="E62" s="1"/>
      <c r="F62" s="1"/>
      <c r="G62" s="88"/>
      <c r="H62" s="92"/>
      <c r="I62" s="93"/>
      <c r="J62" s="93"/>
      <c r="K62" s="92"/>
      <c r="L62" s="92"/>
      <c r="M62" s="92"/>
      <c r="N62" s="92"/>
      <c r="O62" s="89"/>
      <c r="P62" s="89"/>
    </row>
    <row r="63" spans="1:26" x14ac:dyDescent="0.2">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
      <c r="B64" s="88"/>
      <c r="C64" s="88"/>
      <c r="D64" s="88"/>
      <c r="E64" s="88"/>
      <c r="F64" s="88"/>
      <c r="G64" s="88"/>
      <c r="H64" s="92"/>
      <c r="I64" s="93"/>
      <c r="J64" s="93"/>
      <c r="K64" s="92"/>
      <c r="L64" s="92"/>
      <c r="M64" s="92"/>
      <c r="N64" s="92"/>
      <c r="O64" s="89"/>
      <c r="P64" s="89"/>
      <c r="Q64" s="135" t="str">
        <f>IF(K32=F488,"TBD",IF(OR(K32="New Construction (w/ or w/o Acquisition)",K32="Redevelopment (w/ or w/o Acquisition)"),5%,15%))</f>
        <v>TBD</v>
      </c>
      <c r="R64" s="136" t="s">
        <v>157</v>
      </c>
      <c r="S64" s="137"/>
      <c r="T64" s="137"/>
      <c r="U64" s="137"/>
      <c r="V64" s="138" t="str">
        <f ca="1">IF(ISERROR(N(N63)*N(Q64)),0,IF(K32=F488,"TBD",N(N63)*N(Q64)))</f>
        <v>TBD</v>
      </c>
      <c r="W64" s="136" t="s">
        <v>158</v>
      </c>
      <c r="X64" s="137"/>
      <c r="Y64" s="137"/>
      <c r="Z64" s="137"/>
    </row>
    <row r="65" spans="1:27" ht="13.5" x14ac:dyDescent="0.2">
      <c r="B65" s="42" t="s">
        <v>118</v>
      </c>
      <c r="C65" s="105" t="s">
        <v>301</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TBD</v>
      </c>
      <c r="R65" s="140" t="s">
        <v>131</v>
      </c>
      <c r="S65" s="140"/>
      <c r="T65" s="140"/>
      <c r="U65" s="140"/>
      <c r="V65" s="140"/>
      <c r="W65" s="140"/>
      <c r="X65" s="140"/>
      <c r="Y65" s="140"/>
      <c r="Z65" s="140"/>
    </row>
    <row r="66" spans="1:27" x14ac:dyDescent="0.2">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25">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
      <c r="A68" s="87"/>
      <c r="B68" s="94"/>
      <c r="C68" s="94"/>
      <c r="D68" s="94"/>
      <c r="E68" s="94"/>
      <c r="F68" s="94"/>
      <c r="G68" s="94"/>
      <c r="H68" s="94"/>
      <c r="I68" s="94"/>
      <c r="J68" s="94"/>
      <c r="K68" s="95"/>
      <c r="L68" s="95"/>
      <c r="M68" s="95"/>
      <c r="N68" s="95"/>
      <c r="O68" s="96"/>
      <c r="P68" s="96"/>
    </row>
    <row r="69" spans="1:27" x14ac:dyDescent="0.2">
      <c r="B69" s="66" t="str">
        <f>B$2</f>
        <v>RFA 2019-109 DEVELOPMENT COST PRO FORMA</v>
      </c>
      <c r="C69" s="88"/>
      <c r="D69" s="91"/>
      <c r="E69" s="88"/>
      <c r="F69" s="88"/>
      <c r="G69" s="88"/>
      <c r="H69" s="1"/>
      <c r="I69" s="1"/>
      <c r="J69" s="1"/>
      <c r="K69" s="68"/>
      <c r="L69" s="91"/>
      <c r="M69" s="91"/>
      <c r="N69" s="91"/>
      <c r="O69" s="89"/>
      <c r="P69" s="3" t="s">
        <v>344</v>
      </c>
    </row>
    <row r="70" spans="1:27" x14ac:dyDescent="0.2">
      <c r="B70" s="88"/>
      <c r="C70" s="88"/>
      <c r="D70" s="91"/>
      <c r="E70" s="88"/>
      <c r="F70" s="88"/>
      <c r="G70" s="88"/>
      <c r="H70" s="170">
        <v>1</v>
      </c>
      <c r="I70" s="1"/>
      <c r="J70" s="1"/>
      <c r="K70" s="170">
        <v>2</v>
      </c>
      <c r="L70" s="1"/>
      <c r="M70" s="34"/>
      <c r="N70" s="111">
        <v>3</v>
      </c>
      <c r="O70" s="89"/>
      <c r="P70" s="89"/>
    </row>
    <row r="71" spans="1:27" ht="22.35" customHeight="1" x14ac:dyDescent="0.2">
      <c r="B71" s="88"/>
      <c r="C71" s="88"/>
      <c r="D71" s="91"/>
      <c r="E71" s="88"/>
      <c r="F71" s="88"/>
      <c r="G71" s="88"/>
      <c r="H71" s="36" t="str">
        <f>H$36</f>
        <v>HC ELIGIBLE
COSTS</v>
      </c>
      <c r="I71" s="33"/>
      <c r="J71" s="33"/>
      <c r="K71" s="36" t="str">
        <f>K$36</f>
        <v>HC INELIGIBLE OR HOME ONLY COSTS</v>
      </c>
      <c r="L71" s="37"/>
      <c r="M71" s="73"/>
      <c r="N71" s="36" t="str">
        <f>N$36</f>
        <v>TOTAL
COSTS</v>
      </c>
      <c r="O71" s="89"/>
      <c r="P71" s="89"/>
    </row>
    <row r="72" spans="1:27" x14ac:dyDescent="0.2">
      <c r="B72" s="88"/>
      <c r="C72" s="39" t="s">
        <v>31</v>
      </c>
      <c r="D72" s="91"/>
      <c r="E72" s="88"/>
      <c r="F72" s="88"/>
      <c r="G72" s="88"/>
      <c r="H72" s="1"/>
      <c r="I72" s="1"/>
      <c r="J72" s="1"/>
      <c r="K72" s="68"/>
      <c r="L72" s="91"/>
      <c r="M72" s="91"/>
      <c r="N72" s="91"/>
      <c r="O72" s="89"/>
      <c r="P72" s="89"/>
    </row>
    <row r="73" spans="1:27" x14ac:dyDescent="0.2">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83" t="s">
        <v>283</v>
      </c>
      <c r="R73" s="283"/>
      <c r="S73" s="283"/>
      <c r="T73" s="283"/>
      <c r="U73" s="283"/>
      <c r="V73" s="283"/>
      <c r="W73" s="283"/>
      <c r="X73" s="283"/>
      <c r="Y73" s="283"/>
      <c r="Z73" s="283"/>
    </row>
    <row r="74" spans="1:27" x14ac:dyDescent="0.2">
      <c r="B74" s="88"/>
      <c r="C74" s="39"/>
      <c r="D74" s="91"/>
      <c r="E74" s="88"/>
      <c r="F74" s="88"/>
      <c r="G74" s="88"/>
      <c r="H74" s="1"/>
      <c r="I74" s="1"/>
      <c r="J74" s="1"/>
      <c r="K74" s="68"/>
      <c r="L74" s="91"/>
      <c r="M74" s="91"/>
      <c r="N74" s="91"/>
      <c r="O74" s="89"/>
      <c r="P74" s="89"/>
      <c r="Q74" s="283"/>
      <c r="R74" s="283"/>
      <c r="S74" s="283"/>
      <c r="T74" s="283"/>
      <c r="U74" s="283"/>
      <c r="V74" s="283"/>
      <c r="W74" s="283"/>
      <c r="X74" s="283"/>
      <c r="Y74" s="283"/>
      <c r="Z74" s="283"/>
    </row>
    <row r="75" spans="1:27" x14ac:dyDescent="0.2">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
      <c r="B76" s="88"/>
      <c r="C76" s="39"/>
      <c r="D76" s="91"/>
      <c r="E76" s="88"/>
      <c r="F76" s="88"/>
      <c r="G76" s="88"/>
      <c r="H76" s="1"/>
      <c r="I76" s="1"/>
      <c r="J76" s="1"/>
      <c r="K76" s="68"/>
      <c r="L76" s="91"/>
      <c r="M76" s="91"/>
      <c r="N76" s="91"/>
      <c r="O76" s="89"/>
      <c r="P76" s="89"/>
    </row>
    <row r="77" spans="1:27" x14ac:dyDescent="0.2">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83" t="s">
        <v>162</v>
      </c>
      <c r="R77" s="283"/>
      <c r="S77" s="283"/>
      <c r="T77" s="283"/>
      <c r="U77" s="283"/>
      <c r="V77" s="283"/>
      <c r="W77" s="283"/>
      <c r="X77" s="283"/>
      <c r="Y77" s="283"/>
      <c r="Z77" s="283"/>
    </row>
    <row r="78" spans="1:27" x14ac:dyDescent="0.2">
      <c r="B78" s="88"/>
      <c r="C78" s="88"/>
      <c r="D78" s="97"/>
      <c r="E78" s="88"/>
      <c r="F78" s="88"/>
      <c r="G78" s="88"/>
      <c r="H78" s="7"/>
      <c r="I78" s="7"/>
      <c r="J78" s="7"/>
      <c r="K78" s="15"/>
      <c r="L78" s="92"/>
      <c r="M78" s="92"/>
      <c r="N78" s="92"/>
      <c r="O78" s="89"/>
      <c r="P78" s="89"/>
      <c r="Q78" s="283"/>
      <c r="R78" s="283"/>
      <c r="S78" s="283"/>
      <c r="T78" s="283"/>
      <c r="U78" s="283"/>
      <c r="V78" s="283"/>
      <c r="W78" s="283"/>
      <c r="X78" s="283"/>
      <c r="Y78" s="283"/>
      <c r="Z78" s="283"/>
    </row>
    <row r="79" spans="1:27" x14ac:dyDescent="0.2">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
      <c r="B80" s="88"/>
      <c r="C80" s="88"/>
      <c r="D80" s="97"/>
      <c r="E80" s="88"/>
      <c r="F80" s="88"/>
      <c r="G80" s="88"/>
      <c r="H80" s="7"/>
      <c r="I80" s="7"/>
      <c r="J80" s="7"/>
      <c r="K80" s="15"/>
      <c r="L80" s="92"/>
      <c r="M80" s="92"/>
      <c r="N80" s="92"/>
      <c r="O80" s="89"/>
      <c r="P80" s="89"/>
    </row>
    <row r="81" spans="2:26" x14ac:dyDescent="0.2">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
      <c r="B82" s="88"/>
      <c r="C82" s="88"/>
      <c r="D82" s="97"/>
      <c r="E82" s="88"/>
      <c r="F82" s="88"/>
      <c r="G82" s="88"/>
      <c r="H82" s="7"/>
      <c r="I82" s="7"/>
      <c r="J82" s="7"/>
      <c r="K82" s="15"/>
      <c r="L82" s="92"/>
      <c r="M82" s="92"/>
      <c r="N82" s="92"/>
      <c r="O82" s="89"/>
      <c r="P82" s="89"/>
    </row>
    <row r="83" spans="2:26" x14ac:dyDescent="0.2">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
      <c r="B84" s="88"/>
      <c r="C84" s="88"/>
      <c r="D84" s="97"/>
      <c r="E84" s="88"/>
      <c r="F84" s="88"/>
      <c r="G84" s="88"/>
      <c r="H84" s="7"/>
      <c r="I84" s="7"/>
      <c r="J84" s="7"/>
      <c r="K84" s="15"/>
      <c r="L84" s="92"/>
      <c r="M84" s="92"/>
      <c r="N84" s="92"/>
      <c r="O84" s="89"/>
      <c r="P84" s="89"/>
    </row>
    <row r="85" spans="2:26" x14ac:dyDescent="0.2">
      <c r="B85" s="88"/>
      <c r="C85" s="88"/>
      <c r="D85" s="44" t="s">
        <v>94</v>
      </c>
      <c r="E85" s="1"/>
      <c r="F85" s="1"/>
      <c r="G85" s="1"/>
      <c r="H85" s="232"/>
      <c r="I85" s="7"/>
      <c r="J85" s="8"/>
      <c r="K85" s="85"/>
      <c r="L85" s="17"/>
      <c r="M85" s="17"/>
      <c r="N85" s="69" t="str">
        <f ca="1">IF(AND(CELL("type",H85)="v",CELL("type",K85)="v")=TRUE,IF(H85+K85=0,"",H85+K85),IF(AND(CELL("type",H85)="v",CELL("type",K85)&lt;&gt;"v")=TRUE,H85,IF(AND(CELL("type",H85)&lt;&gt;"v",CELL("type",K85)="v")=TRUE,K85,"")))</f>
        <v/>
      </c>
      <c r="O85" s="89"/>
      <c r="P85" s="89"/>
      <c r="Q85" s="283" t="s">
        <v>390</v>
      </c>
      <c r="R85" s="283"/>
      <c r="S85" s="283"/>
      <c r="T85" s="283"/>
      <c r="U85" s="283"/>
      <c r="V85" s="283"/>
      <c r="W85" s="283"/>
      <c r="X85" s="283"/>
      <c r="Y85" s="283"/>
      <c r="Z85" s="283"/>
    </row>
    <row r="86" spans="2:26" x14ac:dyDescent="0.2">
      <c r="B86" s="88"/>
      <c r="C86" s="88"/>
      <c r="D86" s="97"/>
      <c r="E86" s="88"/>
      <c r="F86" s="88"/>
      <c r="G86" s="88"/>
      <c r="H86" s="7"/>
      <c r="I86" s="7"/>
      <c r="J86" s="7"/>
      <c r="K86" s="15"/>
      <c r="L86" s="92"/>
      <c r="M86" s="92"/>
      <c r="N86" s="92"/>
      <c r="O86" s="89"/>
      <c r="P86" s="89"/>
      <c r="Q86" s="283"/>
      <c r="R86" s="283"/>
      <c r="S86" s="283"/>
      <c r="T86" s="283"/>
      <c r="U86" s="283"/>
      <c r="V86" s="283"/>
      <c r="W86" s="283"/>
      <c r="X86" s="283"/>
      <c r="Y86" s="283"/>
      <c r="Z86" s="283"/>
    </row>
    <row r="87" spans="2:26" x14ac:dyDescent="0.2">
      <c r="B87" s="88"/>
      <c r="C87" s="88"/>
      <c r="D87" s="97" t="s">
        <v>53</v>
      </c>
      <c r="E87" s="88"/>
      <c r="F87" s="88"/>
      <c r="G87" s="88"/>
      <c r="H87" s="85"/>
      <c r="I87" s="7"/>
      <c r="J87" s="8"/>
      <c r="K87" s="85"/>
      <c r="L87" s="17"/>
      <c r="M87" s="17"/>
      <c r="N87" s="69" t="str">
        <f ca="1">IF(AND(CELL("type",H87)="v",CELL("type",K87)="v")=TRUE,IF(H87+K87=0,"",H87+K87),IF(AND(CELL("type",H87)="v",CELL("type",K87)&lt;&gt;"v")=TRUE,H87,IF(AND(CELL("type",H87)&lt;&gt;"v",CELL("type",K87)="v")=TRUE,K87,"")))</f>
        <v/>
      </c>
      <c r="O87" s="89"/>
      <c r="P87" s="89"/>
    </row>
    <row r="88" spans="2:26" x14ac:dyDescent="0.2">
      <c r="B88" s="88"/>
      <c r="C88" s="88"/>
      <c r="D88" s="97"/>
      <c r="E88" s="88"/>
      <c r="F88" s="88"/>
      <c r="G88" s="88"/>
      <c r="H88" s="7"/>
      <c r="I88" s="7"/>
      <c r="J88" s="7"/>
      <c r="K88" s="15"/>
      <c r="L88" s="92"/>
      <c r="M88" s="92"/>
      <c r="N88" s="92"/>
      <c r="O88" s="89"/>
      <c r="P88" s="89"/>
    </row>
    <row r="89" spans="2:26" ht="12.75" customHeight="1" x14ac:dyDescent="0.2">
      <c r="B89" s="88"/>
      <c r="C89" s="88"/>
      <c r="D89" s="44" t="s">
        <v>52</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83" t="s">
        <v>162</v>
      </c>
      <c r="R89" s="283"/>
      <c r="S89" s="283"/>
      <c r="T89" s="283"/>
      <c r="U89" s="283"/>
      <c r="V89" s="283"/>
      <c r="W89" s="283"/>
      <c r="X89" s="283"/>
      <c r="Y89" s="283"/>
      <c r="Z89" s="283"/>
    </row>
    <row r="90" spans="2:26" x14ac:dyDescent="0.2">
      <c r="B90" s="88"/>
      <c r="C90" s="88"/>
      <c r="D90" s="97"/>
      <c r="E90" s="88"/>
      <c r="F90" s="88"/>
      <c r="G90" s="88"/>
      <c r="H90" s="7"/>
      <c r="I90" s="7"/>
      <c r="J90" s="7"/>
      <c r="K90" s="15"/>
      <c r="L90" s="92"/>
      <c r="M90" s="92"/>
      <c r="N90" s="92"/>
      <c r="O90" s="89"/>
      <c r="P90" s="89"/>
      <c r="Q90" s="283"/>
      <c r="R90" s="283"/>
      <c r="S90" s="283"/>
      <c r="T90" s="283"/>
      <c r="U90" s="283"/>
      <c r="V90" s="283"/>
      <c r="W90" s="283"/>
      <c r="X90" s="283"/>
      <c r="Y90" s="283"/>
      <c r="Z90" s="283"/>
    </row>
    <row r="91" spans="2:26" x14ac:dyDescent="0.2">
      <c r="B91" s="88"/>
      <c r="C91" s="88"/>
      <c r="D91" s="44" t="s">
        <v>37</v>
      </c>
      <c r="E91" s="1"/>
      <c r="F91" s="1"/>
      <c r="G91" s="1"/>
      <c r="H91" s="85"/>
      <c r="I91" s="7"/>
      <c r="J91" s="8"/>
      <c r="K91" s="85"/>
      <c r="L91" s="17"/>
      <c r="M91" s="17"/>
      <c r="N91" s="69" t="str">
        <f ca="1">IF(AND(CELL("type",H91)="v",CELL("type",K91)="v")=TRUE,IF(H91+K91=0,"",H91+K91),IF(AND(CELL("type",H91)="v",CELL("type",K91)&lt;&gt;"v")=TRUE,H91,IF(AND(CELL("type",H91)&lt;&gt;"v",CELL("type",K91)="v")=TRUE,K91,"")))</f>
        <v/>
      </c>
      <c r="O91" s="89"/>
      <c r="P91" s="89"/>
      <c r="Q91" s="283" t="s">
        <v>124</v>
      </c>
      <c r="R91" s="283"/>
      <c r="S91" s="283"/>
      <c r="T91" s="283"/>
      <c r="U91" s="283"/>
      <c r="V91" s="283"/>
      <c r="W91" s="283"/>
      <c r="X91" s="283"/>
      <c r="Y91" s="283"/>
      <c r="Z91" s="283"/>
    </row>
    <row r="92" spans="2:26" x14ac:dyDescent="0.2">
      <c r="B92" s="88"/>
      <c r="C92" s="88"/>
      <c r="D92" s="97"/>
      <c r="E92" s="88"/>
      <c r="F92" s="88"/>
      <c r="G92" s="88"/>
      <c r="H92" s="7"/>
      <c r="I92" s="7"/>
      <c r="J92" s="7"/>
      <c r="K92" s="15"/>
      <c r="L92" s="92"/>
      <c r="M92" s="92"/>
      <c r="N92" s="92"/>
      <c r="O92" s="89"/>
      <c r="P92" s="89"/>
      <c r="Q92" s="283"/>
      <c r="R92" s="283"/>
      <c r="S92" s="283"/>
      <c r="T92" s="283"/>
      <c r="U92" s="283"/>
      <c r="V92" s="283"/>
      <c r="W92" s="283"/>
      <c r="X92" s="283"/>
      <c r="Y92" s="283"/>
      <c r="Z92" s="283"/>
    </row>
    <row r="93" spans="2:26" ht="13.5" x14ac:dyDescent="0.2">
      <c r="B93" s="88"/>
      <c r="C93" s="88"/>
      <c r="D93" s="44" t="s">
        <v>303</v>
      </c>
      <c r="E93" s="1"/>
      <c r="F93" s="1"/>
      <c r="G93" s="1"/>
      <c r="H93" s="98"/>
      <c r="I93" s="7"/>
      <c r="J93" s="8"/>
      <c r="K93" s="85"/>
      <c r="L93" s="17"/>
      <c r="M93" s="17"/>
      <c r="N93" s="69" t="str">
        <f ca="1">IF(AND(CELL("type",H93)="v",CELL("type",K93)="v")=TRUE,IF(H93+K93=0,"",H93+K93),IF(AND(CELL("type",H93)="v",CELL("type",K93)&lt;&gt;"v")=TRUE,H93,IF(AND(CELL("type",H93)&lt;&gt;"v",CELL("type",K93)="v")=TRUE,K93,"")))</f>
        <v/>
      </c>
      <c r="O93" s="89"/>
      <c r="P93" s="89"/>
    </row>
    <row r="94" spans="2:26" x14ac:dyDescent="0.2">
      <c r="B94" s="88"/>
      <c r="C94" s="88"/>
      <c r="D94" s="97"/>
      <c r="E94" s="88"/>
      <c r="F94" s="88"/>
      <c r="G94" s="88"/>
      <c r="H94" s="7"/>
      <c r="I94" s="7"/>
      <c r="J94" s="7"/>
      <c r="K94" s="15"/>
      <c r="L94" s="92"/>
      <c r="M94" s="92"/>
      <c r="N94" s="92"/>
      <c r="O94" s="89"/>
      <c r="P94" s="89"/>
    </row>
    <row r="95" spans="2:26" ht="13.5" x14ac:dyDescent="0.2">
      <c r="B95" s="88"/>
      <c r="C95" s="88"/>
      <c r="D95" s="44" t="s">
        <v>305</v>
      </c>
      <c r="E95" s="1"/>
      <c r="F95" s="1"/>
      <c r="G95" s="1"/>
      <c r="H95" s="98"/>
      <c r="I95" s="7"/>
      <c r="J95" s="8"/>
      <c r="K95" s="85"/>
      <c r="L95" s="17"/>
      <c r="M95" s="17"/>
      <c r="N95" s="69" t="str">
        <f ca="1">IF(AND(CELL("type",H95)="v",CELL("type",K95)="v")=TRUE,IF(H95+K95=0,"",H95+K95),IF(AND(CELL("type",H95)="v",CELL("type",K95)&lt;&gt;"v")=TRUE,H95,IF(AND(CELL("type",H95)&lt;&gt;"v",CELL("type",K95)="v")=TRUE,K95,"")))</f>
        <v/>
      </c>
      <c r="O95" s="89"/>
      <c r="P95" s="89"/>
    </row>
    <row r="96" spans="2:26" x14ac:dyDescent="0.2">
      <c r="B96" s="88"/>
      <c r="C96" s="88"/>
      <c r="D96" s="97"/>
      <c r="E96" s="88"/>
      <c r="F96" s="88"/>
      <c r="G96" s="88"/>
      <c r="H96" s="7"/>
      <c r="I96" s="7"/>
      <c r="J96" s="7"/>
      <c r="K96" s="15"/>
      <c r="L96" s="92"/>
      <c r="M96" s="92"/>
      <c r="N96" s="92"/>
      <c r="O96" s="89"/>
      <c r="P96" s="89"/>
    </row>
    <row r="97" spans="2:26" ht="13.5" x14ac:dyDescent="0.2">
      <c r="B97" s="88"/>
      <c r="C97" s="88"/>
      <c r="D97" s="44" t="s">
        <v>304</v>
      </c>
      <c r="E97" s="1"/>
      <c r="F97" s="1"/>
      <c r="G97" s="1"/>
      <c r="H97" s="12"/>
      <c r="I97" s="7"/>
      <c r="J97" s="8"/>
      <c r="K97" s="85"/>
      <c r="L97" s="17"/>
      <c r="M97" s="17"/>
      <c r="N97" s="69" t="str">
        <f ca="1">IF(AND(CELL("type",H97)="v",CELL("type",K97)="v")=TRUE,IF(H97+K97=0,"",H97+K97),IF(AND(CELL("type",H97)="v",CELL("type",K97)&lt;&gt;"v")=TRUE,H97,IF(AND(CELL("type",H97)&lt;&gt;"v",CELL("type",K97)="v")=TRUE,K97,"")))</f>
        <v/>
      </c>
      <c r="O97" s="89"/>
      <c r="P97" s="89"/>
    </row>
    <row r="98" spans="2:26" x14ac:dyDescent="0.2">
      <c r="B98" s="88"/>
      <c r="C98" s="88"/>
      <c r="D98" s="97"/>
      <c r="E98" s="88"/>
      <c r="F98" s="88"/>
      <c r="G98" s="88"/>
      <c r="H98" s="7"/>
      <c r="I98" s="7"/>
      <c r="J98" s="7"/>
      <c r="K98" s="15"/>
      <c r="L98" s="92"/>
      <c r="M98" s="92"/>
      <c r="N98" s="92"/>
      <c r="O98" s="89"/>
      <c r="P98" s="89"/>
    </row>
    <row r="99" spans="2:26" ht="12.75" customHeight="1" x14ac:dyDescent="0.2">
      <c r="B99" s="88"/>
      <c r="C99" s="88"/>
      <c r="D99" s="44" t="s">
        <v>306</v>
      </c>
      <c r="E99" s="1"/>
      <c r="F99" s="1"/>
      <c r="G99" s="1"/>
      <c r="H99" s="12"/>
      <c r="I99" s="7"/>
      <c r="J99" s="8"/>
      <c r="K99" s="85"/>
      <c r="L99" s="17"/>
      <c r="M99" s="17"/>
      <c r="N99" s="69" t="str">
        <f ca="1">IF(AND(CELL("type",H99)="v",CELL("type",K99)="v")=TRUE,IF(H99+K99=0,"",H99+K99),IF(AND(CELL("type",H99)="v",CELL("type",K99)&lt;&gt;"v")=TRUE,H99,IF(AND(CELL("type",H99)&lt;&gt;"v",CELL("type",K99)="v")=TRUE,K99,"")))</f>
        <v/>
      </c>
      <c r="O99" s="89"/>
      <c r="P99" s="89"/>
    </row>
    <row r="100" spans="2:26" x14ac:dyDescent="0.2">
      <c r="B100" s="88"/>
      <c r="C100" s="88"/>
      <c r="D100" s="99"/>
      <c r="E100" s="88"/>
      <c r="F100" s="88"/>
      <c r="G100" s="88"/>
      <c r="H100" s="93"/>
      <c r="I100" s="93"/>
      <c r="J100" s="93"/>
      <c r="K100" s="92"/>
      <c r="L100" s="92"/>
      <c r="M100" s="92"/>
      <c r="N100" s="100"/>
      <c r="O100" s="89"/>
      <c r="P100" s="89"/>
    </row>
    <row r="101" spans="2:26" x14ac:dyDescent="0.2">
      <c r="B101" s="88"/>
      <c r="C101" s="88"/>
      <c r="D101" s="44" t="s">
        <v>50</v>
      </c>
      <c r="E101" s="1"/>
      <c r="F101" s="88"/>
      <c r="G101" s="88"/>
      <c r="H101" s="93"/>
      <c r="I101" s="93"/>
      <c r="J101" s="93"/>
      <c r="K101" s="92"/>
      <c r="L101" s="92"/>
      <c r="M101" s="92"/>
      <c r="N101" s="100"/>
      <c r="O101" s="89"/>
      <c r="P101" s="89"/>
    </row>
    <row r="102" spans="2:26" x14ac:dyDescent="0.2">
      <c r="B102" s="88"/>
      <c r="C102" s="88"/>
      <c r="D102" s="44"/>
      <c r="E102" s="1" t="s">
        <v>51</v>
      </c>
      <c r="F102" s="88"/>
      <c r="G102" s="88"/>
      <c r="H102" s="85"/>
      <c r="I102" s="7"/>
      <c r="J102" s="8"/>
      <c r="K102" s="85"/>
      <c r="L102" s="17"/>
      <c r="M102" s="17"/>
      <c r="N102" s="69" t="str">
        <f ca="1">IF(AND(CELL("type",H102)="v",CELL("type",K102)="v")=TRUE,IF(H102+K102=0,"",H102+K102),IF(AND(CELL("type",H102)="v",CELL("type",K102)&lt;&gt;"v")=TRUE,H102,IF(AND(CELL("type",H102)&lt;&gt;"v",CELL("type",K102)="v")=TRUE,K102,"")))</f>
        <v/>
      </c>
      <c r="O102" s="89"/>
      <c r="P102" s="89"/>
    </row>
    <row r="103" spans="2:26" x14ac:dyDescent="0.2">
      <c r="B103" s="88"/>
      <c r="C103" s="88"/>
      <c r="D103" s="99"/>
      <c r="E103" s="88"/>
      <c r="F103" s="88"/>
      <c r="G103" s="88"/>
      <c r="H103" s="93"/>
      <c r="I103" s="93"/>
      <c r="J103" s="93"/>
      <c r="K103" s="92"/>
      <c r="L103" s="92"/>
      <c r="M103" s="92"/>
      <c r="N103" s="100"/>
      <c r="O103" s="89"/>
      <c r="P103" s="89"/>
    </row>
    <row r="104" spans="2:26" x14ac:dyDescent="0.2">
      <c r="B104" s="88"/>
      <c r="C104" s="88"/>
      <c r="D104" s="45" t="s">
        <v>39</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83" t="s">
        <v>141</v>
      </c>
      <c r="R104" s="283"/>
      <c r="S104" s="283"/>
      <c r="T104" s="283"/>
      <c r="U104" s="283"/>
      <c r="V104" s="283"/>
      <c r="W104" s="283"/>
      <c r="X104" s="283"/>
      <c r="Y104" s="283"/>
      <c r="Z104" s="283"/>
    </row>
    <row r="105" spans="2:26" x14ac:dyDescent="0.2">
      <c r="B105" s="88"/>
      <c r="C105" s="88"/>
      <c r="D105" s="46"/>
      <c r="E105" s="35"/>
      <c r="F105" s="35"/>
      <c r="G105" s="35"/>
      <c r="H105" s="13"/>
      <c r="I105" s="13"/>
      <c r="J105" s="13"/>
      <c r="K105" s="74"/>
      <c r="L105" s="74"/>
      <c r="M105" s="92"/>
      <c r="N105" s="92"/>
      <c r="O105" s="89"/>
      <c r="P105" s="89"/>
      <c r="Q105" s="283"/>
      <c r="R105" s="283"/>
      <c r="S105" s="283"/>
      <c r="T105" s="283"/>
      <c r="U105" s="283"/>
      <c r="V105" s="283"/>
      <c r="W105" s="283"/>
      <c r="X105" s="283"/>
      <c r="Y105" s="283"/>
      <c r="Z105" s="283"/>
    </row>
    <row r="106" spans="2:26" x14ac:dyDescent="0.2">
      <c r="B106" s="88"/>
      <c r="C106" s="88"/>
      <c r="D106" s="44" t="s">
        <v>40</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c r="Q106" s="283" t="s">
        <v>278</v>
      </c>
      <c r="R106" s="283"/>
      <c r="S106" s="283"/>
      <c r="T106" s="283"/>
      <c r="U106" s="283"/>
      <c r="V106" s="283"/>
      <c r="W106" s="283"/>
      <c r="X106" s="283"/>
      <c r="Y106" s="283"/>
      <c r="Z106" s="283"/>
    </row>
    <row r="107" spans="2:26" x14ac:dyDescent="0.2">
      <c r="B107" s="88"/>
      <c r="C107" s="88"/>
      <c r="D107" s="97"/>
      <c r="E107" s="88"/>
      <c r="F107" s="88"/>
      <c r="G107" s="88"/>
      <c r="H107" s="7"/>
      <c r="I107" s="7"/>
      <c r="J107" s="7"/>
      <c r="K107" s="15"/>
      <c r="L107" s="92"/>
      <c r="M107" s="92"/>
      <c r="N107" s="92"/>
      <c r="O107" s="89"/>
      <c r="P107" s="89"/>
      <c r="Q107" s="283"/>
      <c r="R107" s="283"/>
      <c r="S107" s="283"/>
      <c r="T107" s="283"/>
      <c r="U107" s="283"/>
      <c r="V107" s="283"/>
      <c r="W107" s="283"/>
      <c r="X107" s="283"/>
      <c r="Y107" s="283"/>
      <c r="Z107" s="283"/>
    </row>
    <row r="108" spans="2:26" x14ac:dyDescent="0.2">
      <c r="B108" s="88"/>
      <c r="C108" s="88"/>
      <c r="D108" s="44" t="s">
        <v>41</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row>
    <row r="109" spans="2:26" x14ac:dyDescent="0.2">
      <c r="B109" s="88"/>
      <c r="C109" s="88"/>
      <c r="D109" s="46"/>
      <c r="E109" s="35"/>
      <c r="F109" s="35"/>
      <c r="G109" s="35"/>
      <c r="H109" s="13"/>
      <c r="I109" s="13"/>
      <c r="J109" s="13"/>
      <c r="K109" s="74"/>
      <c r="L109" s="74"/>
      <c r="M109" s="92"/>
      <c r="N109" s="92"/>
      <c r="O109" s="89"/>
      <c r="P109" s="89"/>
    </row>
    <row r="110" spans="2:26" x14ac:dyDescent="0.2">
      <c r="B110" s="88"/>
      <c r="C110" s="88"/>
      <c r="D110" s="44" t="s">
        <v>42</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83" t="s">
        <v>125</v>
      </c>
      <c r="R110" s="283"/>
      <c r="S110" s="283"/>
      <c r="T110" s="283"/>
      <c r="U110" s="283"/>
      <c r="V110" s="283"/>
      <c r="W110" s="283"/>
      <c r="X110" s="283"/>
      <c r="Y110" s="283"/>
      <c r="Z110" s="283"/>
    </row>
    <row r="111" spans="2:26" x14ac:dyDescent="0.2">
      <c r="B111" s="88"/>
      <c r="C111" s="88"/>
      <c r="D111" s="97"/>
      <c r="E111" s="88"/>
      <c r="F111" s="88"/>
      <c r="G111" s="88"/>
      <c r="H111" s="7"/>
      <c r="I111" s="7"/>
      <c r="J111" s="7"/>
      <c r="K111" s="15"/>
      <c r="L111" s="92"/>
      <c r="M111" s="92"/>
      <c r="N111" s="92"/>
      <c r="O111" s="89"/>
      <c r="P111" s="89"/>
      <c r="Q111" s="283"/>
      <c r="R111" s="283"/>
      <c r="S111" s="283"/>
      <c r="T111" s="283"/>
      <c r="U111" s="283"/>
      <c r="V111" s="283"/>
      <c r="W111" s="283"/>
      <c r="X111" s="283"/>
      <c r="Y111" s="283"/>
      <c r="Z111" s="283"/>
    </row>
    <row r="112" spans="2:26" x14ac:dyDescent="0.2">
      <c r="B112" s="88"/>
      <c r="C112" s="88"/>
      <c r="D112" s="44" t="s">
        <v>43</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83" t="s">
        <v>163</v>
      </c>
      <c r="R112" s="283"/>
      <c r="S112" s="283"/>
      <c r="T112" s="283"/>
      <c r="U112" s="283"/>
      <c r="V112" s="283"/>
      <c r="W112" s="283"/>
      <c r="X112" s="283"/>
      <c r="Y112" s="283"/>
      <c r="Z112" s="283"/>
    </row>
    <row r="113" spans="2:29" x14ac:dyDescent="0.2">
      <c r="B113" s="88"/>
      <c r="C113" s="88"/>
      <c r="D113" s="97"/>
      <c r="E113" s="88"/>
      <c r="F113" s="88"/>
      <c r="G113" s="88"/>
      <c r="H113" s="7"/>
      <c r="I113" s="7"/>
      <c r="J113" s="7"/>
      <c r="K113" s="15"/>
      <c r="L113" s="92"/>
      <c r="M113" s="92"/>
      <c r="N113" s="92"/>
      <c r="O113" s="89"/>
      <c r="P113" s="89"/>
      <c r="Q113" s="283"/>
      <c r="R113" s="283"/>
      <c r="S113" s="283"/>
      <c r="T113" s="283"/>
      <c r="U113" s="283"/>
      <c r="V113" s="283"/>
      <c r="W113" s="283"/>
      <c r="X113" s="283"/>
      <c r="Y113" s="283"/>
      <c r="Z113" s="283"/>
    </row>
    <row r="114" spans="2:29" x14ac:dyDescent="0.2">
      <c r="B114" s="88"/>
      <c r="C114" s="88"/>
      <c r="D114" s="44" t="s">
        <v>44</v>
      </c>
      <c r="E114" s="1"/>
      <c r="F114" s="1"/>
      <c r="G114" s="1"/>
      <c r="H114" s="12"/>
      <c r="I114" s="7"/>
      <c r="J114" s="8"/>
      <c r="K114" s="85"/>
      <c r="L114" s="17"/>
      <c r="M114" s="17"/>
      <c r="N114" s="69" t="str">
        <f ca="1">IF(AND(CELL("type",H114)="v",CELL("type",K114)="v")=TRUE,IF(H114+K114=0,"",H114+K114),IF(AND(CELL("type",H114)="v",CELL("type",K114)&lt;&gt;"v")=TRUE,H114,IF(AND(CELL("type",H114)&lt;&gt;"v",CELL("type",K114)="v")=TRUE,K114,"")))</f>
        <v/>
      </c>
      <c r="O114" s="89"/>
      <c r="P114" s="89"/>
    </row>
    <row r="115" spans="2:29" x14ac:dyDescent="0.2">
      <c r="B115" s="88"/>
      <c r="C115" s="88"/>
      <c r="D115" s="97"/>
      <c r="E115" s="88"/>
      <c r="F115" s="88"/>
      <c r="G115" s="88"/>
      <c r="H115" s="7"/>
      <c r="I115" s="7"/>
      <c r="J115" s="7"/>
      <c r="K115" s="15"/>
      <c r="L115" s="92"/>
      <c r="M115" s="92"/>
      <c r="N115" s="92"/>
      <c r="O115" s="89"/>
      <c r="P115" s="89"/>
    </row>
    <row r="116" spans="2:29" ht="12.75" customHeight="1" x14ac:dyDescent="0.2">
      <c r="B116" s="88"/>
      <c r="C116" s="88"/>
      <c r="D116" s="44" t="s">
        <v>45</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83" t="s">
        <v>164</v>
      </c>
      <c r="R116" s="283"/>
      <c r="S116" s="283"/>
      <c r="T116" s="283"/>
      <c r="U116" s="283"/>
      <c r="V116" s="283"/>
      <c r="W116" s="283"/>
      <c r="X116" s="283"/>
      <c r="Y116" s="283"/>
      <c r="Z116" s="283"/>
      <c r="AA116" s="228"/>
      <c r="AB116" s="228"/>
      <c r="AC116" s="228"/>
    </row>
    <row r="117" spans="2:29" x14ac:dyDescent="0.2">
      <c r="B117" s="88"/>
      <c r="C117" s="88"/>
      <c r="D117" s="97"/>
      <c r="E117" s="88"/>
      <c r="F117" s="88"/>
      <c r="G117" s="88"/>
      <c r="H117" s="7"/>
      <c r="I117" s="7"/>
      <c r="J117" s="7"/>
      <c r="K117" s="15"/>
      <c r="L117" s="92"/>
      <c r="M117" s="92"/>
      <c r="N117" s="92"/>
      <c r="O117" s="89"/>
      <c r="P117" s="89"/>
      <c r="Q117" s="283"/>
      <c r="R117" s="283"/>
      <c r="S117" s="283"/>
      <c r="T117" s="283"/>
      <c r="U117" s="283"/>
      <c r="V117" s="283"/>
      <c r="W117" s="283"/>
      <c r="X117" s="283"/>
      <c r="Y117" s="283"/>
      <c r="Z117" s="283"/>
      <c r="AA117" s="228"/>
      <c r="AB117" s="228"/>
      <c r="AC117" s="228"/>
    </row>
    <row r="118" spans="2:29" x14ac:dyDescent="0.2">
      <c r="B118" s="88"/>
      <c r="C118" s="88"/>
      <c r="D118" s="97" t="s">
        <v>386</v>
      </c>
      <c r="E118" s="88"/>
      <c r="F118" s="88"/>
      <c r="G118" s="88"/>
      <c r="H118" s="85"/>
      <c r="I118" s="7"/>
      <c r="J118" s="8"/>
      <c r="K118" s="85"/>
      <c r="L118" s="17"/>
      <c r="M118" s="17"/>
      <c r="N118" s="69" t="str">
        <f ca="1">IF(AND(CELL("type",H118)="v",CELL("type",K118)="v")=TRUE,IF(H118+K118=0,"",H118+K118),IF(AND(CELL("type",H118)="v",CELL("type",K118)&lt;&gt;"v")=TRUE,H118,IF(AND(CELL("type",H118)&lt;&gt;"v",CELL("type",K118)="v")=TRUE,K118,"")))</f>
        <v/>
      </c>
      <c r="O118" s="89"/>
      <c r="P118" s="89"/>
      <c r="Q118" s="284" t="s">
        <v>391</v>
      </c>
      <c r="R118" s="284"/>
      <c r="S118" s="284"/>
      <c r="T118" s="284"/>
      <c r="U118" s="284"/>
      <c r="V118" s="284"/>
      <c r="W118" s="284"/>
      <c r="X118" s="284"/>
      <c r="Y118" s="284"/>
      <c r="Z118" s="284"/>
      <c r="AA118" s="228"/>
      <c r="AB118" s="228"/>
      <c r="AC118" s="228"/>
    </row>
    <row r="119" spans="2:29" x14ac:dyDescent="0.2">
      <c r="B119" s="88"/>
      <c r="C119" s="88"/>
      <c r="D119" s="97"/>
      <c r="E119" s="88"/>
      <c r="F119" s="88"/>
      <c r="G119" s="88"/>
      <c r="H119" s="7"/>
      <c r="I119" s="7"/>
      <c r="J119" s="7"/>
      <c r="K119" s="15"/>
      <c r="L119" s="92"/>
      <c r="M119" s="92"/>
      <c r="N119" s="92"/>
      <c r="O119" s="89"/>
      <c r="P119" s="89"/>
      <c r="Q119" s="285"/>
      <c r="R119" s="285"/>
      <c r="S119" s="285"/>
      <c r="T119" s="285"/>
      <c r="U119" s="285"/>
      <c r="V119" s="285"/>
      <c r="W119" s="285"/>
      <c r="X119" s="285"/>
      <c r="Y119" s="285"/>
      <c r="Z119" s="285"/>
      <c r="AA119" s="229"/>
      <c r="AB119" s="229"/>
      <c r="AC119" s="229"/>
    </row>
    <row r="120" spans="2:29" ht="12.75" customHeight="1" x14ac:dyDescent="0.2">
      <c r="B120" s="88"/>
      <c r="C120" s="88"/>
      <c r="D120" s="44" t="s">
        <v>46</v>
      </c>
      <c r="E120" s="1"/>
      <c r="F120" s="1"/>
      <c r="G120" s="1"/>
      <c r="H120" s="85"/>
      <c r="I120" s="7"/>
      <c r="J120" s="8"/>
      <c r="K120" s="85"/>
      <c r="L120" s="17"/>
      <c r="M120" s="17"/>
      <c r="N120" s="69" t="str">
        <f ca="1">IF(AND(CELL("type",H120)="v",CELL("type",K120)="v")=TRUE,IF(H120+K120=0,"",H120+K120),IF(AND(CELL("type",H120)="v",CELL("type",K120)&lt;&gt;"v")=TRUE,H120,IF(AND(CELL("type",H120)&lt;&gt;"v",CELL("type",K120)="v")=TRUE,K120,"")))</f>
        <v/>
      </c>
      <c r="O120" s="89"/>
      <c r="P120" s="89"/>
      <c r="Q120" s="313" t="s">
        <v>127</v>
      </c>
      <c r="R120" s="313"/>
      <c r="S120" s="313"/>
      <c r="T120" s="313"/>
      <c r="U120" s="313"/>
      <c r="V120" s="313"/>
      <c r="W120" s="313"/>
      <c r="X120" s="313"/>
      <c r="Y120" s="313"/>
      <c r="Z120" s="313"/>
      <c r="AA120" s="313"/>
      <c r="AB120" s="313"/>
      <c r="AC120" s="313"/>
    </row>
    <row r="121" spans="2:29" x14ac:dyDescent="0.2">
      <c r="B121" s="88"/>
      <c r="C121" s="88"/>
      <c r="D121" s="97"/>
      <c r="E121" s="88"/>
      <c r="F121" s="88"/>
      <c r="G121" s="88"/>
      <c r="H121" s="7"/>
      <c r="I121" s="7"/>
      <c r="J121" s="7"/>
      <c r="K121" s="15"/>
      <c r="L121" s="92"/>
      <c r="M121" s="92"/>
      <c r="N121" s="92"/>
      <c r="O121" s="89"/>
      <c r="P121" s="89"/>
      <c r="Q121" s="313"/>
      <c r="R121" s="313"/>
      <c r="S121" s="313"/>
      <c r="T121" s="313"/>
      <c r="U121" s="313"/>
      <c r="V121" s="313"/>
      <c r="W121" s="313"/>
      <c r="X121" s="313"/>
      <c r="Y121" s="313"/>
      <c r="Z121" s="313"/>
      <c r="AA121" s="313"/>
      <c r="AB121" s="313"/>
      <c r="AC121" s="313"/>
    </row>
    <row r="122" spans="2:29" x14ac:dyDescent="0.2">
      <c r="B122" s="88"/>
      <c r="C122" s="88"/>
      <c r="D122" s="44" t="s">
        <v>47</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83" t="s">
        <v>126</v>
      </c>
      <c r="R122" s="283"/>
      <c r="S122" s="283"/>
      <c r="T122" s="283"/>
      <c r="U122" s="283"/>
      <c r="V122" s="283"/>
      <c r="W122" s="283"/>
      <c r="X122" s="283"/>
      <c r="Y122" s="283"/>
      <c r="Z122" s="283"/>
      <c r="AA122" s="230"/>
      <c r="AB122" s="230"/>
      <c r="AC122" s="230"/>
    </row>
    <row r="123" spans="2:29" x14ac:dyDescent="0.2">
      <c r="B123" s="88"/>
      <c r="C123" s="88"/>
      <c r="D123" s="97"/>
      <c r="E123" s="88"/>
      <c r="F123" s="88"/>
      <c r="G123" s="88"/>
      <c r="H123" s="7"/>
      <c r="I123" s="7"/>
      <c r="J123" s="7"/>
      <c r="K123" s="15"/>
      <c r="L123" s="92"/>
      <c r="M123" s="92"/>
      <c r="N123" s="92"/>
      <c r="O123" s="89"/>
      <c r="P123" s="89"/>
      <c r="Q123" s="283"/>
      <c r="R123" s="283"/>
      <c r="S123" s="283"/>
      <c r="T123" s="283"/>
      <c r="U123" s="283"/>
      <c r="V123" s="283"/>
      <c r="W123" s="283"/>
      <c r="X123" s="283"/>
      <c r="Y123" s="283"/>
      <c r="Z123" s="283"/>
      <c r="AA123" s="228"/>
      <c r="AB123" s="228"/>
      <c r="AC123" s="228"/>
    </row>
    <row r="124" spans="2:29" x14ac:dyDescent="0.2">
      <c r="B124" s="88"/>
      <c r="C124" s="88"/>
      <c r="D124" s="44" t="s">
        <v>49</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c r="Q124" s="283" t="s">
        <v>279</v>
      </c>
      <c r="R124" s="283"/>
      <c r="S124" s="283"/>
      <c r="T124" s="283"/>
      <c r="U124" s="283"/>
      <c r="V124" s="283"/>
      <c r="W124" s="283"/>
      <c r="X124" s="283"/>
      <c r="Y124" s="283"/>
      <c r="Z124" s="283"/>
      <c r="AA124" s="134"/>
      <c r="AB124" s="134"/>
      <c r="AC124" s="134"/>
    </row>
    <row r="125" spans="2:29" x14ac:dyDescent="0.2">
      <c r="B125" s="88"/>
      <c r="C125" s="88"/>
      <c r="D125" s="97"/>
      <c r="E125" s="88"/>
      <c r="F125" s="88"/>
      <c r="G125" s="88"/>
      <c r="H125" s="7"/>
      <c r="I125" s="7"/>
      <c r="J125" s="7"/>
      <c r="K125" s="15"/>
      <c r="L125" s="92"/>
      <c r="M125" s="92"/>
      <c r="N125" s="92"/>
      <c r="O125" s="89"/>
      <c r="P125" s="89"/>
      <c r="Q125" s="283"/>
      <c r="R125" s="283"/>
      <c r="S125" s="283"/>
      <c r="T125" s="283"/>
      <c r="U125" s="283"/>
      <c r="V125" s="283"/>
      <c r="W125" s="283"/>
      <c r="X125" s="283"/>
      <c r="Y125" s="283"/>
      <c r="Z125" s="283"/>
    </row>
    <row r="126" spans="2:29" x14ac:dyDescent="0.2">
      <c r="B126" s="88"/>
      <c r="C126" s="88"/>
      <c r="D126" s="44" t="s">
        <v>48</v>
      </c>
      <c r="E126" s="1"/>
      <c r="F126" s="1"/>
      <c r="G126" s="1"/>
      <c r="H126" s="85"/>
      <c r="I126" s="7"/>
      <c r="J126" s="8"/>
      <c r="K126" s="85"/>
      <c r="L126" s="17"/>
      <c r="M126" s="17"/>
      <c r="N126" s="69" t="str">
        <f ca="1">IF(AND(CELL("type",H126)="v",CELL("type",K126)="v")=TRUE,IF(H126+K126=0,"",H126+K126),IF(AND(CELL("type",H126)="v",CELL("type",K126)&lt;&gt;"v")=TRUE,H126,IF(AND(CELL("type",H126)&lt;&gt;"v",CELL("type",K126)="v")=TRUE,K126,"")))</f>
        <v/>
      </c>
      <c r="O126" s="89"/>
      <c r="P126" s="89"/>
    </row>
    <row r="127" spans="2:29" x14ac:dyDescent="0.2">
      <c r="B127" s="88"/>
      <c r="C127" s="88"/>
      <c r="D127" s="97"/>
      <c r="E127" s="88"/>
      <c r="F127" s="88"/>
      <c r="G127" s="88"/>
      <c r="H127" s="7"/>
      <c r="I127" s="7"/>
      <c r="J127" s="7"/>
      <c r="K127" s="15"/>
      <c r="L127" s="92"/>
      <c r="M127" s="92"/>
      <c r="N127" s="92"/>
      <c r="O127" s="89"/>
      <c r="P127" s="89"/>
    </row>
    <row r="128" spans="2:29" ht="12.75" customHeight="1" x14ac:dyDescent="0.2">
      <c r="B128" s="88"/>
      <c r="C128" s="88"/>
      <c r="D128" s="45" t="s">
        <v>8</v>
      </c>
      <c r="E128" s="1"/>
      <c r="F128" s="1"/>
      <c r="G128" s="1"/>
      <c r="H128" s="85"/>
      <c r="I128" s="24"/>
      <c r="J128" s="9"/>
      <c r="K128" s="85"/>
      <c r="L128" s="17"/>
      <c r="M128" s="17"/>
      <c r="N128" s="69" t="str">
        <f ca="1">IF(AND(CELL("type",H128)="v",CELL("type",K128)="v")=TRUE,IF(H128+K128=0,"",H128+K128),IF(AND(CELL("type",H128)="v",CELL("type",K128)&lt;&gt;"v")=TRUE,H128,IF(AND(CELL("type",H128)&lt;&gt;"v",CELL("type",K128)="v")=TRUE,K128,"")))</f>
        <v/>
      </c>
      <c r="O128" s="89"/>
      <c r="P128" s="89"/>
      <c r="Q128" s="283" t="s">
        <v>299</v>
      </c>
      <c r="R128" s="283"/>
      <c r="S128" s="283"/>
      <c r="T128" s="283"/>
      <c r="U128" s="283"/>
      <c r="V128" s="283"/>
      <c r="W128" s="283"/>
      <c r="X128" s="283"/>
      <c r="Y128" s="283"/>
      <c r="Z128" s="283"/>
    </row>
    <row r="129" spans="1:26" x14ac:dyDescent="0.2">
      <c r="B129" s="88"/>
      <c r="C129" s="88"/>
      <c r="D129" s="88"/>
      <c r="E129" s="88"/>
      <c r="F129" s="88"/>
      <c r="G129" s="88"/>
      <c r="H129" s="93"/>
      <c r="I129" s="93"/>
      <c r="J129" s="93"/>
      <c r="K129" s="92"/>
      <c r="L129" s="92"/>
      <c r="M129" s="92"/>
      <c r="N129" s="100"/>
      <c r="O129" s="89"/>
      <c r="P129" s="89"/>
      <c r="Q129" s="283"/>
      <c r="R129" s="283"/>
      <c r="S129" s="283"/>
      <c r="T129" s="283"/>
      <c r="U129" s="283"/>
      <c r="V129" s="283"/>
      <c r="W129" s="283"/>
      <c r="X129" s="283"/>
      <c r="Y129" s="283"/>
      <c r="Z129" s="283"/>
    </row>
    <row r="130" spans="1:26" x14ac:dyDescent="0.2">
      <c r="B130" s="42" t="s">
        <v>129</v>
      </c>
      <c r="C130" s="43" t="s">
        <v>54</v>
      </c>
      <c r="D130" s="1"/>
      <c r="E130" s="1"/>
      <c r="F130" s="1"/>
      <c r="G130" s="88"/>
      <c r="H130" s="93"/>
      <c r="I130" s="93"/>
      <c r="J130" s="93"/>
      <c r="K130" s="92"/>
      <c r="L130" s="92"/>
      <c r="M130" s="92"/>
      <c r="N130" s="92"/>
      <c r="O130" s="89"/>
      <c r="P130" s="89"/>
    </row>
    <row r="131" spans="1:26" x14ac:dyDescent="0.2">
      <c r="B131" s="88"/>
      <c r="C131" s="88"/>
      <c r="D131" s="43" t="s">
        <v>55</v>
      </c>
      <c r="E131" s="88"/>
      <c r="F131" s="88"/>
      <c r="G131" s="42" t="s">
        <v>9</v>
      </c>
      <c r="H131" s="69" t="str">
        <f>IF(SUM(H72:H129)=0,"",SUM(H72:H129))</f>
        <v/>
      </c>
      <c r="I131" s="7"/>
      <c r="J131" s="10" t="s">
        <v>9</v>
      </c>
      <c r="K131" s="69" t="str">
        <f>IF(SUM(K72:K129)=0,"",SUM(K72:K129))</f>
        <v/>
      </c>
      <c r="L131" s="15"/>
      <c r="M131" s="70" t="s">
        <v>9</v>
      </c>
      <c r="N131" s="69" t="str">
        <f ca="1">IF(AND(CELL("type",H131)="v",CELL("type",K131)="v")=TRUE,IF(H131+K131=0,"",H131+K131),IF(AND(CELL("type",H131)="v",CELL("type",K131)&lt;&gt;"v")=TRUE,H131,IF(AND(CELL("type",H131)&lt;&gt;"v",CELL("type",K131)="v")=TRUE,K131,"")))</f>
        <v/>
      </c>
      <c r="O131" s="89"/>
      <c r="P131" s="89"/>
    </row>
    <row r="132" spans="1:26" ht="12.75" customHeight="1" x14ac:dyDescent="0.2">
      <c r="B132" s="88"/>
      <c r="C132" s="88"/>
      <c r="D132" s="88"/>
      <c r="E132" s="88"/>
      <c r="F132" s="88"/>
      <c r="G132" s="88"/>
      <c r="H132" s="88"/>
      <c r="I132" s="88"/>
      <c r="J132" s="88"/>
      <c r="K132" s="91"/>
      <c r="L132" s="91"/>
      <c r="M132" s="91"/>
      <c r="N132" s="101"/>
      <c r="O132" s="89"/>
      <c r="P132" s="89"/>
      <c r="Q132" s="135">
        <v>0.05</v>
      </c>
      <c r="R132" s="136" t="s">
        <v>153</v>
      </c>
      <c r="S132" s="137"/>
      <c r="T132" s="137"/>
      <c r="U132" s="137"/>
      <c r="V132" s="138">
        <f ca="1">IF(ISERROR(N(N131)*N(Q132)),0,N(N131)*N(Q132))</f>
        <v>0</v>
      </c>
      <c r="W132" s="136" t="s">
        <v>154</v>
      </c>
      <c r="X132" s="137"/>
      <c r="Y132" s="137"/>
      <c r="Z132" s="137"/>
    </row>
    <row r="133" spans="1:26" ht="12.75" customHeight="1" x14ac:dyDescent="0.2">
      <c r="B133" s="104" t="s">
        <v>130</v>
      </c>
      <c r="C133" s="105" t="s">
        <v>302</v>
      </c>
      <c r="D133" s="88"/>
      <c r="E133" s="88"/>
      <c r="F133" s="88"/>
      <c r="G133" s="42" t="s">
        <v>9</v>
      </c>
      <c r="H133" s="86"/>
      <c r="I133" s="24"/>
      <c r="J133" s="42" t="s">
        <v>9</v>
      </c>
      <c r="K133" s="86"/>
      <c r="L133" s="17"/>
      <c r="M133" s="42" t="s">
        <v>9</v>
      </c>
      <c r="N133" s="69" t="str">
        <f ca="1">IF(AND(CELL("type",H133)="v",CELL("type",K133)="v")=TRUE,IF(H133+K133=0,"",H133+K133),IF(AND(CELL("type",H133)="v",CELL("type",K133)&lt;&gt;"v")=TRUE,H133,IF(AND(CELL("type",H133)&lt;&gt;"v",CELL("type",K133)="v")=TRUE,K133,"")))</f>
        <v/>
      </c>
      <c r="O133" s="89"/>
      <c r="P133" s="129" t="str">
        <f ca="1">IF(Q133="No","**","")</f>
        <v/>
      </c>
      <c r="Q133" s="139" t="str">
        <f ca="1">IF(N(N133)&lt;=V132,"Yes","No")</f>
        <v>Yes</v>
      </c>
      <c r="R133" s="140" t="s">
        <v>132</v>
      </c>
      <c r="S133" s="140"/>
      <c r="T133" s="140"/>
      <c r="U133" s="140"/>
      <c r="V133" s="140"/>
      <c r="W133" s="140"/>
      <c r="X133" s="140"/>
      <c r="Y133" s="140"/>
      <c r="Z133" s="140"/>
    </row>
    <row r="134" spans="1:26" ht="12.75" customHeight="1" x14ac:dyDescent="0.2">
      <c r="B134" s="88"/>
      <c r="C134" s="88"/>
      <c r="D134" s="88"/>
      <c r="E134" s="88"/>
      <c r="F134" s="88"/>
      <c r="G134" s="88"/>
      <c r="H134" s="88"/>
      <c r="I134" s="88"/>
      <c r="J134" s="88"/>
      <c r="K134" s="91"/>
      <c r="L134" s="91"/>
      <c r="M134" s="91"/>
      <c r="N134" s="101"/>
      <c r="O134" s="89"/>
      <c r="P134" s="89"/>
      <c r="Q134" s="141" t="str">
        <f ca="1">IF(Q133="No","The amount entered for 'Soft Cost Contingency' is too high by "&amp;TEXT(N(N133)-N(V132),"$#,##0.00")&amp;".  ","")</f>
        <v/>
      </c>
      <c r="R134" s="142"/>
      <c r="S134" s="142"/>
      <c r="T134" s="142"/>
      <c r="U134" s="142"/>
      <c r="V134" s="142"/>
      <c r="W134" s="142"/>
      <c r="X134" s="142"/>
      <c r="Y134" s="142"/>
      <c r="Z134" s="142"/>
    </row>
    <row r="135" spans="1:26" ht="3.75" customHeight="1" thickBot="1" x14ac:dyDescent="0.25">
      <c r="B135" s="88"/>
      <c r="C135" s="88"/>
      <c r="D135" s="88"/>
      <c r="E135" s="88"/>
      <c r="F135" s="88"/>
      <c r="G135" s="88"/>
      <c r="H135" s="88"/>
      <c r="I135" s="88"/>
      <c r="J135" s="88"/>
      <c r="K135" s="91"/>
      <c r="L135" s="91"/>
      <c r="M135" s="91"/>
      <c r="N135" s="101"/>
      <c r="O135" s="89"/>
      <c r="P135" s="89"/>
      <c r="Q135" s="231"/>
      <c r="R135" s="140"/>
      <c r="S135" s="140"/>
      <c r="T135" s="140"/>
      <c r="U135" s="140"/>
      <c r="V135" s="140"/>
      <c r="W135" s="140"/>
      <c r="X135" s="140"/>
      <c r="Y135" s="140"/>
      <c r="Z135" s="140"/>
    </row>
    <row r="136" spans="1:26" ht="3.75" customHeight="1" x14ac:dyDescent="0.2">
      <c r="A136" s="87"/>
      <c r="B136" s="94"/>
      <c r="C136" s="94"/>
      <c r="D136" s="94"/>
      <c r="E136" s="94"/>
      <c r="F136" s="94"/>
      <c r="G136" s="94"/>
      <c r="H136" s="94"/>
      <c r="I136" s="94"/>
      <c r="J136" s="94"/>
      <c r="K136" s="95"/>
      <c r="L136" s="95"/>
      <c r="M136" s="95"/>
      <c r="N136" s="95"/>
      <c r="O136" s="96"/>
      <c r="P136" s="96"/>
    </row>
    <row r="137" spans="1:26" x14ac:dyDescent="0.2">
      <c r="B137" s="66" t="str">
        <f>B$2</f>
        <v>RFA 2019-109 DEVELOPMENT COST PRO FORMA</v>
      </c>
      <c r="C137" s="88"/>
      <c r="D137" s="88"/>
      <c r="E137" s="88"/>
      <c r="F137" s="88"/>
      <c r="G137" s="88"/>
      <c r="H137" s="1"/>
      <c r="I137" s="1"/>
      <c r="J137" s="1"/>
      <c r="K137" s="68"/>
      <c r="L137" s="91"/>
      <c r="M137" s="91"/>
      <c r="N137" s="91"/>
      <c r="O137" s="89"/>
      <c r="P137" s="3" t="s">
        <v>345</v>
      </c>
    </row>
    <row r="138" spans="1:26" x14ac:dyDescent="0.2">
      <c r="B138" s="88"/>
      <c r="C138" s="88"/>
      <c r="D138" s="88"/>
      <c r="E138" s="88"/>
      <c r="F138" s="88"/>
      <c r="G138" s="88"/>
      <c r="H138" s="170">
        <v>1</v>
      </c>
      <c r="I138" s="1"/>
      <c r="J138" s="1"/>
      <c r="K138" s="170">
        <v>2</v>
      </c>
      <c r="L138" s="1"/>
      <c r="M138" s="34"/>
      <c r="N138" s="111">
        <v>3</v>
      </c>
      <c r="O138" s="89"/>
      <c r="P138" s="89"/>
    </row>
    <row r="139" spans="1:26" ht="23.1" customHeight="1" x14ac:dyDescent="0.2">
      <c r="B139" s="88"/>
      <c r="C139" s="88"/>
      <c r="D139" s="88"/>
      <c r="E139" s="88"/>
      <c r="F139" s="88"/>
      <c r="G139" s="88"/>
      <c r="H139" s="36" t="str">
        <f>H$36</f>
        <v>HC ELIGIBLE
COSTS</v>
      </c>
      <c r="I139" s="33"/>
      <c r="J139" s="33"/>
      <c r="K139" s="36" t="str">
        <f>K$36</f>
        <v>HC INELIGIBLE OR HOME ONLY COSTS</v>
      </c>
      <c r="L139" s="37"/>
      <c r="M139" s="73"/>
      <c r="N139" s="36" t="str">
        <f>N$36</f>
        <v>TOTAL
COSTS</v>
      </c>
      <c r="O139" s="89"/>
      <c r="P139" s="89"/>
    </row>
    <row r="140" spans="1:26" x14ac:dyDescent="0.2">
      <c r="B140" s="88"/>
      <c r="C140" s="39" t="s">
        <v>18</v>
      </c>
      <c r="D140" s="88"/>
      <c r="E140" s="88"/>
      <c r="F140" s="88"/>
      <c r="G140" s="88"/>
      <c r="H140" s="88"/>
      <c r="I140" s="88"/>
      <c r="J140" s="88"/>
      <c r="K140" s="91"/>
      <c r="L140" s="91"/>
      <c r="M140" s="91"/>
      <c r="N140" s="91"/>
      <c r="O140" s="89"/>
      <c r="P140" s="89"/>
    </row>
    <row r="141" spans="1:26" x14ac:dyDescent="0.2">
      <c r="B141" s="88"/>
      <c r="C141" s="39"/>
      <c r="D141" s="99" t="s">
        <v>19</v>
      </c>
      <c r="E141" s="99"/>
      <c r="F141" s="88"/>
      <c r="G141" s="88"/>
      <c r="H141" s="88"/>
      <c r="I141" s="88"/>
      <c r="J141" s="88"/>
      <c r="K141" s="91"/>
      <c r="L141" s="91"/>
      <c r="M141" s="91"/>
      <c r="N141" s="91"/>
      <c r="O141" s="89"/>
      <c r="P141" s="89"/>
    </row>
    <row r="142" spans="1:26" x14ac:dyDescent="0.2">
      <c r="B142" s="88"/>
      <c r="C142" s="39"/>
      <c r="D142" s="99"/>
      <c r="E142" s="99" t="s">
        <v>22</v>
      </c>
      <c r="F142" s="88"/>
      <c r="G142" s="88"/>
      <c r="H142" s="85"/>
      <c r="I142" s="7"/>
      <c r="J142" s="8"/>
      <c r="K142" s="85"/>
      <c r="L142" s="17"/>
      <c r="M142" s="15"/>
      <c r="N142" s="69" t="str">
        <f ca="1">IF(AND(CELL("type",H142)="v",CELL("type",K142)="v")=TRUE,IF(H142+K142=0,"",H142+K142),IF(AND(CELL("type",H142)="v",CELL("type",K142)&lt;&gt;"v")=TRUE,H142,IF(AND(CELL("type",H142)&lt;&gt;"v",CELL("type",K142)="v")=TRUE,K142,"")))</f>
        <v/>
      </c>
      <c r="O142" s="89"/>
      <c r="P142" s="89"/>
    </row>
    <row r="143" spans="1:26" x14ac:dyDescent="0.2">
      <c r="B143" s="88"/>
      <c r="C143" s="39"/>
      <c r="D143" s="99"/>
      <c r="E143" s="99"/>
      <c r="F143" s="88"/>
      <c r="G143" s="88"/>
      <c r="H143" s="93"/>
      <c r="I143" s="93"/>
      <c r="J143" s="93"/>
      <c r="K143" s="92"/>
      <c r="L143" s="92"/>
      <c r="M143" s="92"/>
      <c r="N143" s="92"/>
      <c r="O143" s="89"/>
      <c r="P143" s="89"/>
    </row>
    <row r="144" spans="1:26" x14ac:dyDescent="0.2">
      <c r="B144" s="88"/>
      <c r="C144" s="88"/>
      <c r="D144" s="99" t="s">
        <v>24</v>
      </c>
      <c r="E144" s="99"/>
      <c r="F144" s="88"/>
      <c r="G144" s="88"/>
      <c r="H144" s="93"/>
      <c r="I144" s="93"/>
      <c r="J144" s="93"/>
      <c r="K144" s="92"/>
      <c r="L144" s="92"/>
      <c r="M144" s="92"/>
      <c r="N144" s="92"/>
      <c r="O144" s="89"/>
      <c r="P144" s="89"/>
    </row>
    <row r="145" spans="2:26" x14ac:dyDescent="0.2">
      <c r="B145" s="88"/>
      <c r="C145" s="88"/>
      <c r="D145" s="99"/>
      <c r="E145" s="99" t="s">
        <v>25</v>
      </c>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
      <c r="B146" s="88"/>
      <c r="C146" s="88"/>
      <c r="D146" s="99"/>
      <c r="E146" s="99"/>
      <c r="F146" s="88"/>
      <c r="G146" s="88"/>
      <c r="H146" s="93"/>
      <c r="I146" s="93"/>
      <c r="J146" s="93"/>
      <c r="K146" s="92"/>
      <c r="L146" s="92"/>
      <c r="M146" s="92"/>
      <c r="N146" s="92"/>
      <c r="O146" s="89"/>
      <c r="P146" s="89"/>
    </row>
    <row r="147" spans="2:26" x14ac:dyDescent="0.2">
      <c r="B147" s="88"/>
      <c r="C147" s="88"/>
      <c r="D147" s="99" t="s">
        <v>20</v>
      </c>
      <c r="E147" s="99"/>
      <c r="F147" s="88"/>
      <c r="G147" s="88"/>
      <c r="H147" s="85"/>
      <c r="I147" s="7"/>
      <c r="J147" s="8"/>
      <c r="K147" s="85"/>
      <c r="L147" s="17"/>
      <c r="M147" s="15"/>
      <c r="N147" s="69" t="str">
        <f ca="1">IF(AND(CELL("type",H147)="v",CELL("type",K147)="v")=TRUE,IF(H147+K147=0,"",H147+K147),IF(AND(CELL("type",H147)="v",CELL("type",K147)&lt;&gt;"v")=TRUE,H147,IF(AND(CELL("type",H147)&lt;&gt;"v",CELL("type",K147)="v")=TRUE,K147,"")))</f>
        <v/>
      </c>
      <c r="O147" s="89"/>
      <c r="P147" s="89"/>
    </row>
    <row r="148" spans="2:26" x14ac:dyDescent="0.2">
      <c r="B148" s="88"/>
      <c r="C148" s="88"/>
      <c r="D148" s="99"/>
      <c r="E148" s="99"/>
      <c r="F148" s="88"/>
      <c r="G148" s="88"/>
      <c r="H148" s="93"/>
      <c r="I148" s="93"/>
      <c r="J148" s="93"/>
      <c r="K148" s="92"/>
      <c r="L148" s="92"/>
      <c r="M148" s="92"/>
      <c r="N148" s="91"/>
      <c r="O148" s="89"/>
      <c r="P148" s="89"/>
    </row>
    <row r="149" spans="2:26" x14ac:dyDescent="0.2">
      <c r="B149" s="88"/>
      <c r="C149" s="88"/>
      <c r="D149" s="99" t="s">
        <v>28</v>
      </c>
      <c r="E149" s="99"/>
      <c r="F149" s="88"/>
      <c r="G149" s="88"/>
      <c r="H149" s="93"/>
      <c r="I149" s="93"/>
      <c r="J149" s="93"/>
      <c r="K149" s="92"/>
      <c r="L149" s="92"/>
      <c r="M149" s="92"/>
      <c r="N149" s="92"/>
      <c r="O149" s="89"/>
      <c r="P149" s="89"/>
    </row>
    <row r="150" spans="2:26" ht="12.75" customHeight="1" x14ac:dyDescent="0.2">
      <c r="B150" s="88"/>
      <c r="C150" s="88"/>
      <c r="D150" s="99"/>
      <c r="E150" s="99" t="s">
        <v>29</v>
      </c>
      <c r="F150" s="88"/>
      <c r="G150" s="88"/>
      <c r="H150" s="85"/>
      <c r="I150" s="7"/>
      <c r="J150" s="8"/>
      <c r="K150" s="85"/>
      <c r="L150" s="17"/>
      <c r="M150" s="15"/>
      <c r="N150" s="69" t="str">
        <f ca="1">IF(AND(CELL("type",H150)="v",CELL("type",K150)="v")=TRUE,IF(H150+K150=0,"",H150+K150),IF(AND(CELL("type",H150)="v",CELL("type",K150)&lt;&gt;"v")=TRUE,H150,IF(AND(CELL("type",H150)&lt;&gt;"v",CELL("type",K150)="v")=TRUE,K150,"")))</f>
        <v/>
      </c>
      <c r="O150" s="89"/>
      <c r="P150" s="89"/>
      <c r="Q150" s="283" t="s">
        <v>133</v>
      </c>
      <c r="R150" s="283"/>
      <c r="S150" s="283"/>
      <c r="T150" s="283"/>
      <c r="U150" s="283"/>
      <c r="V150" s="283"/>
      <c r="W150" s="283"/>
      <c r="X150" s="283"/>
      <c r="Y150" s="283"/>
      <c r="Z150" s="283"/>
    </row>
    <row r="151" spans="2:26" x14ac:dyDescent="0.2">
      <c r="B151" s="88"/>
      <c r="C151" s="88"/>
      <c r="D151" s="99"/>
      <c r="E151" s="99"/>
      <c r="F151" s="88"/>
      <c r="G151" s="88"/>
      <c r="H151" s="93"/>
      <c r="I151" s="93"/>
      <c r="J151" s="93"/>
      <c r="K151" s="92"/>
      <c r="L151" s="92"/>
      <c r="M151" s="92"/>
      <c r="N151" s="91"/>
      <c r="O151" s="89"/>
      <c r="P151" s="89"/>
      <c r="Q151" s="283"/>
      <c r="R151" s="283"/>
      <c r="S151" s="283"/>
      <c r="T151" s="283"/>
      <c r="U151" s="283"/>
      <c r="V151" s="283"/>
      <c r="W151" s="283"/>
      <c r="X151" s="283"/>
      <c r="Y151" s="283"/>
      <c r="Z151" s="283"/>
    </row>
    <row r="152" spans="2:26" x14ac:dyDescent="0.2">
      <c r="B152" s="88"/>
      <c r="C152" s="88"/>
      <c r="D152" s="99" t="s">
        <v>21</v>
      </c>
      <c r="E152" s="99"/>
      <c r="F152" s="88"/>
      <c r="G152" s="88"/>
      <c r="H152" s="93"/>
      <c r="I152" s="93"/>
      <c r="J152" s="93"/>
      <c r="K152" s="92"/>
      <c r="L152" s="92"/>
      <c r="M152" s="92"/>
      <c r="N152" s="92"/>
      <c r="O152" s="89"/>
      <c r="P152" s="89"/>
    </row>
    <row r="153" spans="2:26" x14ac:dyDescent="0.2">
      <c r="B153" s="88"/>
      <c r="C153" s="88"/>
      <c r="D153" s="99"/>
      <c r="E153" s="99" t="s">
        <v>22</v>
      </c>
      <c r="F153" s="88"/>
      <c r="G153" s="88"/>
      <c r="H153" s="14"/>
      <c r="I153" s="7"/>
      <c r="J153" s="8"/>
      <c r="K153" s="85"/>
      <c r="L153" s="17"/>
      <c r="M153" s="15"/>
      <c r="N153" s="69" t="str">
        <f ca="1">IF(AND(CELL("type",H153)="v",CELL("type",K153)="v")=TRUE,IF(H153+K153=0,"",H153+K153),IF(AND(CELL("type",H153)="v",CELL("type",K153)&lt;&gt;"v")=TRUE,H153,IF(AND(CELL("type",H153)&lt;&gt;"v",CELL("type",K153)="v")=TRUE,K153,"")))</f>
        <v/>
      </c>
      <c r="O153" s="89"/>
      <c r="P153" s="89"/>
    </row>
    <row r="154" spans="2:26" x14ac:dyDescent="0.2">
      <c r="B154" s="88"/>
      <c r="C154" s="88"/>
      <c r="D154" s="99"/>
      <c r="E154" s="99"/>
      <c r="F154" s="88"/>
      <c r="G154" s="88"/>
      <c r="H154" s="93"/>
      <c r="I154" s="93"/>
      <c r="J154" s="93"/>
      <c r="K154" s="92"/>
      <c r="L154" s="92"/>
      <c r="M154" s="92"/>
      <c r="N154" s="92"/>
      <c r="O154" s="89"/>
      <c r="P154" s="89"/>
    </row>
    <row r="155" spans="2:26" x14ac:dyDescent="0.2">
      <c r="B155" s="88"/>
      <c r="C155" s="88"/>
      <c r="D155" s="99" t="s">
        <v>26</v>
      </c>
      <c r="E155" s="99"/>
      <c r="F155" s="88"/>
      <c r="G155" s="88"/>
      <c r="H155" s="93"/>
      <c r="I155" s="93"/>
      <c r="J155" s="93"/>
      <c r="K155" s="92"/>
      <c r="L155" s="92"/>
      <c r="M155" s="92"/>
      <c r="N155" s="92"/>
      <c r="O155" s="89"/>
      <c r="P155" s="89"/>
    </row>
    <row r="156" spans="2:26" x14ac:dyDescent="0.2">
      <c r="B156" s="88"/>
      <c r="C156" s="88"/>
      <c r="D156" s="99"/>
      <c r="E156" s="99" t="s">
        <v>25</v>
      </c>
      <c r="F156" s="88"/>
      <c r="G156" s="88"/>
      <c r="H156" s="14"/>
      <c r="I156" s="7"/>
      <c r="J156" s="8"/>
      <c r="K156" s="85"/>
      <c r="L156" s="17"/>
      <c r="M156" s="15"/>
      <c r="N156" s="69" t="str">
        <f ca="1">IF(AND(CELL("type",H156)="v",CELL("type",K156)="v")=TRUE,IF(H156+K156=0,"",H156+K156),IF(AND(CELL("type",H156)="v",CELL("type",K156)&lt;&gt;"v")=TRUE,H156,IF(AND(CELL("type",H156)&lt;&gt;"v",CELL("type",K156)="v")=TRUE,K156,"")))</f>
        <v/>
      </c>
      <c r="O156" s="89"/>
      <c r="P156" s="89"/>
    </row>
    <row r="157" spans="2:26" x14ac:dyDescent="0.2">
      <c r="B157" s="88"/>
      <c r="C157" s="88"/>
      <c r="D157" s="99"/>
      <c r="E157" s="99"/>
      <c r="F157" s="88"/>
      <c r="G157" s="88"/>
      <c r="H157" s="93"/>
      <c r="I157" s="93"/>
      <c r="J157" s="93"/>
      <c r="K157" s="92"/>
      <c r="L157" s="92"/>
      <c r="M157" s="92"/>
      <c r="N157" s="92"/>
      <c r="O157" s="89"/>
      <c r="P157" s="89"/>
    </row>
    <row r="158" spans="2:26" x14ac:dyDescent="0.2">
      <c r="B158" s="88"/>
      <c r="C158" s="88"/>
      <c r="D158" s="99" t="s">
        <v>23</v>
      </c>
      <c r="E158" s="99"/>
      <c r="F158" s="88"/>
      <c r="G158" s="88"/>
      <c r="H158" s="14"/>
      <c r="I158" s="7"/>
      <c r="J158" s="8"/>
      <c r="K158" s="85"/>
      <c r="L158" s="17"/>
      <c r="M158" s="15"/>
      <c r="N158" s="69" t="str">
        <f ca="1">IF(AND(CELL("type",H158)="v",CELL("type",K158)="v")=TRUE,IF(H158+K158=0,"",H158+K158),IF(AND(CELL("type",H158)="v",CELL("type",K158)&lt;&gt;"v")=TRUE,H158,IF(AND(CELL("type",H158)&lt;&gt;"v",CELL("type",K158)="v")=TRUE,K158,"")))</f>
        <v/>
      </c>
      <c r="O158" s="89"/>
      <c r="P158" s="89"/>
    </row>
    <row r="159" spans="2:26" x14ac:dyDescent="0.2">
      <c r="B159" s="88"/>
      <c r="C159" s="88"/>
      <c r="D159" s="99"/>
      <c r="E159" s="99"/>
      <c r="F159" s="88"/>
      <c r="G159" s="88"/>
      <c r="H159" s="93"/>
      <c r="I159" s="93"/>
      <c r="J159" s="93"/>
      <c r="K159" s="92"/>
      <c r="L159" s="92"/>
      <c r="M159" s="92"/>
      <c r="N159" s="92"/>
      <c r="O159" s="89"/>
      <c r="P159" s="89"/>
    </row>
    <row r="160" spans="2:26" x14ac:dyDescent="0.2">
      <c r="B160" s="88"/>
      <c r="C160" s="88"/>
      <c r="D160" s="99" t="s">
        <v>27</v>
      </c>
      <c r="E160" s="99"/>
      <c r="F160" s="88"/>
      <c r="G160" s="88"/>
      <c r="H160" s="93"/>
      <c r="I160" s="93"/>
      <c r="J160" s="93"/>
      <c r="K160" s="92"/>
      <c r="L160" s="92"/>
      <c r="M160" s="92"/>
      <c r="N160" s="92"/>
      <c r="O160" s="89"/>
      <c r="P160" s="89"/>
    </row>
    <row r="161" spans="1:26" x14ac:dyDescent="0.2">
      <c r="B161" s="88"/>
      <c r="C161" s="88"/>
      <c r="D161" s="99"/>
      <c r="E161" s="99" t="s">
        <v>22</v>
      </c>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
      <c r="B162" s="88"/>
      <c r="C162" s="88"/>
      <c r="D162" s="99"/>
      <c r="E162" s="99"/>
      <c r="F162" s="88"/>
      <c r="G162" s="88"/>
      <c r="H162" s="93"/>
      <c r="I162" s="93"/>
      <c r="J162" s="93"/>
      <c r="K162" s="92"/>
      <c r="L162" s="92"/>
      <c r="M162" s="92"/>
      <c r="N162" s="92"/>
      <c r="O162" s="89"/>
      <c r="P162" s="89"/>
    </row>
    <row r="163" spans="1:26" x14ac:dyDescent="0.2">
      <c r="B163" s="88"/>
      <c r="C163" s="88"/>
      <c r="D163" s="99" t="s">
        <v>95</v>
      </c>
      <c r="E163" s="99"/>
      <c r="F163" s="88"/>
      <c r="G163" s="88"/>
      <c r="H163" s="85"/>
      <c r="I163" s="7"/>
      <c r="J163" s="8"/>
      <c r="K163" s="85"/>
      <c r="L163" s="17"/>
      <c r="M163" s="15"/>
      <c r="N163" s="69" t="str">
        <f ca="1">IF(AND(CELL("type",H163)="v",CELL("type",K163)="v")=TRUE,IF(H163+K163=0,"",H163+K163),IF(AND(CELL("type",H163)="v",CELL("type",K163)&lt;&gt;"v")=TRUE,H163,IF(AND(CELL("type",H163)&lt;&gt;"v",CELL("type",K163)="v")=TRUE,K163,"")))</f>
        <v/>
      </c>
      <c r="O163" s="89"/>
      <c r="P163" s="89"/>
    </row>
    <row r="164" spans="1:26" x14ac:dyDescent="0.2">
      <c r="B164" s="88"/>
      <c r="C164" s="88"/>
      <c r="D164" s="99"/>
      <c r="E164" s="99"/>
      <c r="F164" s="88"/>
      <c r="G164" s="88"/>
      <c r="H164" s="93"/>
      <c r="I164" s="93"/>
      <c r="J164" s="93"/>
      <c r="K164" s="92"/>
      <c r="L164" s="92"/>
      <c r="M164" s="92"/>
      <c r="N164" s="92"/>
      <c r="O164" s="89"/>
      <c r="P164" s="89"/>
    </row>
    <row r="165" spans="1:26" ht="12.75" customHeight="1" x14ac:dyDescent="0.2">
      <c r="B165" s="88"/>
      <c r="C165" s="88"/>
      <c r="D165" s="41" t="s">
        <v>8</v>
      </c>
      <c r="E165" s="38"/>
      <c r="F165" s="1"/>
      <c r="G165" s="1"/>
      <c r="H165" s="85"/>
      <c r="I165" s="24"/>
      <c r="J165" s="9"/>
      <c r="K165" s="85"/>
      <c r="L165" s="17"/>
      <c r="M165" s="15"/>
      <c r="N165" s="69" t="str">
        <f ca="1">IF(AND(CELL("type",H165)="v",CELL("type",K165)="v")=TRUE,IF(H165+K165=0,"",H165+K165),IF(AND(CELL("type",H165)="v",CELL("type",K165)&lt;&gt;"v")=TRUE,H165,IF(AND(CELL("type",H165)&lt;&gt;"v",CELL("type",K165)="v")=TRUE,K165,"")))</f>
        <v/>
      </c>
      <c r="O165" s="89"/>
      <c r="P165" s="89"/>
      <c r="Q165" s="283" t="s">
        <v>282</v>
      </c>
      <c r="R165" s="283"/>
      <c r="S165" s="283"/>
      <c r="T165" s="283"/>
      <c r="U165" s="283"/>
      <c r="V165" s="283"/>
      <c r="W165" s="283"/>
      <c r="X165" s="283"/>
      <c r="Y165" s="283"/>
      <c r="Z165" s="283"/>
    </row>
    <row r="166" spans="1:26" x14ac:dyDescent="0.2">
      <c r="B166" s="88"/>
      <c r="C166" s="88"/>
      <c r="D166" s="88"/>
      <c r="E166" s="88"/>
      <c r="F166" s="88"/>
      <c r="G166" s="88"/>
      <c r="H166" s="92"/>
      <c r="I166" s="93"/>
      <c r="J166" s="93"/>
      <c r="K166" s="92"/>
      <c r="L166" s="92"/>
      <c r="M166" s="92"/>
      <c r="N166" s="92"/>
      <c r="O166" s="89"/>
      <c r="P166" s="89"/>
      <c r="Q166" s="283"/>
      <c r="R166" s="283"/>
      <c r="S166" s="283"/>
      <c r="T166" s="283"/>
      <c r="U166" s="283"/>
      <c r="V166" s="283"/>
      <c r="W166" s="283"/>
      <c r="X166" s="283"/>
      <c r="Y166" s="283"/>
      <c r="Z166" s="283"/>
    </row>
    <row r="167" spans="1:26" x14ac:dyDescent="0.2">
      <c r="B167" s="42" t="s">
        <v>58</v>
      </c>
      <c r="C167" s="43" t="s">
        <v>59</v>
      </c>
      <c r="D167" s="88"/>
      <c r="E167" s="88"/>
      <c r="F167" s="88"/>
      <c r="G167" s="42" t="s">
        <v>9</v>
      </c>
      <c r="H167" s="69" t="str">
        <f>IF(SUM(H142:H166)=0,"",SUM(H142:H166))</f>
        <v/>
      </c>
      <c r="I167" s="7"/>
      <c r="J167" s="10" t="s">
        <v>9</v>
      </c>
      <c r="K167" s="69" t="str">
        <f>IF(SUM(K142:K166)=0,"",SUM(K142:K166))</f>
        <v/>
      </c>
      <c r="L167" s="15"/>
      <c r="M167" s="70" t="s">
        <v>9</v>
      </c>
      <c r="N167" s="69" t="str">
        <f ca="1">IF(AND(CELL("type",H167)="v",CELL("type",K167)="v")=TRUE,IF(H167+K167=0,"",H167+K167),IF(AND(CELL("type",H167)="v",CELL("type",K167)&lt;&gt;"v")=TRUE,H167,IF(AND(CELL("type",H167)&lt;&gt;"v",CELL("type",K167)="v")=TRUE,K167,"")))</f>
        <v/>
      </c>
      <c r="O167" s="89"/>
      <c r="P167" s="89"/>
    </row>
    <row r="168" spans="1:26" x14ac:dyDescent="0.2">
      <c r="B168" s="88"/>
      <c r="C168" s="88"/>
      <c r="D168" s="88"/>
      <c r="E168" s="88"/>
      <c r="F168" s="88"/>
      <c r="G168" s="88"/>
      <c r="H168" s="92"/>
      <c r="I168" s="93"/>
      <c r="J168" s="93"/>
      <c r="K168" s="92"/>
      <c r="L168" s="92"/>
      <c r="M168" s="92"/>
      <c r="N168" s="92"/>
      <c r="O168" s="89"/>
      <c r="P168" s="89"/>
    </row>
    <row r="169" spans="1:26" x14ac:dyDescent="0.2">
      <c r="B169" s="42"/>
      <c r="C169" s="56" t="s">
        <v>60</v>
      </c>
      <c r="D169" s="38"/>
      <c r="E169" s="38"/>
      <c r="F169" s="38"/>
      <c r="G169" s="38"/>
      <c r="H169" s="16"/>
      <c r="I169" s="8"/>
      <c r="J169" s="8"/>
      <c r="K169" s="16"/>
      <c r="L169" s="16"/>
      <c r="M169" s="16"/>
      <c r="N169" s="16"/>
      <c r="O169" s="89"/>
      <c r="P169" s="89"/>
    </row>
    <row r="170" spans="1:26" x14ac:dyDescent="0.2">
      <c r="B170" s="38"/>
      <c r="C170" s="56" t="s">
        <v>150</v>
      </c>
      <c r="D170" s="11"/>
      <c r="E170" s="25"/>
      <c r="F170" s="25"/>
      <c r="G170" s="1"/>
      <c r="H170" s="16"/>
      <c r="I170" s="7"/>
      <c r="J170" s="8"/>
      <c r="K170" s="16"/>
      <c r="L170" s="17"/>
      <c r="M170" s="17"/>
      <c r="N170" s="17"/>
      <c r="O170" s="89"/>
      <c r="P170" s="89"/>
      <c r="Q170" s="283"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0" s="283"/>
      <c r="S170" s="283"/>
      <c r="T170" s="283"/>
      <c r="U170" s="283"/>
      <c r="V170" s="283"/>
      <c r="W170" s="283"/>
      <c r="X170" s="283"/>
      <c r="Y170" s="283"/>
      <c r="Z170" s="283"/>
    </row>
    <row r="171" spans="1:26" ht="12.75" customHeight="1" x14ac:dyDescent="0.2">
      <c r="B171" s="1"/>
      <c r="C171" s="47"/>
      <c r="D171" s="38" t="s">
        <v>149</v>
      </c>
      <c r="E171" s="1"/>
      <c r="F171" s="1"/>
      <c r="G171" s="42"/>
      <c r="H171" s="85"/>
      <c r="I171" s="24"/>
      <c r="J171" s="10"/>
      <c r="K171" s="85"/>
      <c r="L171" s="17"/>
      <c r="M171" s="70"/>
      <c r="N171" s="127" t="str">
        <f ca="1">IF(AND(CELL("type",H171)="v",CELL("type",K171)="v")=TRUE,IF(H171+K171=0,"",H171+K171),IF(AND(CELL("type",H171)="v",CELL("type",K171)&lt;&gt;"v")=TRUE,H171,IF(AND(CELL("type",H171)&lt;&gt;"v",CELL("type",K171)="v")=TRUE,K171,"")))</f>
        <v/>
      </c>
      <c r="O171" s="89"/>
      <c r="P171" s="89"/>
      <c r="Q171" s="283"/>
      <c r="R171" s="283"/>
      <c r="S171" s="283"/>
      <c r="T171" s="283"/>
      <c r="U171" s="283"/>
      <c r="V171" s="283"/>
      <c r="W171" s="283"/>
      <c r="X171" s="283"/>
      <c r="Y171" s="283"/>
      <c r="Z171" s="283"/>
    </row>
    <row r="172" spans="1:26" x14ac:dyDescent="0.2">
      <c r="B172" s="88"/>
      <c r="C172" s="47"/>
      <c r="D172" s="38"/>
      <c r="E172" s="1"/>
      <c r="F172" s="1"/>
      <c r="G172" s="1"/>
      <c r="H172" s="102"/>
      <c r="I172" s="15"/>
      <c r="J172" s="16"/>
      <c r="K172" s="102"/>
      <c r="L172" s="17"/>
      <c r="M172" s="17"/>
      <c r="N172" s="18"/>
      <c r="O172" s="89"/>
      <c r="P172" s="89"/>
    </row>
    <row r="173" spans="1:26" x14ac:dyDescent="0.2">
      <c r="B173" s="42"/>
      <c r="C173" s="11"/>
      <c r="D173" s="11" t="s">
        <v>8</v>
      </c>
      <c r="E173" s="29"/>
      <c r="F173" s="29"/>
      <c r="G173" s="42"/>
      <c r="H173" s="85"/>
      <c r="I173" s="24"/>
      <c r="J173" s="10"/>
      <c r="K173" s="85"/>
      <c r="L173" s="21"/>
      <c r="M173" s="70"/>
      <c r="N173" s="127" t="str">
        <f ca="1">IF(AND(CELL("type",H173)="v",CELL("type",K173)="v")=TRUE,IF(H173+K173=0,"",H173+K173),IF(AND(CELL("type",H173)="v",CELL("type",K173)&lt;&gt;"v")=TRUE,H173,IF(AND(CELL("type",H173)&lt;&gt;"v",CELL("type",K173)="v")=TRUE,K173,"")))</f>
        <v/>
      </c>
      <c r="O173" s="89"/>
      <c r="P173" s="89"/>
    </row>
    <row r="174" spans="1:26" x14ac:dyDescent="0.2">
      <c r="A174" s="88"/>
      <c r="B174" s="47"/>
      <c r="C174" s="1"/>
      <c r="D174" s="38"/>
      <c r="E174" s="1"/>
      <c r="F174" s="1"/>
      <c r="G174" s="29"/>
      <c r="H174" s="103"/>
      <c r="I174" s="19"/>
      <c r="J174" s="20"/>
      <c r="K174" s="103"/>
      <c r="L174" s="21"/>
      <c r="M174" s="21"/>
      <c r="N174" s="21"/>
      <c r="O174" s="89"/>
      <c r="P174" s="89"/>
    </row>
    <row r="175" spans="1:26" x14ac:dyDescent="0.2">
      <c r="A175" s="88"/>
      <c r="B175" s="42" t="s">
        <v>87</v>
      </c>
      <c r="C175" s="11" t="s">
        <v>151</v>
      </c>
      <c r="D175" s="38"/>
      <c r="E175" s="1"/>
      <c r="F175" s="1"/>
      <c r="G175" s="29"/>
      <c r="H175" s="103"/>
      <c r="I175" s="19"/>
      <c r="J175" s="20"/>
      <c r="K175" s="103"/>
      <c r="L175" s="21"/>
      <c r="M175" s="21"/>
      <c r="N175" s="21"/>
      <c r="O175" s="89"/>
      <c r="P175" s="89"/>
      <c r="Q175" s="283"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5" s="283"/>
      <c r="S175" s="283"/>
      <c r="T175" s="283"/>
      <c r="U175" s="283"/>
      <c r="V175" s="283"/>
      <c r="W175" s="283"/>
      <c r="X175" s="283"/>
      <c r="Y175" s="283"/>
      <c r="Z175" s="283"/>
    </row>
    <row r="176" spans="1:26" x14ac:dyDescent="0.2">
      <c r="A176" s="88"/>
      <c r="B176" s="42"/>
      <c r="C176" s="11" t="s">
        <v>150</v>
      </c>
      <c r="D176" s="38"/>
      <c r="E176" s="1"/>
      <c r="F176" s="1"/>
      <c r="G176" s="42" t="s">
        <v>9</v>
      </c>
      <c r="H176" s="69" t="str">
        <f>IF(SUM(H171:H175)=0,"",SUM(H171:H175))</f>
        <v/>
      </c>
      <c r="I176" s="24"/>
      <c r="J176" s="10" t="s">
        <v>9</v>
      </c>
      <c r="K176" s="69" t="str">
        <f>IF(SUM(K171:K175)=0,"",SUM(K171:K175))</f>
        <v/>
      </c>
      <c r="L176" s="21"/>
      <c r="M176" s="70" t="s">
        <v>9</v>
      </c>
      <c r="N176" s="69" t="str">
        <f ca="1">IF(AND(CELL("type",H176)="v",CELL("type",K176)="v")=TRUE,IF(H176+K176=0,"",H176+K176),IF(AND(CELL("type",H176)="v",CELL("type",K176)&lt;&gt;"v")=TRUE,H176,IF(AND(CELL("type",H176)&lt;&gt;"v",CELL("type",K176)="v")=TRUE,K176,"")))</f>
        <v/>
      </c>
      <c r="O176" s="89"/>
      <c r="P176" s="89"/>
      <c r="Q176" s="283"/>
      <c r="R176" s="283"/>
      <c r="S176" s="283"/>
      <c r="T176" s="283"/>
      <c r="U176" s="283"/>
      <c r="V176" s="283"/>
      <c r="W176" s="283"/>
      <c r="X176" s="283"/>
      <c r="Y176" s="283"/>
      <c r="Z176" s="283"/>
    </row>
    <row r="177" spans="1:27" x14ac:dyDescent="0.2">
      <c r="A177" s="88"/>
      <c r="B177" s="47"/>
      <c r="C177" s="1"/>
      <c r="D177" s="38"/>
      <c r="E177" s="1"/>
      <c r="F177" s="1"/>
      <c r="G177" s="29"/>
      <c r="H177" s="103"/>
      <c r="I177" s="19"/>
      <c r="J177" s="20"/>
      <c r="K177" s="103"/>
      <c r="L177" s="21"/>
      <c r="M177" s="21"/>
      <c r="N177" s="21"/>
      <c r="O177" s="89"/>
      <c r="P177" s="89"/>
    </row>
    <row r="178" spans="1:27" x14ac:dyDescent="0.2">
      <c r="B178" s="42" t="s">
        <v>61</v>
      </c>
      <c r="C178" s="11" t="s">
        <v>65</v>
      </c>
      <c r="D178" s="11"/>
      <c r="E178" s="25"/>
      <c r="F178" s="25"/>
      <c r="G178" s="42" t="s">
        <v>9</v>
      </c>
      <c r="H178" s="69" t="str">
        <f ca="1">IF(IF(CELL("type",H63)="v",H63,0)+IF(CELL("type",H65)="v",H65,0)+IF(CELL("type",H131)="v",H131,0)+IF(CELL("type",H133)="v",H133,0)+IF(CELL("type",H167)="v",H167,0)+IF(CELL("type",H176)="v",H176,0)=0,"",IF(CELL("type",H63)="v",H63,0)+IF(CELL("type",H65)="v",H65,0)+IF(CELL("type",H131)="v",H131,0)+IF(CELL("type",H133)="v",H133,0)+IF(CELL("type",H167)="v",H167,0)+IF(CELL("type",H176)="v",H176,0))</f>
        <v/>
      </c>
      <c r="I178" s="7"/>
      <c r="J178" s="10" t="s">
        <v>9</v>
      </c>
      <c r="K178" s="69" t="str">
        <f ca="1">IF(IF(CELL("type",K63)="v",K63,0)+IF(CELL("type",K65)="v",K65,0)+IF(CELL("type",K131)="v",K131,0)+IF(CELL("type",K133)="v",K133,0)+IF(CELL("type",K167)="v",K167,0)+IF(CELL("type",K176)="v",K176,0)=0,"",IF(CELL("type",K63)="v",K63,0)+IF(CELL("type",K65)="v",K65,0)+IF(CELL("type",K131)="v",K131,0)+IF(CELL("type",K133)="v",K133,0)+IF(CELL("type",K167)="v",K167,0)+IF(CELL("type",K176)="v",K176,0))</f>
        <v/>
      </c>
      <c r="L178" s="17"/>
      <c r="M178" s="70" t="s">
        <v>9</v>
      </c>
      <c r="N178" s="69" t="str">
        <f ca="1">IF(AND(CELL("type",H178)="v",CELL("type",K178)="v")=TRUE,IF(H178+K178=0,"",H178+K178),IF(AND(CELL("type",H178)="v",CELL("type",K178)&lt;&gt;"v")=TRUE,H178,IF(AND(CELL("type",H178)&lt;&gt;"v",CELL("type",K178)="v")=TRUE,K178,"")))</f>
        <v/>
      </c>
      <c r="O178" s="89"/>
      <c r="P178" s="89"/>
    </row>
    <row r="179" spans="1:27" x14ac:dyDescent="0.2">
      <c r="B179" s="48"/>
      <c r="C179" s="1"/>
      <c r="D179" s="38" t="s">
        <v>152</v>
      </c>
      <c r="E179" s="1"/>
      <c r="F179" s="1"/>
      <c r="G179" s="1"/>
      <c r="H179" s="17"/>
      <c r="I179" s="7"/>
      <c r="J179" s="9"/>
      <c r="K179" s="17"/>
      <c r="L179" s="17"/>
      <c r="M179" s="17"/>
      <c r="N179" s="17"/>
      <c r="O179" s="89"/>
      <c r="P179" s="89"/>
    </row>
    <row r="180" spans="1:27" x14ac:dyDescent="0.2">
      <c r="B180" s="49"/>
      <c r="C180" s="50"/>
      <c r="D180" s="29"/>
      <c r="E180" s="29"/>
      <c r="F180" s="29"/>
      <c r="G180" s="29"/>
      <c r="H180" s="103"/>
      <c r="I180" s="22"/>
      <c r="J180" s="23"/>
      <c r="K180" s="103"/>
      <c r="L180" s="75"/>
      <c r="M180" s="75"/>
      <c r="N180" s="21"/>
      <c r="O180" s="89"/>
      <c r="P180" s="89"/>
      <c r="Q180" s="144" t="s">
        <v>144</v>
      </c>
      <c r="R180" s="145"/>
      <c r="S180" s="145"/>
      <c r="T180" s="145"/>
      <c r="U180" s="145"/>
      <c r="V180" s="145"/>
      <c r="W180" s="145"/>
      <c r="X180" s="145"/>
      <c r="Y180" s="145"/>
      <c r="Z180" s="145"/>
      <c r="AA180" s="145"/>
    </row>
    <row r="181" spans="1:27" ht="13.5" x14ac:dyDescent="0.2">
      <c r="C181" s="39" t="s">
        <v>292</v>
      </c>
      <c r="D181" s="11"/>
      <c r="E181" s="1"/>
      <c r="F181" s="1"/>
      <c r="G181" s="29"/>
      <c r="H181" s="103"/>
      <c r="I181" s="22"/>
      <c r="J181" s="23"/>
      <c r="K181" s="103"/>
      <c r="L181" s="75"/>
      <c r="M181" s="75"/>
      <c r="N181" s="21"/>
      <c r="O181" s="89"/>
      <c r="P181" s="89"/>
      <c r="Q181" s="145"/>
      <c r="R181" s="145"/>
      <c r="S181" s="145"/>
      <c r="T181" s="145"/>
      <c r="U181" s="145"/>
      <c r="V181" s="145"/>
      <c r="W181" s="145"/>
      <c r="X181" s="145"/>
      <c r="Y181" s="145"/>
      <c r="Z181" s="145"/>
    </row>
    <row r="182" spans="1:27" x14ac:dyDescent="0.2">
      <c r="B182" s="123"/>
      <c r="C182" s="47"/>
      <c r="D182" s="38" t="s">
        <v>134</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165">
        <f>IF(OR(Q184=E488,Q184=""),"(select below)",Q184)</f>
        <v>0.16</v>
      </c>
      <c r="R182" s="136" t="s">
        <v>281</v>
      </c>
      <c r="S182" s="137"/>
      <c r="T182" s="137"/>
      <c r="U182" s="137"/>
      <c r="V182" s="138">
        <f ca="1">ROUNDDOWN(N(N176)*IF(N(Q$182)=21%,16%,N(Q$182)),0)</f>
        <v>0</v>
      </c>
      <c r="W182" s="147" t="str">
        <f>"= Maximum Non-Acq. Developer Fee ($)"&amp;IF(N(Q182)=21%,", exclusive of the 5% ODR portion listed on a separate line.","")</f>
        <v>= Maximum Non-Acq. Developer Fee ($)</v>
      </c>
      <c r="X182" s="137"/>
      <c r="Y182" s="137"/>
      <c r="Z182" s="137"/>
    </row>
    <row r="183" spans="1:27" x14ac:dyDescent="0.2">
      <c r="B183" s="123"/>
      <c r="C183" s="47"/>
      <c r="D183" s="38"/>
      <c r="E183" s="38"/>
      <c r="F183" s="38"/>
      <c r="G183" s="29"/>
      <c r="H183" s="103"/>
      <c r="I183" s="22"/>
      <c r="J183" s="23"/>
      <c r="K183" s="103"/>
      <c r="L183" s="75"/>
      <c r="M183" s="75"/>
      <c r="N183" s="21"/>
      <c r="O183" s="89"/>
      <c r="P183" s="89"/>
      <c r="Q183" s="146" t="str">
        <f ca="1">IF(AND(N(N176)&gt;0,N(N182)=0,N(N189)=0),"No",IF(N(N182)&gt;ROUNDDOWN(N(N176)*IF(N(Q$182)=21%,16%,N(Q$182)),0),"No","Yes"))</f>
        <v>Yes</v>
      </c>
      <c r="R183" s="142" t="s">
        <v>142</v>
      </c>
      <c r="S183" s="142"/>
      <c r="T183" s="142"/>
      <c r="U183" s="142"/>
      <c r="V183" s="142"/>
      <c r="W183" s="142"/>
      <c r="X183" s="142"/>
      <c r="Y183" s="142"/>
      <c r="Z183" s="142"/>
    </row>
    <row r="184" spans="1:27" x14ac:dyDescent="0.2">
      <c r="B184" s="123"/>
      <c r="C184" s="47"/>
      <c r="D184" s="38" t="s">
        <v>136</v>
      </c>
      <c r="E184" s="38"/>
      <c r="F184" s="38"/>
      <c r="G184" s="29"/>
      <c r="H184" s="86"/>
      <c r="I184" s="24"/>
      <c r="J184" s="9"/>
      <c r="K184" s="86"/>
      <c r="L184" s="17"/>
      <c r="M184" s="15"/>
      <c r="N184" s="69" t="str">
        <f ca="1">IF(AND(CELL("type",H184)="v",CELL("type",K184)="v")=TRUE,IF(H184+K184=0,"",H184+K184),IF(AND(CELL("type",H184)="v",CELL("type",K184)&lt;&gt;"v")=TRUE,H184,IF(AND(CELL("type",H184)&lt;&gt;"v",CELL("type",K184)="v")=TRUE,K184,"")))</f>
        <v/>
      </c>
      <c r="O184" s="89"/>
      <c r="P184" s="129" t="str">
        <f ca="1">IF(Q185="No","**","")</f>
        <v/>
      </c>
      <c r="Q184" s="233">
        <v>0.16</v>
      </c>
      <c r="R184" s="147" t="s">
        <v>280</v>
      </c>
      <c r="S184" s="137"/>
      <c r="T184" s="137"/>
      <c r="U184" s="137"/>
      <c r="V184" s="148">
        <f ca="1">ROUNDDOWN((N(N178)-N(N176))*IF(N(Q$184)=21%,16%,N(Q$184)),0)</f>
        <v>0</v>
      </c>
      <c r="W184" s="147" t="str">
        <f>"= Maximum Non-Acq. Developer Fee ($)"&amp;IF(N(Q184)=21%,", exclusive of the 5% ODR portion listed on a separate line.","")</f>
        <v>= Maximum Non-Acq. Developer Fee ($)</v>
      </c>
      <c r="X184" s="137"/>
      <c r="Y184" s="137"/>
      <c r="Z184" s="137"/>
    </row>
    <row r="185" spans="1:27" x14ac:dyDescent="0.2">
      <c r="B185" s="123"/>
      <c r="C185" s="47"/>
      <c r="D185" s="38"/>
      <c r="E185" s="38"/>
      <c r="F185" s="38"/>
      <c r="G185" s="29"/>
      <c r="H185" s="116"/>
      <c r="I185" s="124"/>
      <c r="J185" s="125"/>
      <c r="K185" s="116"/>
      <c r="L185" s="18"/>
      <c r="M185" s="126"/>
      <c r="N185" s="18"/>
      <c r="O185" s="89"/>
      <c r="P185" s="89"/>
      <c r="Q185" s="146" t="str">
        <f ca="1">IF(OR(N(N184)&gt;ROUNDDOWN((N(N178)-N(N176))*IF(N(Q$184)=21%,16%,N(Q$184)),0),AND(N(N178)-N(N176)&gt;0,N(N184)=0,N(N189)=0)),"No","Yes")</f>
        <v>Yes</v>
      </c>
      <c r="R185" s="142" t="s">
        <v>142</v>
      </c>
      <c r="S185" s="142"/>
      <c r="T185" s="142"/>
      <c r="U185" s="142"/>
      <c r="V185" s="142"/>
      <c r="W185" s="142"/>
      <c r="X185" s="142"/>
      <c r="Y185" s="142"/>
      <c r="Z185" s="142"/>
    </row>
    <row r="186" spans="1:27" hidden="1" x14ac:dyDescent="0.2">
      <c r="B186" s="123"/>
      <c r="C186" s="47"/>
      <c r="D186" s="38" t="s">
        <v>289</v>
      </c>
      <c r="E186" s="38"/>
      <c r="F186" s="38"/>
      <c r="G186" s="29"/>
      <c r="H186" s="116"/>
      <c r="I186" s="124"/>
      <c r="J186" s="125"/>
      <c r="K186" s="116"/>
      <c r="L186" s="18"/>
      <c r="M186" s="126"/>
      <c r="N186" s="18"/>
      <c r="O186" s="89"/>
      <c r="P186" s="89"/>
      <c r="Q186" s="167"/>
      <c r="R186" s="140"/>
      <c r="S186" s="140"/>
      <c r="T186" s="140"/>
      <c r="U186" s="140"/>
      <c r="V186" s="140"/>
      <c r="W186" s="140"/>
      <c r="X186" s="140"/>
      <c r="Y186" s="140"/>
      <c r="Z186" s="140"/>
    </row>
    <row r="187" spans="1:27" hidden="1" x14ac:dyDescent="0.2">
      <c r="B187" s="123"/>
      <c r="C187" s="47"/>
      <c r="D187" s="28" t="s">
        <v>293</v>
      </c>
      <c r="E187" s="38"/>
      <c r="F187" s="38"/>
      <c r="G187" s="29"/>
      <c r="H187" s="169" t="str">
        <f>IF(Q184=21%,ROUNDDOWN(5%*N(N178),0),"")</f>
        <v/>
      </c>
      <c r="I187" s="24"/>
      <c r="J187" s="9"/>
      <c r="K187" s="169"/>
      <c r="L187" s="17"/>
      <c r="M187" s="15"/>
      <c r="N187" s="168" t="str">
        <f ca="1">IF(AND(CELL("type",H187)="v",CELL("type",K187)="v")=TRUE,IF(H187+K187=0,"",H187+K187),IF(AND(CELL("type",H187)="v",CELL("type",K187)&lt;&gt;"v")=TRUE,H187,IF(AND(CELL("type",H187)&lt;&gt;"v",CELL("type",K187)="v")=TRUE,K187,"")))</f>
        <v/>
      </c>
      <c r="O187" s="89"/>
      <c r="P187" s="89"/>
      <c r="Q187" s="283" t="s">
        <v>294</v>
      </c>
      <c r="R187" s="283"/>
      <c r="S187" s="283"/>
      <c r="T187" s="283"/>
      <c r="U187" s="283"/>
      <c r="V187" s="283"/>
      <c r="W187" s="283"/>
      <c r="X187" s="283"/>
      <c r="Y187" s="283"/>
      <c r="Z187" s="283"/>
    </row>
    <row r="188" spans="1:27" hidden="1" x14ac:dyDescent="0.2">
      <c r="B188" s="123"/>
      <c r="C188" s="47"/>
      <c r="D188" s="38"/>
      <c r="E188" s="38"/>
      <c r="F188" s="38"/>
      <c r="G188" s="29"/>
      <c r="H188" s="116"/>
      <c r="I188" s="124"/>
      <c r="J188" s="125"/>
      <c r="K188" s="116"/>
      <c r="L188" s="18"/>
      <c r="M188" s="126"/>
      <c r="N188" s="18"/>
      <c r="O188" s="89"/>
      <c r="P188" s="89"/>
      <c r="Q188" s="283"/>
      <c r="R188" s="283"/>
      <c r="S188" s="283"/>
      <c r="T188" s="283"/>
      <c r="U188" s="283"/>
      <c r="V188" s="283"/>
      <c r="W188" s="283"/>
      <c r="X188" s="283"/>
      <c r="Y188" s="283"/>
      <c r="Z188" s="283"/>
    </row>
    <row r="189" spans="1:27" x14ac:dyDescent="0.2">
      <c r="B189" s="42" t="s">
        <v>62</v>
      </c>
      <c r="C189" s="11" t="s">
        <v>135</v>
      </c>
      <c r="D189" s="11"/>
      <c r="E189" s="38"/>
      <c r="F189" s="38"/>
      <c r="G189" s="42" t="s">
        <v>9</v>
      </c>
      <c r="H189" s="69" t="str">
        <f>IF(SUM(H182:H188)=0,"",SUM(H182:H188))</f>
        <v/>
      </c>
      <c r="I189" s="24"/>
      <c r="J189" s="10" t="s">
        <v>9</v>
      </c>
      <c r="K189" s="69" t="str">
        <f>IF(SUM(K182:K188)=0,"",SUM(K182:K188))</f>
        <v/>
      </c>
      <c r="L189" s="18"/>
      <c r="M189" s="76" t="s">
        <v>9</v>
      </c>
      <c r="N189" s="69" t="str">
        <f ca="1">IF(AND(CELL("type",H189)="v",CELL("type",K189)="v")=TRUE,IF(H189+K189=0,"",H189+K189),IF(AND(CELL("type",H189)="v",CELL("type",K189)&lt;&gt;"v")=TRUE,H189,IF(AND(CELL("type",H189)&lt;&gt;"v",CELL("type",K189)="v")=TRUE,K189,"")))</f>
        <v/>
      </c>
      <c r="O189" s="89"/>
      <c r="P189" s="129" t="str">
        <f ca="1">IF(Q190="No","**","")</f>
        <v/>
      </c>
      <c r="Q189" s="149"/>
      <c r="R189" s="150"/>
      <c r="S189" s="137"/>
      <c r="T189" s="137"/>
      <c r="U189" s="137"/>
      <c r="V189" s="138">
        <f ca="1">V182+V184+N(N187)</f>
        <v>0</v>
      </c>
      <c r="W189" s="136" t="s">
        <v>159</v>
      </c>
      <c r="X189" s="137"/>
      <c r="Y189" s="137"/>
      <c r="Z189" s="137"/>
    </row>
    <row r="190" spans="1:27" x14ac:dyDescent="0.2">
      <c r="B190" s="99"/>
      <c r="C190" s="99"/>
      <c r="D190" s="99"/>
      <c r="E190" s="99"/>
      <c r="F190" s="99"/>
      <c r="G190" s="88"/>
      <c r="H190" s="88"/>
      <c r="I190" s="88"/>
      <c r="J190" s="88"/>
      <c r="K190" s="91"/>
      <c r="L190" s="91"/>
      <c r="M190" s="91"/>
      <c r="N190" s="91"/>
      <c r="O190" s="89"/>
      <c r="P190" s="89"/>
      <c r="Q190" s="146" t="str">
        <f ca="1">IF(OR(AND(N(N189)=0,N(N178)&gt;0),N(N189)&gt;V189,Q183="No",Q185="No"),"No","Yes")</f>
        <v>Yes</v>
      </c>
      <c r="R190" s="142" t="s">
        <v>143</v>
      </c>
      <c r="S190" s="142"/>
      <c r="T190" s="142"/>
      <c r="U190" s="142"/>
      <c r="V190" s="142"/>
      <c r="W190" s="142"/>
      <c r="X190" s="142"/>
      <c r="Y190" s="142"/>
      <c r="Z190" s="142"/>
    </row>
    <row r="191" spans="1:27" ht="13.5" x14ac:dyDescent="0.2">
      <c r="B191" s="104" t="s">
        <v>63</v>
      </c>
      <c r="C191" s="105" t="s">
        <v>307</v>
      </c>
      <c r="G191" s="42" t="s">
        <v>9</v>
      </c>
      <c r="H191" s="163"/>
      <c r="I191" s="24"/>
      <c r="J191" s="42" t="s">
        <v>9</v>
      </c>
      <c r="K191" s="163"/>
      <c r="L191" s="17"/>
      <c r="M191" s="42" t="s">
        <v>9</v>
      </c>
      <c r="N191" s="168" t="str">
        <f ca="1">IF(AND(CELL("type",H191)="v",CELL("type",K191)="v")=TRUE,IF(H191+K191=0,"",H191+K191),IF(AND(CELL("type",H191)="v",CELL("type",K191)&lt;&gt;"v")=TRUE,H191,IF(AND(CELL("type",H191)&lt;&gt;"v",CELL("type",K191)="v")=TRUE,K191,"")))</f>
        <v/>
      </c>
      <c r="O191" s="89"/>
      <c r="P191" s="89"/>
      <c r="Q191" s="296" t="str">
        <f ca="1">IF(Q190="No",IF(AND(N(N178)&gt;0,N(N189)=0),"A Developer fee must be entered.  If it is not, the RFA requires the scorer to add the maximum Developer Fee ("&amp;TEXT(V189,"$#,##0.00")&amp;").",IF(AND(N(N189)&gt;V189,Q183="No",Q185="No"),"The amount entered for 'Total Developer Fee' is too high by "&amp;TEXT(N(N189)-V189,"$#,##0.00")&amp;".",IF(AND(Q183="No",Q185="Yes"),"The amount entered for 'Developer Fee on Acquisition Costs' is too high by "&amp;TEXT(N182-V182,"$#,##0.00")&amp;".",IF(AND(Q183="Yes",Q185="No"),"The amount entered for 'Developer Fee on Non-Acquisition Costs' is too high by "&amp;TEXT(N184-V184,"$#,##0.00")&amp;".","")))),"")</f>
        <v/>
      </c>
      <c r="R191" s="296"/>
      <c r="S191" s="296"/>
      <c r="T191" s="296"/>
      <c r="U191" s="296"/>
      <c r="V191" s="296"/>
      <c r="W191" s="296"/>
      <c r="X191" s="296"/>
      <c r="Y191" s="296"/>
      <c r="Z191" s="296"/>
    </row>
    <row r="192" spans="1:27" x14ac:dyDescent="0.2">
      <c r="B192" s="48"/>
      <c r="C192" s="1"/>
      <c r="D192" s="11"/>
      <c r="E192" s="1"/>
      <c r="F192" s="1"/>
      <c r="G192" s="1"/>
      <c r="H192" s="8"/>
      <c r="I192" s="7"/>
      <c r="J192" s="8"/>
      <c r="K192" s="16"/>
      <c r="L192" s="17"/>
      <c r="M192" s="17"/>
      <c r="N192" s="17"/>
      <c r="O192" s="89"/>
      <c r="P192" s="89"/>
      <c r="Q192" s="297"/>
      <c r="R192" s="297"/>
      <c r="S192" s="297"/>
      <c r="T192" s="297"/>
      <c r="U192" s="297"/>
      <c r="V192" s="297"/>
      <c r="W192" s="297"/>
      <c r="X192" s="297"/>
      <c r="Y192" s="297"/>
      <c r="Z192" s="297"/>
    </row>
    <row r="193" spans="1:26" x14ac:dyDescent="0.2">
      <c r="B193" s="42" t="s">
        <v>64</v>
      </c>
      <c r="C193" s="11" t="s">
        <v>66</v>
      </c>
      <c r="D193" s="11"/>
      <c r="E193" s="1"/>
      <c r="F193" s="1"/>
      <c r="G193" s="42"/>
      <c r="H193" s="14"/>
      <c r="I193" s="24"/>
      <c r="J193" s="10" t="s">
        <v>9</v>
      </c>
      <c r="K193" s="86"/>
      <c r="L193" s="17"/>
      <c r="M193" s="70" t="s">
        <v>9</v>
      </c>
      <c r="N193" s="69" t="str">
        <f ca="1">IF(AND(CELL("type",H193)="v",CELL("type",K193)="v")=TRUE,IF(H193+K193=0,"",H193+K193),IF(AND(CELL("type",H193)="v",CELL("type",K193)&lt;&gt;"v")=TRUE,H193,IF(AND(CELL("type",H193)&lt;&gt;"v",CELL("type",K193)="v")=TRUE,K193,"")))</f>
        <v/>
      </c>
      <c r="O193" s="89"/>
      <c r="P193" s="89"/>
      <c r="Q193" s="283" t="str">
        <f ca="1">"The amount to be recognized for the "&amp;IF(N(N176)&gt;0,"allocation of ","")&amp;"the purchase price of the land cannot exceed the appraised value.  Do not include any related acquisition costs on this line.*"</f>
        <v>The amount to be recognized for the the purchase price of the land cannot exceed the appraised value.  Do not include any related acquisition costs on this line.*</v>
      </c>
      <c r="R193" s="283"/>
      <c r="S193" s="283"/>
      <c r="T193" s="283"/>
      <c r="U193" s="283"/>
      <c r="V193" s="283"/>
      <c r="W193" s="283"/>
      <c r="X193" s="283"/>
      <c r="Y193" s="283"/>
      <c r="Z193" s="283"/>
    </row>
    <row r="194" spans="1:26" x14ac:dyDescent="0.2">
      <c r="B194" s="48"/>
      <c r="C194" s="1"/>
      <c r="D194" s="51"/>
      <c r="E194" s="1"/>
      <c r="F194" s="1"/>
      <c r="G194" s="1"/>
      <c r="H194" s="9"/>
      <c r="I194" s="7"/>
      <c r="J194" s="9"/>
      <c r="K194" s="17"/>
      <c r="L194" s="17"/>
      <c r="M194" s="17"/>
      <c r="N194" s="17"/>
      <c r="O194" s="89"/>
      <c r="P194" s="89"/>
      <c r="Q194" s="283"/>
      <c r="R194" s="283"/>
      <c r="S194" s="283"/>
      <c r="T194" s="283"/>
      <c r="U194" s="283"/>
      <c r="V194" s="283"/>
      <c r="W194" s="283"/>
      <c r="X194" s="283"/>
      <c r="Y194" s="283"/>
      <c r="Z194" s="283"/>
    </row>
    <row r="195" spans="1:26" ht="13.5" x14ac:dyDescent="0.2">
      <c r="B195" s="42" t="s">
        <v>92</v>
      </c>
      <c r="C195" s="11" t="s">
        <v>308</v>
      </c>
      <c r="D195" s="11"/>
      <c r="E195" s="1"/>
      <c r="F195" s="1"/>
      <c r="G195" s="42" t="s">
        <v>9</v>
      </c>
      <c r="H195" s="69" t="str">
        <f ca="1">IF(IF(CELL("type",H178)="v",H178,0)+IF(CELL("type",H189)="v",H189,0)+IF(CELL("type",H191)="v",H191,0)+IF(CELL("type",H193)="v",H193,0)=0,"",IF(CELL("type",H178)="v",H178,0)+IF(CELL("type",H189)="v",H189,0)+IF(CELL("type",H191)="v",H191,0)+IF(CELL("type",H193)="v",H193,0))</f>
        <v/>
      </c>
      <c r="I195" s="7"/>
      <c r="J195" s="10" t="s">
        <v>9</v>
      </c>
      <c r="K195" s="69" t="str">
        <f ca="1">IF(IF(CELL("type",K178)="v",K178,0)+IF(CELL("type",K189)="v",K189,0)+IF(CELL("type",K191)="v",K191,0)+IF(CELL("type",K193)="v",K193,0)=0,"",IF(CELL("type",K178)="v",K178,0)+IF(CELL("type",K189)="v",K189,0)+IF(CELL("type",K191)="v",K191,0)+IF(CELL("type",K193)="v",K193,0))</f>
        <v/>
      </c>
      <c r="L195" s="17"/>
      <c r="M195" s="70" t="s">
        <v>9</v>
      </c>
      <c r="N195" s="69" t="str">
        <f ca="1">IF(AND(CELL("type",H195)="v",CELL("type",K195)="v")=TRUE,IF(H195+K195=0,"",H195+K195),IF(AND(CELL("type",H195)="v",CELL("type",K195)&lt;&gt;"v")=TRUE,H195,IF(AND(CELL("type",H195)&lt;&gt;"v",CELL("type",K195)="v")=TRUE,K195,"")))</f>
        <v/>
      </c>
      <c r="O195" s="89"/>
      <c r="P195" s="89"/>
      <c r="Q195" s="151" t="str">
        <f ca="1">IF(AND(K$32=F$488,N(N195)&gt;0),"Please select the appropriate Development Category from the drop-down menu at the top of the Development Cost Pro Forma.","")</f>
        <v/>
      </c>
    </row>
    <row r="196" spans="1:26" x14ac:dyDescent="0.2">
      <c r="B196" s="1"/>
      <c r="C196" s="1"/>
      <c r="D196" s="1" t="s">
        <v>93</v>
      </c>
      <c r="E196" s="1"/>
      <c r="F196" s="1"/>
      <c r="G196" s="1"/>
      <c r="H196" s="1"/>
      <c r="I196" s="1"/>
      <c r="J196" s="1"/>
      <c r="K196" s="68"/>
      <c r="L196" s="68"/>
      <c r="M196" s="68"/>
      <c r="N196" s="68"/>
      <c r="O196" s="89"/>
      <c r="P196" s="89"/>
    </row>
    <row r="197" spans="1:26" ht="3.75" customHeight="1" thickBot="1" x14ac:dyDescent="0.25">
      <c r="B197" s="1"/>
      <c r="C197" s="1"/>
      <c r="D197" s="1"/>
      <c r="E197" s="1"/>
      <c r="F197" s="1"/>
      <c r="G197" s="1"/>
      <c r="H197" s="1"/>
      <c r="I197" s="1"/>
      <c r="J197" s="1"/>
      <c r="K197" s="68"/>
      <c r="L197" s="68"/>
      <c r="M197" s="68"/>
      <c r="N197" s="68"/>
      <c r="O197" s="89"/>
      <c r="P197" s="89"/>
    </row>
    <row r="198" spans="1:26" ht="3.75" customHeight="1" x14ac:dyDescent="0.2">
      <c r="A198" s="87"/>
      <c r="B198" s="94"/>
      <c r="C198" s="94"/>
      <c r="D198" s="94"/>
      <c r="E198" s="94"/>
      <c r="F198" s="94"/>
      <c r="G198" s="94"/>
      <c r="H198" s="94"/>
      <c r="I198" s="94"/>
      <c r="J198" s="94"/>
      <c r="K198" s="95"/>
      <c r="L198" s="95"/>
      <c r="M198" s="95"/>
      <c r="N198" s="95"/>
      <c r="O198" s="96"/>
      <c r="P198" s="96"/>
    </row>
    <row r="199" spans="1:26" x14ac:dyDescent="0.2">
      <c r="B199" s="66" t="str">
        <f>B$2</f>
        <v>RFA 2019-109 DEVELOPMENT COST PRO FORMA</v>
      </c>
      <c r="C199" s="88"/>
      <c r="D199" s="88"/>
      <c r="E199" s="88"/>
      <c r="F199" s="88"/>
      <c r="G199" s="88"/>
      <c r="H199" s="88"/>
      <c r="I199" s="88"/>
      <c r="J199" s="88"/>
      <c r="K199" s="91"/>
      <c r="L199" s="91"/>
      <c r="M199" s="91"/>
      <c r="N199" s="91"/>
      <c r="O199" s="89"/>
      <c r="P199" s="3" t="s">
        <v>346</v>
      </c>
    </row>
    <row r="200" spans="1:26" x14ac:dyDescent="0.2">
      <c r="B200" s="88"/>
      <c r="C200" s="88"/>
      <c r="D200" s="88"/>
      <c r="E200" s="88"/>
      <c r="F200" s="88"/>
      <c r="G200" s="88"/>
      <c r="H200" s="88"/>
      <c r="I200" s="88"/>
      <c r="J200" s="88"/>
      <c r="K200" s="91"/>
      <c r="L200" s="91"/>
      <c r="M200" s="91"/>
      <c r="N200" s="91"/>
      <c r="O200" s="89"/>
      <c r="P200" s="89"/>
    </row>
    <row r="201" spans="1:26" x14ac:dyDescent="0.2">
      <c r="B201" s="25" t="s">
        <v>67</v>
      </c>
      <c r="C201" s="1"/>
      <c r="D201" s="1"/>
      <c r="E201" s="1"/>
      <c r="F201" s="1"/>
      <c r="G201" s="1"/>
      <c r="H201" s="1"/>
      <c r="I201" s="1"/>
      <c r="J201" s="1"/>
      <c r="K201" s="68"/>
      <c r="L201" s="68"/>
      <c r="M201" s="68"/>
      <c r="N201" s="68"/>
      <c r="O201" s="2"/>
      <c r="P201" s="89"/>
    </row>
    <row r="202" spans="1:26" x14ac:dyDescent="0.2">
      <c r="B202" s="25"/>
      <c r="C202" s="1"/>
      <c r="D202" s="1"/>
      <c r="E202" s="1"/>
      <c r="F202" s="1"/>
      <c r="G202" s="1"/>
      <c r="H202" s="1"/>
      <c r="I202" s="1"/>
      <c r="J202" s="1"/>
      <c r="K202" s="68"/>
      <c r="L202" s="68"/>
      <c r="M202" s="68"/>
      <c r="N202" s="68"/>
      <c r="O202" s="2"/>
      <c r="P202" s="89"/>
    </row>
    <row r="203" spans="1:26" x14ac:dyDescent="0.2">
      <c r="B203" s="25" t="s">
        <v>138</v>
      </c>
      <c r="C203" s="1"/>
      <c r="D203" s="1"/>
      <c r="E203" s="1"/>
      <c r="F203" s="1"/>
      <c r="G203" s="1"/>
      <c r="H203" s="1"/>
      <c r="I203" s="1"/>
      <c r="J203" s="1"/>
      <c r="K203" s="68"/>
      <c r="L203" s="68"/>
      <c r="M203" s="68"/>
      <c r="N203" s="68"/>
      <c r="O203" s="2"/>
      <c r="P203" s="89"/>
    </row>
    <row r="204" spans="1:26" x14ac:dyDescent="0.2">
      <c r="B204" s="25" t="s">
        <v>137</v>
      </c>
      <c r="C204" s="1"/>
      <c r="D204" s="1"/>
      <c r="E204" s="1"/>
      <c r="F204" s="1"/>
      <c r="G204" s="1"/>
      <c r="H204" s="1"/>
      <c r="I204" s="1"/>
      <c r="J204" s="1"/>
      <c r="K204" s="68"/>
      <c r="L204" s="68"/>
      <c r="M204" s="68"/>
      <c r="N204" s="68"/>
      <c r="O204" s="2"/>
      <c r="P204" s="89"/>
    </row>
    <row r="205" spans="1:26" x14ac:dyDescent="0.2">
      <c r="B205" s="1"/>
      <c r="C205" s="1"/>
      <c r="D205" s="1"/>
      <c r="E205" s="1"/>
      <c r="F205" s="1"/>
      <c r="G205" s="1"/>
      <c r="H205" s="1"/>
      <c r="I205" s="1"/>
      <c r="J205" s="1"/>
      <c r="K205" s="68"/>
      <c r="L205" s="68"/>
      <c r="M205" s="68"/>
      <c r="N205" s="68"/>
      <c r="O205" s="2"/>
      <c r="P205" s="89"/>
    </row>
    <row r="206" spans="1:26" x14ac:dyDescent="0.2">
      <c r="B206" s="25" t="s">
        <v>84</v>
      </c>
      <c r="C206" s="1"/>
      <c r="D206" s="1"/>
      <c r="E206" s="1"/>
      <c r="F206" s="1"/>
      <c r="G206" s="1"/>
      <c r="H206" s="1"/>
      <c r="I206" s="1"/>
      <c r="J206" s="1"/>
      <c r="K206" s="68"/>
      <c r="L206" s="68"/>
      <c r="M206" s="68"/>
      <c r="N206" s="68"/>
      <c r="O206" s="2"/>
      <c r="P206" s="89"/>
    </row>
    <row r="207" spans="1:26" x14ac:dyDescent="0.2">
      <c r="B207" s="1"/>
      <c r="C207" s="1"/>
      <c r="D207" s="1"/>
      <c r="E207" s="1"/>
      <c r="F207" s="1"/>
      <c r="G207" s="1"/>
      <c r="H207" s="1"/>
      <c r="I207" s="1"/>
      <c r="J207" s="1"/>
      <c r="K207" s="68"/>
      <c r="L207" s="68"/>
      <c r="M207" s="68"/>
      <c r="N207" s="68"/>
      <c r="O207" s="2"/>
      <c r="P207" s="89"/>
    </row>
    <row r="208" spans="1:26" x14ac:dyDescent="0.2">
      <c r="B208" s="88"/>
      <c r="C208" s="52" t="s">
        <v>71</v>
      </c>
      <c r="D208" s="25"/>
      <c r="E208" s="25"/>
      <c r="F208" s="25"/>
      <c r="G208" s="1"/>
      <c r="H208" s="1"/>
      <c r="I208" s="1"/>
      <c r="J208" s="1"/>
      <c r="K208" s="68"/>
      <c r="L208" s="68"/>
      <c r="M208" s="68"/>
      <c r="N208" s="68"/>
      <c r="O208" s="2"/>
      <c r="P208" s="89"/>
    </row>
    <row r="209" spans="2:16" x14ac:dyDescent="0.2">
      <c r="B209" s="88"/>
      <c r="C209" s="53" t="s">
        <v>72</v>
      </c>
      <c r="D209" s="1"/>
      <c r="E209" s="1"/>
      <c r="F209" s="1"/>
      <c r="G209" s="1"/>
      <c r="H209" s="1"/>
      <c r="I209" s="1"/>
      <c r="J209" s="1"/>
      <c r="K209" s="68"/>
      <c r="L209" s="68"/>
      <c r="M209" s="68"/>
      <c r="N209" s="68"/>
      <c r="O209" s="2"/>
      <c r="P209" s="89"/>
    </row>
    <row r="210" spans="2:16" x14ac:dyDescent="0.2">
      <c r="B210" s="88"/>
      <c r="C210" s="54"/>
      <c r="D210" s="1"/>
      <c r="E210" s="1"/>
      <c r="F210" s="1"/>
      <c r="G210" s="1"/>
      <c r="H210" s="1"/>
      <c r="I210" s="1"/>
      <c r="J210" s="1"/>
      <c r="K210" s="68"/>
      <c r="L210" s="68"/>
      <c r="M210" s="68"/>
      <c r="N210" s="68"/>
      <c r="O210" s="2"/>
      <c r="P210" s="89"/>
    </row>
    <row r="211" spans="2:16" x14ac:dyDescent="0.2">
      <c r="B211" s="88"/>
      <c r="C211" s="88"/>
      <c r="D211" s="1" t="s">
        <v>91</v>
      </c>
      <c r="E211" s="1"/>
      <c r="F211" s="257"/>
      <c r="G211" s="258"/>
      <c r="H211" s="258"/>
      <c r="I211" s="258"/>
      <c r="J211" s="258"/>
      <c r="K211" s="258"/>
      <c r="L211" s="258"/>
      <c r="M211" s="258"/>
      <c r="N211" s="258"/>
      <c r="O211" s="259"/>
      <c r="P211" s="129" t="str">
        <f ca="1">IF(AND(F211="",N45&lt;&gt;""),"**","")</f>
        <v/>
      </c>
    </row>
    <row r="212" spans="2:16" x14ac:dyDescent="0.2">
      <c r="B212" s="88"/>
      <c r="C212" s="88"/>
      <c r="D212" s="55"/>
      <c r="E212" s="55"/>
      <c r="F212" s="260"/>
      <c r="G212" s="261"/>
      <c r="H212" s="261"/>
      <c r="I212" s="261"/>
      <c r="J212" s="261"/>
      <c r="K212" s="261"/>
      <c r="L212" s="261"/>
      <c r="M212" s="261"/>
      <c r="N212" s="261"/>
      <c r="O212" s="262"/>
      <c r="P212" s="89"/>
    </row>
    <row r="213" spans="2:16" x14ac:dyDescent="0.2">
      <c r="B213" s="88"/>
      <c r="C213" s="88"/>
      <c r="D213" s="1"/>
      <c r="E213" s="1"/>
      <c r="F213" s="263"/>
      <c r="G213" s="264"/>
      <c r="H213" s="264"/>
      <c r="I213" s="264"/>
      <c r="J213" s="264"/>
      <c r="K213" s="264"/>
      <c r="L213" s="264"/>
      <c r="M213" s="264"/>
      <c r="N213" s="264"/>
      <c r="O213" s="265"/>
      <c r="P213" s="89"/>
    </row>
    <row r="214" spans="2:16" x14ac:dyDescent="0.2">
      <c r="B214" s="88"/>
      <c r="C214" s="88"/>
      <c r="D214" s="1"/>
      <c r="E214" s="1"/>
      <c r="F214" s="1"/>
      <c r="G214" s="1"/>
      <c r="H214" s="1"/>
      <c r="I214" s="1"/>
      <c r="J214" s="1"/>
      <c r="K214" s="68"/>
      <c r="L214" s="68"/>
      <c r="M214" s="68"/>
      <c r="N214" s="68"/>
      <c r="O214" s="2"/>
      <c r="P214" s="89"/>
    </row>
    <row r="215" spans="2:16" x14ac:dyDescent="0.2">
      <c r="B215" s="88"/>
      <c r="C215" s="88"/>
      <c r="D215" s="1" t="s">
        <v>70</v>
      </c>
      <c r="E215" s="1"/>
      <c r="F215" s="257"/>
      <c r="G215" s="258"/>
      <c r="H215" s="258"/>
      <c r="I215" s="258"/>
      <c r="J215" s="258"/>
      <c r="K215" s="258"/>
      <c r="L215" s="258"/>
      <c r="M215" s="258"/>
      <c r="N215" s="258"/>
      <c r="O215" s="259"/>
      <c r="P215" s="129" t="str">
        <f ca="1">IF(AND(F215="",N55&lt;&gt;""),"**","")</f>
        <v/>
      </c>
    </row>
    <row r="216" spans="2:16" x14ac:dyDescent="0.2">
      <c r="B216" s="88"/>
      <c r="C216" s="55"/>
      <c r="D216" s="55"/>
      <c r="E216" s="55"/>
      <c r="F216" s="260"/>
      <c r="G216" s="261"/>
      <c r="H216" s="261"/>
      <c r="I216" s="261"/>
      <c r="J216" s="261"/>
      <c r="K216" s="261"/>
      <c r="L216" s="261"/>
      <c r="M216" s="261"/>
      <c r="N216" s="261"/>
      <c r="O216" s="262"/>
      <c r="P216" s="89"/>
    </row>
    <row r="217" spans="2:16" x14ac:dyDescent="0.2">
      <c r="B217" s="88"/>
      <c r="C217" s="1"/>
      <c r="D217" s="1"/>
      <c r="E217" s="1"/>
      <c r="F217" s="263"/>
      <c r="G217" s="264"/>
      <c r="H217" s="264"/>
      <c r="I217" s="264"/>
      <c r="J217" s="264"/>
      <c r="K217" s="264"/>
      <c r="L217" s="264"/>
      <c r="M217" s="264"/>
      <c r="N217" s="264"/>
      <c r="O217" s="265"/>
      <c r="P217" s="89"/>
    </row>
    <row r="218" spans="2:16" x14ac:dyDescent="0.2">
      <c r="B218" s="88"/>
      <c r="C218" s="1"/>
      <c r="D218" s="1"/>
      <c r="E218" s="1"/>
      <c r="F218" s="1"/>
      <c r="G218" s="1"/>
      <c r="H218" s="1"/>
      <c r="I218" s="1"/>
      <c r="J218" s="1"/>
      <c r="K218" s="68"/>
      <c r="L218" s="68"/>
      <c r="M218" s="68"/>
      <c r="N218" s="68"/>
      <c r="O218" s="2"/>
      <c r="P218" s="89"/>
    </row>
    <row r="219" spans="2:16" x14ac:dyDescent="0.2">
      <c r="B219" s="88"/>
      <c r="C219" s="52" t="s">
        <v>31</v>
      </c>
      <c r="D219" s="25"/>
      <c r="E219" s="25"/>
      <c r="F219" s="25"/>
      <c r="G219" s="1"/>
      <c r="H219" s="1"/>
      <c r="I219" s="1"/>
      <c r="J219" s="1"/>
      <c r="K219" s="68"/>
      <c r="L219" s="68"/>
      <c r="M219" s="68"/>
      <c r="N219" s="68"/>
      <c r="O219" s="2"/>
      <c r="P219" s="89"/>
    </row>
    <row r="220" spans="2:16" x14ac:dyDescent="0.2">
      <c r="B220" s="88"/>
      <c r="C220" s="53" t="s">
        <v>75</v>
      </c>
      <c r="D220" s="1"/>
      <c r="E220" s="1"/>
      <c r="F220" s="1"/>
      <c r="G220" s="1"/>
      <c r="H220" s="1"/>
      <c r="I220" s="1"/>
      <c r="J220" s="1"/>
      <c r="K220" s="68"/>
      <c r="L220" s="68"/>
      <c r="M220" s="68"/>
      <c r="N220" s="68"/>
      <c r="O220" s="2"/>
      <c r="P220" s="89"/>
    </row>
    <row r="221" spans="2:16" x14ac:dyDescent="0.2">
      <c r="B221" s="88"/>
      <c r="C221" s="56"/>
      <c r="D221" s="1"/>
      <c r="E221" s="1"/>
      <c r="F221" s="1"/>
      <c r="G221" s="1"/>
      <c r="H221" s="1"/>
      <c r="I221" s="1"/>
      <c r="J221" s="1"/>
      <c r="K221" s="68"/>
      <c r="L221" s="68"/>
      <c r="M221" s="68"/>
      <c r="N221" s="68"/>
      <c r="O221" s="2"/>
      <c r="P221" s="89"/>
    </row>
    <row r="222" spans="2:16" ht="12.6" customHeight="1" x14ac:dyDescent="0.2">
      <c r="B222" s="88"/>
      <c r="C222" s="88"/>
      <c r="D222" s="1" t="s">
        <v>73</v>
      </c>
      <c r="E222" s="1"/>
      <c r="F222" s="257"/>
      <c r="G222" s="266"/>
      <c r="H222" s="266"/>
      <c r="I222" s="266"/>
      <c r="J222" s="266"/>
      <c r="K222" s="266"/>
      <c r="L222" s="266"/>
      <c r="M222" s="266"/>
      <c r="N222" s="266"/>
      <c r="O222" s="267"/>
      <c r="P222" s="129" t="str">
        <f ca="1">IF(AND(F222="",N104&lt;&gt;""),"**","")</f>
        <v/>
      </c>
    </row>
    <row r="223" spans="2:16" x14ac:dyDescent="0.2">
      <c r="B223" s="88"/>
      <c r="C223" s="88"/>
      <c r="D223" s="55"/>
      <c r="E223" s="55"/>
      <c r="F223" s="268"/>
      <c r="G223" s="269"/>
      <c r="H223" s="269"/>
      <c r="I223" s="269"/>
      <c r="J223" s="269"/>
      <c r="K223" s="269"/>
      <c r="L223" s="269"/>
      <c r="M223" s="269"/>
      <c r="N223" s="269"/>
      <c r="O223" s="270"/>
      <c r="P223" s="89"/>
    </row>
    <row r="224" spans="2:16" x14ac:dyDescent="0.2">
      <c r="B224" s="88"/>
      <c r="C224" s="88"/>
      <c r="D224" s="1"/>
      <c r="E224" s="1"/>
      <c r="F224" s="268"/>
      <c r="G224" s="269"/>
      <c r="H224" s="269"/>
      <c r="I224" s="269"/>
      <c r="J224" s="269"/>
      <c r="K224" s="269"/>
      <c r="L224" s="269"/>
      <c r="M224" s="269"/>
      <c r="N224" s="269"/>
      <c r="O224" s="270"/>
      <c r="P224" s="89"/>
    </row>
    <row r="225" spans="2:16" x14ac:dyDescent="0.2">
      <c r="B225" s="88"/>
      <c r="C225" s="88"/>
      <c r="D225" s="55"/>
      <c r="E225" s="55"/>
      <c r="F225" s="268"/>
      <c r="G225" s="269"/>
      <c r="H225" s="269"/>
      <c r="I225" s="269"/>
      <c r="J225" s="269"/>
      <c r="K225" s="269"/>
      <c r="L225" s="269"/>
      <c r="M225" s="269"/>
      <c r="N225" s="269"/>
      <c r="O225" s="270"/>
      <c r="P225" s="89"/>
    </row>
    <row r="226" spans="2:16" x14ac:dyDescent="0.2">
      <c r="B226" s="88"/>
      <c r="C226" s="88"/>
      <c r="D226" s="1"/>
      <c r="E226" s="1"/>
      <c r="F226" s="271"/>
      <c r="G226" s="272"/>
      <c r="H226" s="272"/>
      <c r="I226" s="272"/>
      <c r="J226" s="272"/>
      <c r="K226" s="272"/>
      <c r="L226" s="272"/>
      <c r="M226" s="272"/>
      <c r="N226" s="272"/>
      <c r="O226" s="273"/>
      <c r="P226" s="89"/>
    </row>
    <row r="227" spans="2:16" x14ac:dyDescent="0.2">
      <c r="B227" s="88"/>
      <c r="C227" s="88"/>
      <c r="D227" s="1"/>
      <c r="E227" s="1"/>
      <c r="F227" s="1"/>
      <c r="G227" s="1"/>
      <c r="H227" s="1"/>
      <c r="I227" s="1"/>
      <c r="J227" s="1"/>
      <c r="K227" s="68"/>
      <c r="L227" s="68"/>
      <c r="M227" s="68"/>
      <c r="N227" s="68"/>
      <c r="O227" s="2"/>
      <c r="P227" s="89"/>
    </row>
    <row r="228" spans="2:16" ht="12.6" customHeight="1" x14ac:dyDescent="0.2">
      <c r="B228" s="88"/>
      <c r="C228" s="88"/>
      <c r="D228" s="1" t="s">
        <v>70</v>
      </c>
      <c r="E228" s="1"/>
      <c r="F228" s="257"/>
      <c r="G228" s="266"/>
      <c r="H228" s="266"/>
      <c r="I228" s="266"/>
      <c r="J228" s="266"/>
      <c r="K228" s="266"/>
      <c r="L228" s="266"/>
      <c r="M228" s="266"/>
      <c r="N228" s="266"/>
      <c r="O228" s="267"/>
      <c r="P228" s="129" t="str">
        <f ca="1">IF(AND(F228="",N128&lt;&gt;""),"**","")</f>
        <v/>
      </c>
    </row>
    <row r="229" spans="2:16" x14ac:dyDescent="0.2">
      <c r="B229" s="88"/>
      <c r="C229" s="55"/>
      <c r="D229" s="55"/>
      <c r="E229" s="55"/>
      <c r="F229" s="268"/>
      <c r="G229" s="269"/>
      <c r="H229" s="269"/>
      <c r="I229" s="269"/>
      <c r="J229" s="269"/>
      <c r="K229" s="269"/>
      <c r="L229" s="269"/>
      <c r="M229" s="269"/>
      <c r="N229" s="269"/>
      <c r="O229" s="270"/>
      <c r="P229" s="89"/>
    </row>
    <row r="230" spans="2:16" x14ac:dyDescent="0.2">
      <c r="B230" s="88"/>
      <c r="C230" s="1"/>
      <c r="D230" s="1"/>
      <c r="E230" s="1"/>
      <c r="F230" s="268"/>
      <c r="G230" s="269"/>
      <c r="H230" s="269"/>
      <c r="I230" s="269"/>
      <c r="J230" s="269"/>
      <c r="K230" s="269"/>
      <c r="L230" s="269"/>
      <c r="M230" s="269"/>
      <c r="N230" s="269"/>
      <c r="O230" s="270"/>
      <c r="P230" s="89"/>
    </row>
    <row r="231" spans="2:16" x14ac:dyDescent="0.2">
      <c r="B231" s="88"/>
      <c r="C231" s="55"/>
      <c r="D231" s="55"/>
      <c r="E231" s="55"/>
      <c r="F231" s="268"/>
      <c r="G231" s="269"/>
      <c r="H231" s="269"/>
      <c r="I231" s="269"/>
      <c r="J231" s="269"/>
      <c r="K231" s="269"/>
      <c r="L231" s="269"/>
      <c r="M231" s="269"/>
      <c r="N231" s="269"/>
      <c r="O231" s="270"/>
      <c r="P231" s="89"/>
    </row>
    <row r="232" spans="2:16" x14ac:dyDescent="0.2">
      <c r="B232" s="88"/>
      <c r="C232" s="1"/>
      <c r="D232" s="1"/>
      <c r="E232" s="1"/>
      <c r="F232" s="271"/>
      <c r="G232" s="272"/>
      <c r="H232" s="272"/>
      <c r="I232" s="272"/>
      <c r="J232" s="272"/>
      <c r="K232" s="272"/>
      <c r="L232" s="272"/>
      <c r="M232" s="272"/>
      <c r="N232" s="272"/>
      <c r="O232" s="273"/>
      <c r="P232" s="89"/>
    </row>
    <row r="233" spans="2:16" x14ac:dyDescent="0.2">
      <c r="B233" s="88"/>
      <c r="C233" s="88"/>
      <c r="D233" s="88"/>
      <c r="E233" s="88"/>
      <c r="F233" s="88"/>
      <c r="G233" s="88"/>
      <c r="H233" s="88"/>
      <c r="I233" s="88"/>
      <c r="J233" s="88"/>
      <c r="K233" s="91"/>
      <c r="L233" s="91"/>
      <c r="M233" s="91"/>
      <c r="N233" s="91"/>
      <c r="O233" s="89"/>
      <c r="P233" s="89"/>
    </row>
    <row r="234" spans="2:16" x14ac:dyDescent="0.2">
      <c r="B234" s="88"/>
      <c r="C234" s="52" t="s">
        <v>16</v>
      </c>
      <c r="D234" s="25"/>
      <c r="E234" s="25"/>
      <c r="F234" s="25"/>
      <c r="G234" s="55"/>
      <c r="H234" s="55"/>
      <c r="I234" s="55"/>
      <c r="J234" s="55"/>
      <c r="K234" s="77"/>
      <c r="L234" s="77"/>
      <c r="M234" s="77"/>
      <c r="N234" s="77"/>
      <c r="O234" s="4"/>
      <c r="P234" s="89"/>
    </row>
    <row r="235" spans="2:16" x14ac:dyDescent="0.2">
      <c r="B235" s="88"/>
      <c r="C235" s="53" t="s">
        <v>96</v>
      </c>
      <c r="D235" s="1"/>
      <c r="E235" s="1"/>
      <c r="F235" s="1"/>
      <c r="G235" s="57"/>
      <c r="H235" s="57"/>
      <c r="I235" s="57"/>
      <c r="J235" s="57"/>
      <c r="K235" s="78"/>
      <c r="L235" s="78"/>
      <c r="M235" s="78"/>
      <c r="N235" s="78"/>
      <c r="O235" s="5"/>
      <c r="P235" s="89"/>
    </row>
    <row r="236" spans="2:16" x14ac:dyDescent="0.2">
      <c r="B236" s="88"/>
      <c r="C236" s="54"/>
      <c r="D236" s="1"/>
      <c r="E236" s="1"/>
      <c r="F236" s="1"/>
      <c r="G236" s="57"/>
      <c r="H236" s="57"/>
      <c r="I236" s="57"/>
      <c r="J236" s="57"/>
      <c r="K236" s="78"/>
      <c r="L236" s="78"/>
      <c r="M236" s="78"/>
      <c r="N236" s="78"/>
      <c r="O236" s="5"/>
      <c r="P236" s="89"/>
    </row>
    <row r="237" spans="2:16" x14ac:dyDescent="0.2">
      <c r="B237" s="88"/>
      <c r="C237" s="88"/>
      <c r="D237" s="1" t="s">
        <v>74</v>
      </c>
      <c r="E237" s="1"/>
      <c r="F237" s="257"/>
      <c r="G237" s="266"/>
      <c r="H237" s="266"/>
      <c r="I237" s="266"/>
      <c r="J237" s="266"/>
      <c r="K237" s="266"/>
      <c r="L237" s="266"/>
      <c r="M237" s="266"/>
      <c r="N237" s="266"/>
      <c r="O237" s="267"/>
      <c r="P237" s="129" t="str">
        <f ca="1">IF(AND(F237="",N165&lt;&gt;""),"**","")</f>
        <v/>
      </c>
    </row>
    <row r="238" spans="2:16" x14ac:dyDescent="0.2">
      <c r="B238" s="88"/>
      <c r="C238" s="88"/>
      <c r="D238" s="55"/>
      <c r="E238" s="55"/>
      <c r="F238" s="268"/>
      <c r="G238" s="269"/>
      <c r="H238" s="269"/>
      <c r="I238" s="269"/>
      <c r="J238" s="269"/>
      <c r="K238" s="269"/>
      <c r="L238" s="269"/>
      <c r="M238" s="269"/>
      <c r="N238" s="269"/>
      <c r="O238" s="270"/>
      <c r="P238" s="89"/>
    </row>
    <row r="239" spans="2:16" x14ac:dyDescent="0.2">
      <c r="B239" s="88"/>
      <c r="C239" s="88"/>
      <c r="D239" s="1"/>
      <c r="E239" s="1"/>
      <c r="F239" s="271"/>
      <c r="G239" s="272"/>
      <c r="H239" s="272"/>
      <c r="I239" s="272"/>
      <c r="J239" s="272"/>
      <c r="K239" s="272"/>
      <c r="L239" s="272"/>
      <c r="M239" s="272"/>
      <c r="N239" s="272"/>
      <c r="O239" s="273"/>
      <c r="P239" s="89"/>
    </row>
    <row r="240" spans="2:16" x14ac:dyDescent="0.2">
      <c r="B240" s="88"/>
      <c r="C240" s="29"/>
      <c r="D240" s="29"/>
      <c r="E240" s="29"/>
      <c r="F240" s="106"/>
      <c r="G240" s="57"/>
      <c r="H240" s="57"/>
      <c r="I240" s="57"/>
      <c r="J240" s="57"/>
      <c r="K240" s="78"/>
      <c r="L240" s="78"/>
      <c r="M240" s="78"/>
      <c r="N240" s="78"/>
      <c r="O240" s="5"/>
      <c r="P240" s="89"/>
    </row>
    <row r="241" spans="2:16" x14ac:dyDescent="0.2">
      <c r="B241" s="88"/>
      <c r="C241" s="52" t="s">
        <v>68</v>
      </c>
      <c r="D241" s="25"/>
      <c r="E241" s="25"/>
      <c r="F241" s="25"/>
      <c r="G241" s="25"/>
      <c r="H241" s="25"/>
      <c r="I241" s="1"/>
      <c r="J241" s="1"/>
      <c r="K241" s="68"/>
      <c r="L241" s="68"/>
      <c r="M241" s="68"/>
      <c r="N241" s="68"/>
      <c r="O241" s="2"/>
      <c r="P241" s="89"/>
    </row>
    <row r="242" spans="2:16" x14ac:dyDescent="0.2">
      <c r="B242" s="88"/>
      <c r="C242" s="53" t="s">
        <v>69</v>
      </c>
      <c r="D242" s="1"/>
      <c r="E242" s="1"/>
      <c r="F242" s="1"/>
      <c r="G242" s="1"/>
      <c r="H242" s="1"/>
      <c r="I242" s="1"/>
      <c r="J242" s="1"/>
      <c r="K242" s="68"/>
      <c r="L242" s="68"/>
      <c r="M242" s="68"/>
      <c r="N242" s="68"/>
      <c r="O242" s="2"/>
      <c r="P242" s="89"/>
    </row>
    <row r="243" spans="2:16" x14ac:dyDescent="0.2">
      <c r="B243" s="88"/>
      <c r="C243" s="53"/>
      <c r="D243" s="1"/>
      <c r="E243" s="1"/>
      <c r="F243" s="1"/>
      <c r="G243" s="1"/>
      <c r="H243" s="1"/>
      <c r="I243" s="1"/>
      <c r="J243" s="1"/>
      <c r="K243" s="68"/>
      <c r="L243" s="68"/>
      <c r="M243" s="68"/>
      <c r="N243" s="68"/>
      <c r="O243" s="2"/>
      <c r="P243" s="89"/>
    </row>
    <row r="244" spans="2:16" x14ac:dyDescent="0.2">
      <c r="B244" s="88"/>
      <c r="C244" s="88"/>
      <c r="D244" s="1" t="s">
        <v>70</v>
      </c>
      <c r="E244" s="1"/>
      <c r="F244" s="257"/>
      <c r="G244" s="266"/>
      <c r="H244" s="266"/>
      <c r="I244" s="266"/>
      <c r="J244" s="266"/>
      <c r="K244" s="266"/>
      <c r="L244" s="266"/>
      <c r="M244" s="266"/>
      <c r="N244" s="266"/>
      <c r="O244" s="267"/>
      <c r="P244" s="129" t="str">
        <f ca="1">IF(AND(F244="",N173&lt;&gt;""),"**","")</f>
        <v/>
      </c>
    </row>
    <row r="245" spans="2:16" x14ac:dyDescent="0.2">
      <c r="B245" s="1"/>
      <c r="C245" s="1"/>
      <c r="D245" s="1"/>
      <c r="E245" s="1"/>
      <c r="F245" s="268"/>
      <c r="G245" s="269"/>
      <c r="H245" s="269"/>
      <c r="I245" s="269"/>
      <c r="J245" s="269"/>
      <c r="K245" s="269"/>
      <c r="L245" s="269"/>
      <c r="M245" s="269"/>
      <c r="N245" s="269"/>
      <c r="O245" s="270"/>
      <c r="P245" s="89"/>
    </row>
    <row r="246" spans="2:16" x14ac:dyDescent="0.2">
      <c r="B246" s="1"/>
      <c r="C246" s="1"/>
      <c r="D246" s="1"/>
      <c r="E246" s="1"/>
      <c r="F246" s="271"/>
      <c r="G246" s="272"/>
      <c r="H246" s="272"/>
      <c r="I246" s="272"/>
      <c r="J246" s="272"/>
      <c r="K246" s="272"/>
      <c r="L246" s="272"/>
      <c r="M246" s="272"/>
      <c r="N246" s="272"/>
      <c r="O246" s="273"/>
      <c r="P246" s="89"/>
    </row>
    <row r="247" spans="2:16" x14ac:dyDescent="0.2">
      <c r="B247" s="29"/>
      <c r="C247" s="29"/>
      <c r="D247" s="29"/>
      <c r="E247" s="29"/>
      <c r="F247" s="57"/>
      <c r="G247" s="57"/>
      <c r="H247" s="57"/>
      <c r="I247" s="57"/>
      <c r="J247" s="57"/>
      <c r="K247" s="78"/>
      <c r="L247" s="78"/>
      <c r="M247" s="78"/>
      <c r="N247" s="78"/>
      <c r="O247" s="5"/>
      <c r="P247" s="89"/>
    </row>
    <row r="248" spans="2:16" x14ac:dyDescent="0.2">
      <c r="B248" s="1"/>
      <c r="C248" s="1"/>
      <c r="D248" s="1"/>
      <c r="E248" s="1"/>
      <c r="F248" s="55"/>
      <c r="G248" s="55"/>
      <c r="H248" s="55"/>
      <c r="I248" s="55"/>
      <c r="J248" s="55"/>
      <c r="K248" s="77"/>
      <c r="L248" s="77"/>
      <c r="M248" s="77"/>
      <c r="N248" s="77"/>
      <c r="O248" s="4"/>
      <c r="P248" s="89"/>
    </row>
    <row r="249" spans="2:16" x14ac:dyDescent="0.2">
      <c r="B249" s="58" t="s">
        <v>145</v>
      </c>
      <c r="C249" s="1"/>
      <c r="D249" s="58" t="s">
        <v>109</v>
      </c>
      <c r="E249" s="88"/>
      <c r="F249" s="34"/>
      <c r="G249" s="34"/>
      <c r="H249" s="34"/>
      <c r="I249" s="34"/>
      <c r="J249" s="34"/>
      <c r="K249" s="71"/>
      <c r="L249" s="71"/>
      <c r="M249" s="71"/>
      <c r="N249" s="71"/>
      <c r="O249" s="6"/>
      <c r="P249" s="89"/>
    </row>
    <row r="250" spans="2:16" x14ac:dyDescent="0.2">
      <c r="B250" s="1"/>
      <c r="C250" s="1"/>
      <c r="D250" s="58" t="s">
        <v>110</v>
      </c>
      <c r="E250" s="88"/>
      <c r="F250" s="34"/>
      <c r="G250" s="34"/>
      <c r="H250" s="34"/>
      <c r="I250" s="34"/>
      <c r="J250" s="34"/>
      <c r="K250" s="71"/>
      <c r="L250" s="71"/>
      <c r="M250" s="71"/>
      <c r="N250" s="71"/>
      <c r="O250" s="6"/>
      <c r="P250" s="89"/>
    </row>
    <row r="251" spans="2:16" x14ac:dyDescent="0.2">
      <c r="B251" s="1"/>
      <c r="C251" s="1"/>
      <c r="D251" s="58" t="s">
        <v>111</v>
      </c>
      <c r="E251" s="88"/>
      <c r="F251" s="34"/>
      <c r="G251" s="34"/>
      <c r="H251" s="34"/>
      <c r="I251" s="34"/>
      <c r="J251" s="34"/>
      <c r="K251" s="71"/>
      <c r="L251" s="71"/>
      <c r="M251" s="71"/>
      <c r="N251" s="71"/>
      <c r="O251" s="6"/>
      <c r="P251" s="89"/>
    </row>
    <row r="252" spans="2:16" x14ac:dyDescent="0.2">
      <c r="B252" s="88"/>
      <c r="C252" s="88"/>
      <c r="D252" s="88"/>
      <c r="E252" s="88"/>
      <c r="F252" s="88"/>
      <c r="G252" s="88"/>
      <c r="H252" s="88"/>
      <c r="I252" s="88"/>
      <c r="J252" s="88"/>
      <c r="K252" s="91"/>
      <c r="L252" s="91"/>
      <c r="M252" s="91"/>
      <c r="N252" s="91"/>
      <c r="O252" s="89"/>
      <c r="P252" s="89"/>
    </row>
    <row r="253" spans="2:16" x14ac:dyDescent="0.2">
      <c r="B253" s="88"/>
      <c r="C253" s="88"/>
      <c r="D253" s="118" t="str">
        <f>IF(OR(K$32=F$491,K$32=F$492),"What is the proposed LIHTC Set-Aside Percentage?","")</f>
        <v/>
      </c>
      <c r="E253" s="88"/>
      <c r="F253" s="88"/>
      <c r="G253" s="88"/>
      <c r="H253" s="88"/>
      <c r="I253" s="298" t="s">
        <v>311</v>
      </c>
      <c r="J253" s="298"/>
      <c r="K253" s="298"/>
      <c r="L253" s="91"/>
      <c r="M253" s="91"/>
      <c r="N253" s="91"/>
      <c r="O253" s="89"/>
      <c r="P253" s="89"/>
    </row>
    <row r="254" spans="2:16" x14ac:dyDescent="0.2">
      <c r="B254" s="88"/>
      <c r="C254" s="88"/>
      <c r="D254" s="118" t="str">
        <f>IF(OR(K$32=F$491,K$32=F$492),"Does the proposed Development qualify for a 30% basis boost?","")</f>
        <v/>
      </c>
      <c r="E254" s="88"/>
      <c r="F254" s="88"/>
      <c r="G254" s="88"/>
      <c r="H254" s="88"/>
      <c r="I254" s="274" t="s">
        <v>325</v>
      </c>
      <c r="J254" s="274"/>
      <c r="K254" s="274"/>
      <c r="L254" s="91"/>
      <c r="M254" s="91"/>
      <c r="N254" s="91"/>
      <c r="O254" s="89"/>
      <c r="P254" s="89"/>
    </row>
    <row r="255" spans="2:16" x14ac:dyDescent="0.2">
      <c r="B255" s="88"/>
      <c r="C255" s="88"/>
      <c r="D255" s="88"/>
      <c r="E255" s="88"/>
      <c r="F255" s="88"/>
      <c r="G255" s="88"/>
      <c r="H255" s="88"/>
      <c r="I255" s="88"/>
      <c r="J255" s="88"/>
      <c r="K255" s="91"/>
      <c r="L255" s="91"/>
      <c r="M255" s="91"/>
      <c r="N255" s="91"/>
      <c r="O255" s="89"/>
      <c r="P255" s="89"/>
    </row>
    <row r="256" spans="2:16" x14ac:dyDescent="0.2">
      <c r="B256" s="88"/>
      <c r="C256" s="88"/>
      <c r="D256" s="118" t="str">
        <f>IF(OR(K$32=F$491,K$32=F$492),"The minimum amount of 'rehabilitation expenditures' required by IRC/FHFC during any 24-month period is met if (i) the total 'rehabilitation ","")</f>
        <v/>
      </c>
      <c r="E256" s="88"/>
      <c r="F256" s="88"/>
      <c r="G256" s="88"/>
      <c r="H256" s="88"/>
      <c r="I256" s="88"/>
      <c r="J256" s="88"/>
      <c r="K256" s="91"/>
      <c r="L256" s="91"/>
      <c r="M256" s="91"/>
      <c r="N256" s="91"/>
      <c r="O256" s="89"/>
      <c r="P256" s="89"/>
    </row>
    <row r="257" spans="1:26" x14ac:dyDescent="0.2">
      <c r="B257" s="88"/>
      <c r="C257" s="88"/>
      <c r="D257" s="118" t="str">
        <f>IF(OR(K$32=F$491,K$32=F$492),"expenditures' are at least 20 percent of the adjusted basis of the (acquired) building (or "&amp;TEXT(20%*N(N176),"$#,##0")&amp;") and (ii) the qualified basis of the ","")</f>
        <v/>
      </c>
      <c r="E257" s="88"/>
      <c r="F257" s="88"/>
      <c r="G257" s="88"/>
      <c r="H257" s="88"/>
      <c r="I257" s="88"/>
      <c r="J257" s="88"/>
      <c r="K257" s="91"/>
      <c r="L257" s="91"/>
      <c r="M257" s="91"/>
      <c r="N257" s="91"/>
      <c r="O257" s="89"/>
      <c r="P257" s="89"/>
      <c r="Q257" s="152" t="str">
        <f>IF(OR(K32="Rehabilitation (w/ or w/o Acquisition)",K32="Preservation (w/ or w/o Acquisition)"),20%*N(N176),"")</f>
        <v/>
      </c>
      <c r="R257" s="118" t="str">
        <f>IF(OR(K32="Rehabilitation (w/ or w/o Acquisition)",K32="Preservation (w/ or w/o Acquisition)"),"= 20 percent of the adjusted basis of the (acquired) building.","")</f>
        <v/>
      </c>
    </row>
    <row r="258" spans="1:26" x14ac:dyDescent="0.2">
      <c r="B258" s="88"/>
      <c r="C258" s="88"/>
      <c r="D258" s="118" t="str">
        <f>IF(OR(K$32=F$491,K$32=F$492),"'rehabilitation expenditures,' when divided by the number of low-income units is $25,000 or more.  Total 'rehabilitation expenditures' are being ","")</f>
        <v/>
      </c>
      <c r="E258" s="88"/>
      <c r="F258" s="88"/>
      <c r="G258" s="88"/>
      <c r="H258" s="88"/>
      <c r="I258" s="88"/>
      <c r="J258" s="88"/>
      <c r="K258" s="91"/>
      <c r="L258" s="91"/>
      <c r="M258" s="91"/>
      <c r="N258" s="91"/>
      <c r="O258" s="89"/>
      <c r="P258" s="89"/>
      <c r="Q258" s="152" t="str">
        <f>IF(OR(K32="Rehabilitation (w/ or w/o Acquisition)",K32="Preservation (w/ or w/o Acquisition)"),N(H178)-N(H176)+N(H184),"")</f>
        <v/>
      </c>
      <c r="R258" s="118" t="str">
        <f>IF(OR(K32="Rehabilitation (w/ or w/o Acquisition)",K32="Preservation (w/ or w/o Acquisition)"),"= The total 'rehabilitation expenditures' of the proposed Development.","")</f>
        <v/>
      </c>
    </row>
    <row r="259" spans="1:26" x14ac:dyDescent="0.2">
      <c r="B259" s="88"/>
      <c r="C259" s="88"/>
      <c r="D259" s="118" t="str">
        <f>IF(OR(K$32=F$491,K$32=F$492),"represented as "&amp;TEXT(N(H178)-N(H176)+N(H184),"$#,##0")&amp;", as well as having "&amp;TEXT(IF(N(K33)*N(I253)/100=0,0,(N(H178)-N(H176)+N(H184))*IF(I254="Yes",1.3,1)*N(I253)/100/ROUNDUP(N(K33)*N(I253)/100,0)),"$#,##0")&amp;" of qualified basis per low-income unit.  (Assumes adjusted basis is the same as ","")</f>
        <v/>
      </c>
      <c r="E259" s="88"/>
      <c r="F259" s="88"/>
      <c r="G259" s="88"/>
      <c r="H259" s="88"/>
      <c r="I259" s="88"/>
      <c r="J259" s="88"/>
      <c r="K259" s="91"/>
      <c r="L259" s="91"/>
      <c r="M259" s="91"/>
      <c r="N259" s="91"/>
      <c r="O259" s="89"/>
      <c r="P259" s="89"/>
      <c r="Q259" s="152" t="str">
        <f>IF(OR(K32="Rehabilitation (w/ or w/o Acquisition)",K32="Preservation (w/ or w/o Acquisition)"),IF(N(K33)*N(I253)/100=0,0,(N(H178)-N(H176)+N(H184))*IF(I254="Yes",1.3,1)*N(I253)/100/ROUNDUP(N(K33)*N(I253)/100,0)),"")</f>
        <v/>
      </c>
      <c r="R259" s="118" t="str">
        <f>IF(OR(K32="Rehabilitation (w/ or w/o Acquisition)",K32="Preservation (w/ or w/o Acquisition)"),"= The qualified basis of the 'rehabilitation expenditures' or the proposed Development divided by the number of low-income units.","")</f>
        <v/>
      </c>
    </row>
    <row r="260" spans="1:26" x14ac:dyDescent="0.2">
      <c r="B260" s="88"/>
      <c r="C260" s="88"/>
      <c r="D260" s="118" t="str">
        <f>IF(OR(K$32=F$491,K$32=F$492),"eligible basis for Application purposes.) ","")</f>
        <v/>
      </c>
      <c r="E260" s="88"/>
      <c r="F260" s="88"/>
      <c r="G260" s="88"/>
      <c r="H260" s="88"/>
      <c r="I260" s="88"/>
      <c r="J260" s="88"/>
      <c r="K260" s="91"/>
      <c r="L260" s="91"/>
      <c r="M260" s="91"/>
      <c r="N260" s="91"/>
      <c r="O260" s="89"/>
      <c r="P260" s="89"/>
    </row>
    <row r="261" spans="1:26" ht="3.75" customHeight="1" thickBot="1" x14ac:dyDescent="0.25">
      <c r="B261" s="88"/>
      <c r="C261" s="88"/>
      <c r="D261" s="88"/>
      <c r="E261" s="88"/>
      <c r="F261" s="88"/>
      <c r="G261" s="88"/>
      <c r="H261" s="88"/>
      <c r="I261" s="88"/>
      <c r="J261" s="88"/>
      <c r="K261" s="91"/>
      <c r="L261" s="91"/>
      <c r="M261" s="91"/>
      <c r="N261" s="91"/>
      <c r="O261" s="89"/>
      <c r="P261" s="89"/>
    </row>
    <row r="262" spans="1:26" ht="3.75" customHeight="1" x14ac:dyDescent="0.2">
      <c r="A262" s="87"/>
      <c r="B262" s="94"/>
      <c r="C262" s="94"/>
      <c r="D262" s="94"/>
      <c r="E262" s="94"/>
      <c r="F262" s="94"/>
      <c r="G262" s="94"/>
      <c r="H262" s="94"/>
      <c r="I262" s="94"/>
      <c r="J262" s="94"/>
      <c r="K262" s="95"/>
      <c r="L262" s="95"/>
      <c r="M262" s="95"/>
      <c r="N262" s="95"/>
      <c r="O262" s="96"/>
      <c r="P262" s="96"/>
      <c r="Q262" s="286" t="s">
        <v>318</v>
      </c>
      <c r="R262" s="287"/>
      <c r="S262" s="287"/>
      <c r="T262" s="287"/>
      <c r="U262" s="287"/>
      <c r="V262" s="287"/>
      <c r="W262" s="287"/>
      <c r="X262" s="287"/>
      <c r="Y262" s="287"/>
      <c r="Z262" s="288"/>
    </row>
    <row r="263" spans="1:26" ht="13.5" customHeight="1" x14ac:dyDescent="0.2">
      <c r="B263" s="66" t="str">
        <f>B$2</f>
        <v>RFA 2019-109 DEVELOPMENT COST PRO FORMA</v>
      </c>
      <c r="C263" s="88"/>
      <c r="D263" s="88"/>
      <c r="E263" s="88"/>
      <c r="F263" s="88"/>
      <c r="G263" s="88"/>
      <c r="H263" s="88"/>
      <c r="I263" s="88"/>
      <c r="J263" s="88"/>
      <c r="K263" s="91"/>
      <c r="L263" s="91"/>
      <c r="M263" s="91"/>
      <c r="N263" s="91"/>
      <c r="O263" s="89"/>
      <c r="P263" s="3" t="s">
        <v>347</v>
      </c>
      <c r="Q263" s="289"/>
      <c r="R263" s="290"/>
      <c r="S263" s="290"/>
      <c r="T263" s="290"/>
      <c r="U263" s="290"/>
      <c r="V263" s="290"/>
      <c r="W263" s="290"/>
      <c r="X263" s="290"/>
      <c r="Y263" s="290"/>
      <c r="Z263" s="291"/>
    </row>
    <row r="264" spans="1:26" x14ac:dyDescent="0.2">
      <c r="B264" s="88"/>
      <c r="C264" s="88"/>
      <c r="D264" s="88"/>
      <c r="E264" s="88"/>
      <c r="F264" s="88"/>
      <c r="G264" s="88"/>
      <c r="H264" s="88"/>
      <c r="I264" s="88"/>
      <c r="J264" s="88"/>
      <c r="K264" s="91"/>
      <c r="L264" s="91"/>
      <c r="M264" s="91"/>
      <c r="N264" s="91"/>
      <c r="O264" s="89"/>
      <c r="P264" s="89"/>
      <c r="Q264" s="289"/>
      <c r="R264" s="290"/>
      <c r="S264" s="290"/>
      <c r="T264" s="290"/>
      <c r="U264" s="290"/>
      <c r="V264" s="290"/>
      <c r="W264" s="290"/>
      <c r="X264" s="290"/>
      <c r="Y264" s="290"/>
      <c r="Z264" s="291"/>
    </row>
    <row r="265" spans="1:26" ht="13.5" thickBot="1" x14ac:dyDescent="0.25">
      <c r="B265" s="88"/>
      <c r="C265" s="88"/>
      <c r="D265" s="88"/>
      <c r="E265" s="88"/>
      <c r="F265" s="88"/>
      <c r="G265" s="88"/>
      <c r="H265" s="88"/>
      <c r="I265" s="88"/>
      <c r="J265" s="88"/>
      <c r="K265" s="91"/>
      <c r="L265" s="91"/>
      <c r="M265" s="91"/>
      <c r="N265" s="91"/>
      <c r="O265" s="89"/>
      <c r="P265" s="89"/>
      <c r="Q265" s="292"/>
      <c r="R265" s="293"/>
      <c r="S265" s="293"/>
      <c r="T265" s="293"/>
      <c r="U265" s="293"/>
      <c r="V265" s="293"/>
      <c r="W265" s="293"/>
      <c r="X265" s="293"/>
      <c r="Y265" s="293"/>
      <c r="Z265" s="294"/>
    </row>
    <row r="266" spans="1:26" x14ac:dyDescent="0.2">
      <c r="B266" s="25" t="s">
        <v>107</v>
      </c>
      <c r="C266" s="1"/>
      <c r="D266" s="1"/>
      <c r="E266" s="1"/>
      <c r="F266" s="1"/>
      <c r="G266" s="1"/>
      <c r="H266" s="1"/>
      <c r="I266" s="1"/>
      <c r="J266" s="1"/>
      <c r="K266" s="79"/>
      <c r="L266" s="72"/>
      <c r="M266" s="72"/>
      <c r="N266" s="91"/>
      <c r="O266" s="89"/>
      <c r="P266" s="89"/>
    </row>
    <row r="267" spans="1:26" x14ac:dyDescent="0.2">
      <c r="B267" s="25"/>
      <c r="C267" s="1"/>
      <c r="D267" s="1"/>
      <c r="E267" s="1"/>
      <c r="F267" s="1"/>
      <c r="G267" s="1"/>
      <c r="H267" s="59" t="s">
        <v>76</v>
      </c>
      <c r="I267" s="59"/>
      <c r="J267" s="1"/>
      <c r="K267" s="79"/>
      <c r="L267" s="72"/>
      <c r="M267" s="72"/>
      <c r="N267" s="91"/>
      <c r="O267" s="89"/>
      <c r="P267" s="234"/>
    </row>
    <row r="268" spans="1:26" x14ac:dyDescent="0.2">
      <c r="B268" s="1"/>
      <c r="C268" s="1"/>
      <c r="D268" s="1"/>
      <c r="E268" s="1"/>
      <c r="F268" s="1"/>
      <c r="G268" s="1"/>
      <c r="H268" s="1"/>
      <c r="I268" s="1"/>
      <c r="J268" s="1"/>
      <c r="K268" s="68"/>
      <c r="L268" s="68"/>
      <c r="M268" s="68"/>
      <c r="N268" s="91"/>
      <c r="O268" s="89"/>
      <c r="P268" s="89"/>
      <c r="Q268" s="190"/>
      <c r="R268" s="189"/>
    </row>
    <row r="269" spans="1:26" x14ac:dyDescent="0.2">
      <c r="B269" s="32" t="s">
        <v>89</v>
      </c>
      <c r="C269" s="25" t="s">
        <v>88</v>
      </c>
      <c r="D269" s="1"/>
      <c r="E269" s="1"/>
      <c r="F269" s="1"/>
      <c r="G269" s="32" t="s">
        <v>9</v>
      </c>
      <c r="H269" s="69" t="str">
        <f ca="1">IF(N195="","",N195)</f>
        <v/>
      </c>
      <c r="I269" s="1"/>
      <c r="J269" s="38"/>
      <c r="K269" s="44"/>
      <c r="L269" s="44"/>
      <c r="M269" s="44"/>
      <c r="N269" s="91"/>
      <c r="O269" s="89"/>
      <c r="P269" s="89"/>
    </row>
    <row r="270" spans="1:26" x14ac:dyDescent="0.2">
      <c r="B270" s="1"/>
      <c r="C270" s="1"/>
      <c r="D270" s="1"/>
      <c r="E270" s="1"/>
      <c r="F270" s="1"/>
      <c r="G270" s="1"/>
      <c r="H270" s="8"/>
      <c r="I270" s="1"/>
      <c r="J270" s="38"/>
      <c r="K270" s="44"/>
      <c r="L270" s="44"/>
      <c r="M270" s="44"/>
      <c r="N270" s="91"/>
      <c r="O270" s="89"/>
      <c r="P270" s="89"/>
      <c r="Q270" s="189"/>
      <c r="R270" s="189"/>
    </row>
    <row r="271" spans="1:26" x14ac:dyDescent="0.2">
      <c r="B271" s="32" t="s">
        <v>87</v>
      </c>
      <c r="C271" s="25" t="s">
        <v>114</v>
      </c>
      <c r="D271" s="1"/>
      <c r="E271" s="1"/>
      <c r="F271" s="1"/>
      <c r="G271" s="1"/>
      <c r="H271" s="8"/>
      <c r="I271" s="1"/>
      <c r="J271" s="38"/>
      <c r="K271" s="44"/>
      <c r="L271" s="44"/>
      <c r="M271" s="44"/>
      <c r="N271" s="91"/>
      <c r="O271" s="89"/>
      <c r="P271" s="89"/>
      <c r="Q271" s="240" t="s">
        <v>332</v>
      </c>
      <c r="R271" s="189"/>
    </row>
    <row r="272" spans="1:26" hidden="1" x14ac:dyDescent="0.2">
      <c r="B272" s="1"/>
      <c r="C272" s="1"/>
      <c r="D272" s="1"/>
      <c r="E272" s="1"/>
      <c r="F272" s="1"/>
      <c r="G272" s="48"/>
      <c r="H272" s="60"/>
      <c r="I272" s="1"/>
      <c r="J272" s="38"/>
      <c r="K272" s="44"/>
      <c r="L272" s="44"/>
      <c r="M272" s="44"/>
      <c r="N272" s="91"/>
      <c r="O272" s="89"/>
      <c r="P272" s="89"/>
      <c r="Q272" s="300">
        <v>70000</v>
      </c>
      <c r="R272" s="300"/>
      <c r="S272" s="196" t="str">
        <f>IF(N(K$33)=0,"Please enter total units on row 33.",IF(N(H273)=0,"Maximum allowed is "&amp;TEXT($Q272,"$#,##0")&amp;" per Unit; or a total of "&amp;TEXT(N(K$33)*N($Q272),"$#,##0")&amp;", plus the ELI Loan Request Amount.","The SAIL Loan Request entered is equal to "&amp;TEXT(N(H273)/N(K$33),"$#,##0.00")&amp;" per Unit, which is "&amp;IF(N(H273)/N(K$33)&gt;N($Q272),"greater than allowed per the RFA.","within the per Set-Aside unit limitation.")))</f>
        <v>Please enter total units on row 33.</v>
      </c>
    </row>
    <row r="273" spans="2:23" ht="12.75" hidden="1" customHeight="1" x14ac:dyDescent="0.2">
      <c r="B273" s="114"/>
      <c r="C273" s="1" t="s">
        <v>397</v>
      </c>
      <c r="D273" s="1"/>
      <c r="E273" s="1"/>
      <c r="F273" s="1"/>
      <c r="G273" s="48" t="s">
        <v>9</v>
      </c>
      <c r="H273" s="84"/>
      <c r="I273" s="1"/>
      <c r="J273" s="38"/>
      <c r="K273" s="162"/>
      <c r="L273" s="44"/>
      <c r="M273" s="44"/>
      <c r="N273" s="91"/>
      <c r="O273" s="89"/>
      <c r="P273" s="129" t="str">
        <f ca="1">IF(Q272="TBD","",IF(OR(H273+H275*0&gt;Q272*N(K$33),H273+H275&gt;Q273,H273+H275&gt;ROUNDDOWN(35%*N(H269),2)),"**",""))</f>
        <v/>
      </c>
      <c r="Q273" s="301">
        <v>5515000</v>
      </c>
      <c r="R273" s="301"/>
      <c r="S273" s="197" t="str">
        <f>IF(N(H273)=0,"Maximum allowed is "&amp;TEXT($Q$273,"$#,##0")&amp;" per Development, inclusive of the ELI Loan Request.","The SAIL Loan Request entered is "&amp;IF(N(H273)+N(H275)&gt;$Q$273,"greater than allowed per the RFA.","within the per Development limitation."))</f>
        <v>Maximum allowed is $5,515,000 per Development, inclusive of the ELI Loan Request.</v>
      </c>
    </row>
    <row r="274" spans="2:23" hidden="1" x14ac:dyDescent="0.2">
      <c r="B274" s="113"/>
      <c r="C274" s="1"/>
      <c r="D274" s="1"/>
      <c r="E274" s="1"/>
      <c r="F274" s="1"/>
      <c r="G274" s="48"/>
      <c r="H274" s="60"/>
      <c r="I274" s="1"/>
      <c r="J274" s="38"/>
      <c r="K274" s="44"/>
      <c r="L274" s="44"/>
      <c r="M274" s="44"/>
      <c r="N274" s="91"/>
      <c r="O274" s="89"/>
      <c r="P274" s="89"/>
      <c r="Q274" s="302">
        <f ca="1">ROUNDDOWN(35%*N(H$269),2)</f>
        <v>0</v>
      </c>
      <c r="R274" s="302"/>
      <c r="S274" s="239" t="str">
        <f ca="1">IF(N(H273)=0,"Maximum allowed is 35% of Total Development Costs, or "&amp;TEXT(ROUNDDOWN(N(H$269)*35%,2),"$#,##0.00")&amp;".","The total of the SAIL Loan Request and the ELI Loan Request entered "&amp;IF(N(H273)+N(H275)&lt;=ROUNDDOWN(N(H$269)*35%,2),"is within","EXCEEDS")&amp;" the % of TDC limitation.")</f>
        <v>Maximum allowed is 35% of Total Development Costs, or $0.00.</v>
      </c>
      <c r="T274" s="1"/>
      <c r="U274" s="1"/>
      <c r="V274" s="1"/>
      <c r="W274" s="1"/>
    </row>
    <row r="275" spans="2:23" hidden="1" x14ac:dyDescent="0.2">
      <c r="B275" s="114"/>
      <c r="C275" s="1" t="s">
        <v>277</v>
      </c>
      <c r="D275" s="1"/>
      <c r="E275" s="1"/>
      <c r="F275" s="1"/>
      <c r="G275" s="48" t="s">
        <v>9</v>
      </c>
      <c r="H275" s="84"/>
      <c r="I275" s="1"/>
      <c r="J275" s="38"/>
      <c r="K275" s="162"/>
      <c r="L275" s="44"/>
      <c r="M275" s="44"/>
      <c r="N275" s="91"/>
      <c r="O275" s="89"/>
      <c r="P275" s="129" t="str">
        <f ca="1">IF(Q272="TBD","",IF(OR(N(H273)+N(H275)*0&gt;Q272*N(K$33),N(H273)+N(H275)&gt;Q273,N(H273)+N(H275)&gt;ROUNDDOWN(35%*N(H269),2),N(H275)&gt;Q275),"**",""))</f>
        <v/>
      </c>
      <c r="Q275" s="301">
        <v>600000</v>
      </c>
      <c r="R275" s="301"/>
      <c r="S275" s="90" t="s">
        <v>398</v>
      </c>
    </row>
    <row r="276" spans="2:23" x14ac:dyDescent="0.2">
      <c r="B276" s="1"/>
      <c r="C276" s="1"/>
      <c r="D276" s="1"/>
      <c r="E276" s="1"/>
      <c r="F276" s="1"/>
      <c r="G276" s="48"/>
      <c r="H276" s="60"/>
      <c r="I276" s="1"/>
      <c r="J276" s="38"/>
      <c r="K276" s="44"/>
      <c r="L276" s="44"/>
      <c r="M276" s="44"/>
      <c r="N276" s="91"/>
      <c r="O276" s="89"/>
      <c r="P276" s="89"/>
    </row>
    <row r="277" spans="2:23" x14ac:dyDescent="0.2">
      <c r="B277" s="114">
        <f>MAX(B$272:B276)+1</f>
        <v>1</v>
      </c>
      <c r="C277" s="1" t="s">
        <v>271</v>
      </c>
      <c r="D277" s="1"/>
      <c r="E277" s="1"/>
      <c r="F277" s="1"/>
      <c r="G277" s="48" t="s">
        <v>9</v>
      </c>
      <c r="H277" s="84"/>
      <c r="I277" s="1"/>
      <c r="J277" s="38"/>
      <c r="K277" s="162"/>
      <c r="L277" s="44"/>
      <c r="M277" s="44"/>
      <c r="N277" s="91"/>
      <c r="O277" s="89"/>
      <c r="P277" s="89"/>
    </row>
    <row r="278" spans="2:23" x14ac:dyDescent="0.2">
      <c r="B278" s="1"/>
      <c r="C278" s="1"/>
      <c r="D278" s="1"/>
      <c r="E278" s="1"/>
      <c r="F278" s="1"/>
      <c r="G278" s="48"/>
      <c r="H278" s="60"/>
      <c r="I278" s="1"/>
      <c r="J278" s="38"/>
      <c r="K278" s="44"/>
      <c r="L278" s="44"/>
      <c r="M278" s="44"/>
      <c r="N278" s="91"/>
      <c r="O278" s="89"/>
      <c r="P278" s="89"/>
    </row>
    <row r="279" spans="2:23" ht="12.75" customHeight="1" x14ac:dyDescent="0.2">
      <c r="B279" s="114">
        <f>MAX(B$272:B278)+1</f>
        <v>2</v>
      </c>
      <c r="C279" s="1" t="s">
        <v>139</v>
      </c>
      <c r="D279" s="1"/>
      <c r="E279" s="1"/>
      <c r="F279" s="1"/>
      <c r="G279" s="48" t="s">
        <v>9</v>
      </c>
      <c r="H279" s="84"/>
      <c r="I279" s="1"/>
      <c r="J279" s="38"/>
      <c r="K279" s="162"/>
      <c r="L279" s="44"/>
      <c r="M279" s="44"/>
      <c r="N279" s="91"/>
      <c r="O279" s="89"/>
      <c r="P279" s="89"/>
    </row>
    <row r="280" spans="2:23" ht="12.75" hidden="1" customHeight="1" x14ac:dyDescent="0.2">
      <c r="B280" s="68"/>
      <c r="C280" s="68"/>
      <c r="D280" s="68"/>
      <c r="E280" s="68"/>
      <c r="F280" s="68"/>
      <c r="G280" s="171"/>
      <c r="H280" s="60"/>
      <c r="I280" s="68"/>
      <c r="J280" s="44"/>
      <c r="K280" s="44"/>
      <c r="L280" s="44"/>
      <c r="M280" s="44"/>
      <c r="N280" s="91"/>
      <c r="O280" s="172"/>
      <c r="P280" s="172"/>
      <c r="Q280" s="173" t="s">
        <v>310</v>
      </c>
      <c r="R280" s="174"/>
      <c r="S280" s="174"/>
      <c r="T280" s="174"/>
      <c r="U280" s="174"/>
      <c r="V280" s="174"/>
    </row>
    <row r="281" spans="2:23" hidden="1" x14ac:dyDescent="0.2">
      <c r="B281" s="182"/>
      <c r="C281" s="68" t="s">
        <v>309</v>
      </c>
      <c r="D281" s="68"/>
      <c r="E281" s="68"/>
      <c r="F281" s="68"/>
      <c r="G281" s="171" t="s">
        <v>9</v>
      </c>
      <c r="H281" s="85"/>
      <c r="I281" s="68"/>
      <c r="J281" s="44"/>
      <c r="K281" s="162"/>
      <c r="L281" s="44"/>
      <c r="M281" s="44"/>
      <c r="N281" s="91"/>
      <c r="O281" s="172"/>
      <c r="P281" s="176" t="str">
        <f>IF(H281&gt;N(Q282),"**","")</f>
        <v/>
      </c>
      <c r="Q281" s="183" t="s">
        <v>148</v>
      </c>
      <c r="R281" s="174" t="s">
        <v>317</v>
      </c>
      <c r="S281" s="174"/>
      <c r="T281" s="174"/>
      <c r="U281" s="174"/>
      <c r="V281" s="174"/>
    </row>
    <row r="282" spans="2:23" hidden="1" x14ac:dyDescent="0.2">
      <c r="B282" s="68"/>
      <c r="C282" s="68"/>
      <c r="D282" s="68"/>
      <c r="E282" s="68"/>
      <c r="F282" s="68"/>
      <c r="G282" s="171"/>
      <c r="H282" s="60"/>
      <c r="I282" s="68"/>
      <c r="J282" s="44"/>
      <c r="K282" s="44"/>
      <c r="L282" s="44"/>
      <c r="M282" s="44"/>
      <c r="N282" s="91"/>
      <c r="O282" s="172"/>
      <c r="P282" s="172"/>
      <c r="Q282" s="178" t="str">
        <f>IF(ISERROR(VLOOKUP(K$388,E$496:F$566,2)),"",IF(VLOOKUP(K$388,E$496:F$566,2)="Large",6,IF(VLOOKUP(K$388,E$496:F$566,2)="Medium",4,0))*VLOOKUP(K$388,E$496:H$566,4))</f>
        <v/>
      </c>
      <c r="R282" s="174" t="str">
        <f>IF(ISERROR(VLOOKUP(K$388,E$496:F$566,2)),"(Please select a county from the drop-down menu within the TDC PU Limitation Analysis section below)",IF(OR(VLOOKUP(K$388,E$496:F$566,2)="Small",Q281&lt;&gt;"Yes",K$32=F$488,K$32=F$491,K$32=F$492),"(The Proposed Development does not qualify for NHTF Funding)","The maximum NHTF Funding Request Amount"))&amp;IF(P281="**"," (The NHTF Request Amount exceeds the maximum limit)","")</f>
        <v>(Please select a county from the drop-down menu within the TDC PU Limitation Analysis section below)</v>
      </c>
      <c r="S282" s="174"/>
      <c r="T282" s="174"/>
      <c r="U282" s="174"/>
      <c r="V282" s="174"/>
    </row>
    <row r="283" spans="2:23" ht="12.75" hidden="1" customHeight="1" x14ac:dyDescent="0.2">
      <c r="B283" s="113"/>
      <c r="C283" s="90" t="s">
        <v>382</v>
      </c>
      <c r="G283" s="48" t="s">
        <v>9</v>
      </c>
      <c r="H283" s="85"/>
      <c r="I283" s="1"/>
      <c r="J283" s="62"/>
      <c r="K283" s="162"/>
      <c r="L283" s="40"/>
      <c r="M283" s="68"/>
      <c r="N283" s="91"/>
      <c r="O283" s="89"/>
      <c r="P283" s="89"/>
    </row>
    <row r="284" spans="2:23" ht="12.75" hidden="1" customHeight="1" x14ac:dyDescent="0.2">
      <c r="B284" s="1"/>
      <c r="C284" s="1"/>
      <c r="D284" s="1"/>
      <c r="E284" s="1"/>
      <c r="F284" s="1"/>
      <c r="G284" s="48"/>
      <c r="H284" s="60"/>
      <c r="I284" s="1"/>
      <c r="J284" s="38"/>
      <c r="K284" s="44"/>
      <c r="L284" s="44"/>
      <c r="M284" s="44"/>
      <c r="N284" s="91"/>
      <c r="O284" s="89"/>
      <c r="P284" s="89"/>
    </row>
    <row r="285" spans="2:23" ht="12.75" hidden="1" customHeight="1" x14ac:dyDescent="0.2">
      <c r="B285" s="1"/>
      <c r="C285" s="1" t="s">
        <v>285</v>
      </c>
      <c r="D285" s="1"/>
      <c r="E285" s="1"/>
      <c r="F285" s="1"/>
      <c r="G285" s="48" t="s">
        <v>9</v>
      </c>
      <c r="H285" s="163"/>
      <c r="I285" s="1"/>
      <c r="J285" s="38"/>
      <c r="K285" s="44"/>
      <c r="L285" s="44"/>
      <c r="M285" s="44"/>
      <c r="N285" s="91"/>
      <c r="O285" s="89"/>
      <c r="P285" s="89"/>
    </row>
    <row r="286" spans="2:23" ht="12.75" customHeight="1" x14ac:dyDescent="0.2">
      <c r="B286" s="1"/>
      <c r="C286" s="1"/>
      <c r="D286" s="1"/>
      <c r="E286" s="1"/>
      <c r="F286" s="1"/>
      <c r="G286" s="48"/>
      <c r="H286" s="60"/>
      <c r="I286" s="1"/>
      <c r="J286" s="38"/>
      <c r="K286" s="44"/>
      <c r="L286" s="44"/>
      <c r="M286" s="44"/>
      <c r="N286" s="91"/>
      <c r="O286" s="89"/>
      <c r="P286" s="89"/>
    </row>
    <row r="287" spans="2:23" x14ac:dyDescent="0.2">
      <c r="B287" s="114">
        <f>MAX(B$272:B286)+1</f>
        <v>3</v>
      </c>
      <c r="C287" s="1" t="s">
        <v>77</v>
      </c>
      <c r="D287" s="1"/>
      <c r="E287" s="1"/>
      <c r="F287" s="1"/>
      <c r="G287" s="1"/>
      <c r="H287" s="8"/>
      <c r="I287" s="1"/>
      <c r="J287" s="38"/>
      <c r="K287" s="44"/>
      <c r="L287" s="44"/>
      <c r="M287" s="68"/>
      <c r="N287" s="91"/>
      <c r="O287" s="89"/>
      <c r="P287" s="89"/>
    </row>
    <row r="288" spans="2:23" x14ac:dyDescent="0.2">
      <c r="B288" s="1"/>
      <c r="C288" s="1" t="s">
        <v>100</v>
      </c>
      <c r="D288" s="1"/>
      <c r="E288" s="1"/>
      <c r="F288" s="1"/>
      <c r="G288" s="1"/>
      <c r="H288" s="8"/>
      <c r="I288" s="1"/>
      <c r="J288" s="38"/>
      <c r="K288" s="44"/>
      <c r="L288" s="44"/>
      <c r="M288" s="68"/>
      <c r="N288" s="91"/>
      <c r="O288" s="89"/>
      <c r="P288" s="89"/>
    </row>
    <row r="289" spans="2:16" x14ac:dyDescent="0.2">
      <c r="B289" s="1"/>
      <c r="C289" s="1" t="s">
        <v>101</v>
      </c>
      <c r="D289" s="1"/>
      <c r="E289" s="1"/>
      <c r="F289" s="1"/>
      <c r="G289" s="1"/>
      <c r="H289" s="7"/>
      <c r="I289" s="1"/>
      <c r="J289" s="1"/>
      <c r="K289" s="68"/>
      <c r="L289" s="68"/>
      <c r="M289" s="68"/>
      <c r="N289" s="91"/>
      <c r="O289" s="89"/>
      <c r="P289" s="89"/>
    </row>
    <row r="290" spans="2:16" x14ac:dyDescent="0.2">
      <c r="B290" s="1"/>
      <c r="C290" s="1" t="s">
        <v>102</v>
      </c>
      <c r="D290" s="1"/>
      <c r="E290" s="1"/>
      <c r="F290" s="1"/>
      <c r="G290" s="48"/>
      <c r="H290" s="107"/>
      <c r="I290" s="1"/>
      <c r="J290" s="62"/>
      <c r="K290" s="108"/>
      <c r="L290" s="40"/>
      <c r="M290" s="68"/>
      <c r="N290" s="91"/>
      <c r="O290" s="89"/>
      <c r="P290" s="89"/>
    </row>
    <row r="291" spans="2:16" x14ac:dyDescent="0.2">
      <c r="B291" s="1"/>
      <c r="C291" s="1" t="s">
        <v>103</v>
      </c>
      <c r="D291" s="1"/>
      <c r="E291" s="1"/>
      <c r="F291" s="1"/>
      <c r="G291" s="48"/>
      <c r="H291" s="107"/>
      <c r="I291" s="1"/>
      <c r="J291" s="62"/>
      <c r="K291" s="108"/>
      <c r="L291" s="40"/>
      <c r="M291" s="68"/>
      <c r="N291" s="91"/>
      <c r="O291" s="89"/>
      <c r="P291" s="89"/>
    </row>
    <row r="292" spans="2:16" x14ac:dyDescent="0.2">
      <c r="B292" s="1"/>
      <c r="C292" s="1" t="s">
        <v>104</v>
      </c>
      <c r="D292" s="1"/>
      <c r="E292" s="1"/>
      <c r="F292" s="1"/>
      <c r="G292" s="48"/>
      <c r="H292" s="107"/>
      <c r="I292" s="1"/>
      <c r="J292" s="62"/>
      <c r="K292" s="108"/>
      <c r="L292" s="40"/>
      <c r="M292" s="68"/>
      <c r="N292" s="91"/>
      <c r="O292" s="89"/>
      <c r="P292" s="89"/>
    </row>
    <row r="293" spans="2:16" x14ac:dyDescent="0.2">
      <c r="B293" s="1"/>
      <c r="C293" s="1" t="s">
        <v>105</v>
      </c>
      <c r="D293" s="1"/>
      <c r="E293" s="1"/>
      <c r="F293" s="1"/>
      <c r="G293" s="48" t="s">
        <v>9</v>
      </c>
      <c r="H293" s="84"/>
      <c r="I293" s="1"/>
      <c r="J293" s="62"/>
      <c r="K293" s="108"/>
      <c r="L293" s="40"/>
      <c r="M293" s="68"/>
      <c r="N293" s="91"/>
      <c r="O293" s="89"/>
      <c r="P293" s="89"/>
    </row>
    <row r="294" spans="2:16" x14ac:dyDescent="0.2">
      <c r="B294" s="1"/>
      <c r="C294" s="1"/>
      <c r="D294" s="1"/>
      <c r="E294" s="1"/>
      <c r="F294" s="1"/>
      <c r="G294" s="1"/>
      <c r="H294" s="109"/>
      <c r="I294" s="1"/>
      <c r="J294" s="62"/>
      <c r="K294" s="108"/>
      <c r="L294" s="40"/>
      <c r="M294" s="68"/>
      <c r="N294" s="91"/>
      <c r="O294" s="89"/>
      <c r="P294" s="89"/>
    </row>
    <row r="295" spans="2:16" x14ac:dyDescent="0.2">
      <c r="B295" s="114">
        <f>MAX(B$272:B294)+1</f>
        <v>4</v>
      </c>
      <c r="C295" s="1" t="s">
        <v>85</v>
      </c>
      <c r="D295" s="1"/>
      <c r="E295" s="1"/>
      <c r="F295" s="1"/>
      <c r="G295" s="48" t="s">
        <v>9</v>
      </c>
      <c r="H295" s="84"/>
      <c r="I295" s="1"/>
      <c r="J295" s="62"/>
      <c r="K295" s="108"/>
      <c r="L295" s="40"/>
      <c r="M295" s="68"/>
      <c r="N295" s="91"/>
      <c r="O295" s="89"/>
      <c r="P295" s="89"/>
    </row>
    <row r="296" spans="2:16" x14ac:dyDescent="0.2">
      <c r="B296" s="1"/>
      <c r="C296" s="1"/>
      <c r="D296" s="1"/>
      <c r="E296" s="1"/>
      <c r="F296" s="1"/>
      <c r="G296" s="48"/>
      <c r="H296" s="60"/>
      <c r="I296" s="1"/>
      <c r="J296" s="62"/>
      <c r="K296" s="108"/>
      <c r="L296" s="40"/>
      <c r="M296" s="68"/>
      <c r="N296" s="91"/>
      <c r="O296" s="89"/>
      <c r="P296" s="89"/>
    </row>
    <row r="297" spans="2:16" x14ac:dyDescent="0.2">
      <c r="B297" s="114">
        <f>MAX(B$272:B296)+1</f>
        <v>5</v>
      </c>
      <c r="C297" s="1" t="s">
        <v>78</v>
      </c>
      <c r="D297" s="1"/>
      <c r="E297" s="1"/>
      <c r="F297" s="1"/>
      <c r="G297" s="48" t="s">
        <v>9</v>
      </c>
      <c r="H297" s="84"/>
      <c r="I297" s="1"/>
      <c r="J297" s="62"/>
      <c r="K297" s="108"/>
      <c r="L297" s="40"/>
      <c r="M297" s="68"/>
      <c r="N297" s="91"/>
      <c r="O297" s="89"/>
      <c r="P297" s="89"/>
    </row>
    <row r="298" spans="2:16" x14ac:dyDescent="0.2">
      <c r="B298" s="1"/>
      <c r="C298" s="1"/>
      <c r="D298" s="1"/>
      <c r="E298" s="1"/>
      <c r="F298" s="1"/>
      <c r="G298" s="1"/>
      <c r="H298" s="109"/>
      <c r="I298" s="1"/>
      <c r="J298" s="62"/>
      <c r="K298" s="108"/>
      <c r="L298" s="40"/>
      <c r="M298" s="68"/>
      <c r="N298" s="91"/>
      <c r="O298" s="89"/>
      <c r="P298" s="89"/>
    </row>
    <row r="299" spans="2:16" x14ac:dyDescent="0.2">
      <c r="B299" s="114">
        <f>MAX(B$272:B298)+1</f>
        <v>6</v>
      </c>
      <c r="C299" s="1" t="s">
        <v>79</v>
      </c>
      <c r="D299" s="1"/>
      <c r="E299" s="1"/>
      <c r="F299" s="1"/>
      <c r="G299" s="48" t="s">
        <v>9</v>
      </c>
      <c r="H299" s="84"/>
      <c r="I299" s="1"/>
      <c r="J299" s="62"/>
      <c r="K299" s="108"/>
      <c r="L299" s="40"/>
      <c r="M299" s="68"/>
      <c r="N299" s="91"/>
      <c r="O299" s="89"/>
      <c r="P299" s="89"/>
    </row>
    <row r="300" spans="2:16" x14ac:dyDescent="0.2">
      <c r="B300" s="1"/>
      <c r="C300" s="1"/>
      <c r="D300" s="1"/>
      <c r="E300" s="1"/>
      <c r="F300" s="1"/>
      <c r="G300" s="1"/>
      <c r="H300" s="109"/>
      <c r="I300" s="1"/>
      <c r="J300" s="62"/>
      <c r="K300" s="108"/>
      <c r="L300" s="40"/>
      <c r="M300" s="68"/>
      <c r="N300" s="91"/>
      <c r="O300" s="89"/>
      <c r="P300" s="89"/>
    </row>
    <row r="301" spans="2:16" x14ac:dyDescent="0.2">
      <c r="B301" s="114">
        <f>MAX(B$272:B300)+1</f>
        <v>7</v>
      </c>
      <c r="C301" s="1" t="s">
        <v>80</v>
      </c>
      <c r="D301" s="1"/>
      <c r="E301" s="1"/>
      <c r="F301" s="1"/>
      <c r="G301" s="48" t="s">
        <v>9</v>
      </c>
      <c r="H301" s="84"/>
      <c r="I301" s="1"/>
      <c r="J301" s="62"/>
      <c r="K301" s="108"/>
      <c r="L301" s="40"/>
      <c r="M301" s="68"/>
      <c r="N301" s="91"/>
      <c r="O301" s="89"/>
      <c r="P301" s="89"/>
    </row>
    <row r="302" spans="2:16" x14ac:dyDescent="0.2">
      <c r="B302" s="1"/>
      <c r="C302" s="1"/>
      <c r="D302" s="1"/>
      <c r="E302" s="1"/>
      <c r="F302" s="1"/>
      <c r="G302" s="1"/>
      <c r="H302" s="7"/>
      <c r="I302" s="1"/>
      <c r="J302" s="62"/>
      <c r="K302" s="108"/>
      <c r="L302" s="40"/>
      <c r="M302" s="68"/>
      <c r="N302" s="91"/>
      <c r="O302" s="89"/>
      <c r="P302" s="89"/>
    </row>
    <row r="303" spans="2:16" x14ac:dyDescent="0.2">
      <c r="B303" s="114">
        <f>MAX(B$272:B302)+1</f>
        <v>8</v>
      </c>
      <c r="C303" s="1" t="s">
        <v>82</v>
      </c>
      <c r="D303" s="1"/>
      <c r="E303" s="1"/>
      <c r="F303" s="1"/>
      <c r="G303" s="48" t="s">
        <v>9</v>
      </c>
      <c r="H303" s="84"/>
      <c r="I303" s="1"/>
      <c r="J303" s="62"/>
      <c r="K303" s="108"/>
      <c r="L303" s="40"/>
      <c r="M303" s="68"/>
      <c r="N303" s="91"/>
      <c r="O303" s="89"/>
      <c r="P303" s="89"/>
    </row>
    <row r="304" spans="2:16" x14ac:dyDescent="0.2">
      <c r="B304" s="1"/>
      <c r="C304" s="1"/>
      <c r="D304" s="1"/>
      <c r="E304" s="1"/>
      <c r="F304" s="1"/>
      <c r="G304" s="1"/>
      <c r="H304" s="109"/>
      <c r="I304" s="1"/>
      <c r="J304" s="62"/>
      <c r="K304" s="108"/>
      <c r="L304" s="40"/>
      <c r="M304" s="68"/>
      <c r="N304" s="91"/>
      <c r="O304" s="89"/>
      <c r="P304" s="89"/>
    </row>
    <row r="305" spans="2:17" hidden="1" x14ac:dyDescent="0.2">
      <c r="B305" s="114"/>
      <c r="C305" s="1" t="s">
        <v>83</v>
      </c>
      <c r="D305" s="1"/>
      <c r="E305" s="1"/>
      <c r="F305" s="1"/>
      <c r="G305" s="48"/>
      <c r="H305" s="93"/>
      <c r="I305" s="88"/>
      <c r="J305" s="62"/>
      <c r="K305" s="108"/>
      <c r="L305" s="40"/>
      <c r="M305" s="68"/>
      <c r="N305" s="91"/>
      <c r="O305" s="89"/>
      <c r="P305" s="89"/>
    </row>
    <row r="306" spans="2:17" hidden="1" x14ac:dyDescent="0.2">
      <c r="B306" s="1"/>
      <c r="C306" s="1"/>
      <c r="D306" s="1"/>
      <c r="E306" s="1" t="s">
        <v>274</v>
      </c>
      <c r="F306" s="1"/>
      <c r="G306" s="48" t="s">
        <v>9</v>
      </c>
      <c r="H306" s="84"/>
      <c r="I306" s="1"/>
      <c r="J306" s="62"/>
      <c r="K306" s="108"/>
      <c r="L306" s="40"/>
      <c r="M306" s="68"/>
      <c r="N306" s="91"/>
      <c r="O306" s="89"/>
      <c r="P306" s="89"/>
    </row>
    <row r="307" spans="2:17" hidden="1" x14ac:dyDescent="0.2">
      <c r="B307" s="1"/>
      <c r="C307" s="1"/>
      <c r="D307" s="1" t="str">
        <f>CHOOSE(COUNTA(D$305:D306)+1,"a.","b.","c.","d.","e.")</f>
        <v>a.</v>
      </c>
      <c r="E307" s="1" t="s">
        <v>275</v>
      </c>
      <c r="F307" s="1"/>
      <c r="G307" s="48" t="s">
        <v>9</v>
      </c>
      <c r="H307" s="84"/>
      <c r="I307" s="1"/>
      <c r="J307" s="62"/>
      <c r="K307" s="108"/>
      <c r="L307" s="40"/>
      <c r="M307" s="68"/>
      <c r="N307" s="91"/>
      <c r="O307" s="89"/>
      <c r="P307" s="89"/>
    </row>
    <row r="308" spans="2:17" hidden="1" x14ac:dyDescent="0.2">
      <c r="B308" s="1"/>
      <c r="C308" s="1"/>
      <c r="D308" s="1" t="str">
        <f>CHOOSE(COUNTA(D$305:D307)+1,"a.","b.","c.","d.","e.")</f>
        <v>b.</v>
      </c>
      <c r="E308" s="1" t="s">
        <v>276</v>
      </c>
      <c r="F308" s="1"/>
      <c r="G308" s="48" t="s">
        <v>9</v>
      </c>
      <c r="H308" s="84"/>
      <c r="I308" s="1"/>
      <c r="J308" s="62"/>
      <c r="K308" s="108"/>
      <c r="L308" s="40"/>
      <c r="M308" s="68"/>
      <c r="N308" s="91"/>
      <c r="O308" s="89"/>
      <c r="P308" s="89"/>
    </row>
    <row r="309" spans="2:17" hidden="1" x14ac:dyDescent="0.2">
      <c r="B309" s="88"/>
      <c r="C309" s="88"/>
      <c r="D309" s="88"/>
      <c r="E309" s="88"/>
      <c r="F309" s="88"/>
      <c r="G309" s="88"/>
      <c r="H309" s="93"/>
      <c r="I309" s="88"/>
      <c r="J309" s="62"/>
      <c r="K309" s="108"/>
      <c r="L309" s="40"/>
      <c r="M309" s="68"/>
      <c r="N309" s="91"/>
      <c r="O309" s="89"/>
      <c r="P309" s="89"/>
    </row>
    <row r="310" spans="2:17" x14ac:dyDescent="0.2">
      <c r="B310" s="114">
        <f>MAX(B$272:B309)+1</f>
        <v>9</v>
      </c>
      <c r="C310" s="63" t="s">
        <v>74</v>
      </c>
      <c r="D310" s="1"/>
      <c r="E310" s="275"/>
      <c r="F310" s="275"/>
      <c r="G310" s="48" t="s">
        <v>9</v>
      </c>
      <c r="H310" s="84"/>
      <c r="I310" s="1"/>
      <c r="J310" s="62"/>
      <c r="K310" s="108"/>
      <c r="L310" s="40"/>
      <c r="M310" s="68"/>
      <c r="N310" s="91"/>
      <c r="O310" s="89"/>
      <c r="P310" s="89"/>
    </row>
    <row r="311" spans="2:17" x14ac:dyDescent="0.2">
      <c r="B311" s="88"/>
      <c r="C311" s="88"/>
      <c r="D311" s="88"/>
      <c r="E311" s="88"/>
      <c r="F311" s="88"/>
      <c r="G311" s="88"/>
      <c r="H311" s="93"/>
      <c r="I311" s="88"/>
      <c r="J311" s="62"/>
      <c r="K311" s="108"/>
      <c r="L311" s="40"/>
      <c r="M311" s="68"/>
      <c r="N311" s="91"/>
      <c r="O311" s="89"/>
      <c r="P311" s="89"/>
    </row>
    <row r="312" spans="2:17" x14ac:dyDescent="0.2">
      <c r="B312" s="114">
        <f>MAX(B$272:B311)+1</f>
        <v>10</v>
      </c>
      <c r="C312" s="1" t="s">
        <v>74</v>
      </c>
      <c r="D312" s="1"/>
      <c r="E312" s="275"/>
      <c r="F312" s="275"/>
      <c r="G312" s="48" t="s">
        <v>9</v>
      </c>
      <c r="H312" s="84"/>
      <c r="I312" s="1"/>
      <c r="J312" s="62"/>
      <c r="K312" s="108"/>
      <c r="L312" s="40"/>
      <c r="M312" s="68"/>
      <c r="N312" s="91"/>
      <c r="O312" s="89"/>
      <c r="P312" s="89"/>
    </row>
    <row r="313" spans="2:17" ht="12.75" customHeight="1" x14ac:dyDescent="0.2">
      <c r="B313" s="61"/>
      <c r="C313" s="1"/>
      <c r="D313" s="1"/>
      <c r="E313" s="67"/>
      <c r="F313" s="67"/>
      <c r="G313" s="48"/>
      <c r="H313" s="110"/>
      <c r="I313" s="1"/>
      <c r="J313" s="62"/>
      <c r="K313" s="108"/>
      <c r="L313" s="40"/>
      <c r="M313" s="68"/>
      <c r="N313" s="91"/>
      <c r="O313" s="89"/>
      <c r="P313" s="89"/>
    </row>
    <row r="314" spans="2:17" ht="12.75" customHeight="1" x14ac:dyDescent="0.2">
      <c r="B314" s="114">
        <f>MAX(B$272:B313)+1</f>
        <v>11</v>
      </c>
      <c r="C314" s="1" t="s">
        <v>81</v>
      </c>
      <c r="D314" s="1"/>
      <c r="E314" s="1"/>
      <c r="F314" s="1"/>
      <c r="G314" s="48" t="s">
        <v>9</v>
      </c>
      <c r="H314" s="84"/>
      <c r="I314" s="1"/>
      <c r="J314" s="62"/>
      <c r="K314" s="108"/>
      <c r="L314" s="40"/>
      <c r="M314" s="68"/>
      <c r="N314" s="91"/>
      <c r="O314" s="89"/>
      <c r="P314" s="89"/>
    </row>
    <row r="315" spans="2:17" x14ac:dyDescent="0.2">
      <c r="B315" s="88"/>
      <c r="C315" s="88"/>
      <c r="D315" s="88"/>
      <c r="E315" s="88"/>
      <c r="F315" s="88"/>
      <c r="G315" s="88"/>
      <c r="H315" s="93"/>
      <c r="I315" s="88"/>
      <c r="J315" s="62"/>
      <c r="K315" s="108"/>
      <c r="L315" s="40"/>
      <c r="M315" s="68"/>
      <c r="N315" s="91"/>
      <c r="O315" s="89"/>
      <c r="P315" s="89"/>
    </row>
    <row r="316" spans="2:17" ht="13.5" thickBot="1" x14ac:dyDescent="0.25">
      <c r="B316" s="115">
        <f>MAX(B$272:B315)+1</f>
        <v>12</v>
      </c>
      <c r="C316" s="25" t="s">
        <v>115</v>
      </c>
      <c r="D316" s="1"/>
      <c r="E316" s="1"/>
      <c r="F316" s="1"/>
      <c r="G316" s="48" t="s">
        <v>9</v>
      </c>
      <c r="H316" s="83" t="str">
        <f>IF(SUM(H272:H315)&lt;1,"",SUM(H272:H315))</f>
        <v/>
      </c>
      <c r="I316" s="88"/>
      <c r="J316" s="1"/>
      <c r="K316" s="44"/>
      <c r="L316" s="68"/>
      <c r="M316" s="68"/>
      <c r="N316" s="91"/>
      <c r="O316" s="89"/>
      <c r="P316" s="89"/>
    </row>
    <row r="317" spans="2:17" ht="13.5" thickTop="1" x14ac:dyDescent="0.2">
      <c r="B317" s="88"/>
      <c r="C317" s="88"/>
      <c r="D317" s="88"/>
      <c r="E317" s="88"/>
      <c r="F317" s="88"/>
      <c r="G317" s="88"/>
      <c r="H317" s="92"/>
      <c r="I317" s="88"/>
      <c r="J317" s="88"/>
      <c r="K317" s="91"/>
      <c r="L317" s="68"/>
      <c r="M317" s="68"/>
      <c r="N317" s="91"/>
      <c r="O317" s="89"/>
      <c r="P317" s="89"/>
    </row>
    <row r="318" spans="2:17" x14ac:dyDescent="0.2">
      <c r="B318" s="32" t="s">
        <v>61</v>
      </c>
      <c r="C318" s="25" t="s">
        <v>116</v>
      </c>
      <c r="D318" s="25"/>
      <c r="E318" s="25"/>
      <c r="F318" s="25"/>
      <c r="G318" s="1"/>
      <c r="H318" s="15"/>
      <c r="I318" s="1"/>
      <c r="J318" s="38"/>
      <c r="P318" s="89"/>
    </row>
    <row r="319" spans="2:17" x14ac:dyDescent="0.2">
      <c r="B319" s="32"/>
      <c r="C319" s="25"/>
      <c r="D319" s="28" t="str">
        <f>"(B."&amp;TEXT(B316,"0")&amp;". "&amp;C316&amp;", "</f>
        <v xml:space="preserve">(B.12. Total Construction Sources, </v>
      </c>
      <c r="E319" s="25"/>
      <c r="F319" s="25"/>
      <c r="G319" s="1"/>
      <c r="H319" s="15"/>
      <c r="I319" s="1"/>
      <c r="J319" s="38"/>
      <c r="P319" s="129" t="str">
        <f ca="1">IF(N(H320)&lt;0,"**","")</f>
        <v/>
      </c>
    </row>
    <row r="320" spans="2:17" ht="13.5" thickBot="1" x14ac:dyDescent="0.25">
      <c r="B320" s="25"/>
      <c r="C320" s="88"/>
      <c r="D320" s="28" t="str">
        <f>" less "&amp;B269&amp;" "&amp;C269&amp;"):"</f>
        <v xml:space="preserve"> less A. Total Development Costs):</v>
      </c>
      <c r="E320" s="25"/>
      <c r="F320" s="25"/>
      <c r="G320" s="32" t="s">
        <v>9</v>
      </c>
      <c r="H320" s="83" t="str">
        <f ca="1">IF(AND(N(H316)=0,N(H269)=0),"",N(H316)-N(H269))</f>
        <v/>
      </c>
      <c r="I320" s="1"/>
      <c r="J320" s="38" t="s">
        <v>98</v>
      </c>
      <c r="K320" s="68"/>
      <c r="L320" s="68"/>
      <c r="M320" s="68"/>
      <c r="N320" s="91"/>
      <c r="O320" s="89"/>
      <c r="P320" s="89"/>
      <c r="Q320" s="90" t="str">
        <f ca="1">IF(N(H320)=0,"Construction Funding Sources are equal to Total Development Costs.",IF(N(H320)&lt;0,"There is a shortfall in Construction Funding Sources which must be corrected.","There is a surplus of Construction Funding Sources which is permitted at time of Application."))</f>
        <v>Construction Funding Sources are equal to Total Development Costs.</v>
      </c>
    </row>
    <row r="321" spans="1:26" ht="13.5" thickTop="1" x14ac:dyDescent="0.2">
      <c r="B321" s="88"/>
      <c r="C321" s="88"/>
      <c r="D321" s="88"/>
      <c r="E321" s="88"/>
      <c r="F321" s="88"/>
      <c r="G321" s="88"/>
      <c r="H321" s="88"/>
      <c r="I321" s="88"/>
      <c r="J321" s="88"/>
      <c r="K321" s="91"/>
      <c r="L321" s="91"/>
      <c r="M321" s="91"/>
      <c r="N321" s="91"/>
      <c r="O321" s="89"/>
      <c r="P321" s="89"/>
    </row>
    <row r="322" spans="1:26" ht="13.5" thickBot="1" x14ac:dyDescent="0.25">
      <c r="B322" s="25" t="s">
        <v>97</v>
      </c>
      <c r="C322" s="88"/>
      <c r="D322" s="1"/>
      <c r="E322" s="1"/>
      <c r="F322" s="1"/>
      <c r="G322" s="1"/>
      <c r="H322" s="1"/>
      <c r="I322" s="1"/>
      <c r="J322" s="1"/>
      <c r="K322" s="68"/>
      <c r="L322" s="68"/>
      <c r="M322" s="68"/>
      <c r="N322" s="91"/>
      <c r="O322" s="89"/>
      <c r="P322" s="89"/>
    </row>
    <row r="323" spans="1:26" ht="3.75" customHeight="1" x14ac:dyDescent="0.2">
      <c r="A323" s="87"/>
      <c r="B323" s="64"/>
      <c r="C323" s="64"/>
      <c r="D323" s="65"/>
      <c r="E323" s="65"/>
      <c r="F323" s="65"/>
      <c r="G323" s="65"/>
      <c r="H323" s="65"/>
      <c r="I323" s="65"/>
      <c r="J323" s="65"/>
      <c r="K323" s="80"/>
      <c r="L323" s="81"/>
      <c r="M323" s="80"/>
      <c r="N323" s="95"/>
      <c r="O323" s="96"/>
      <c r="P323" s="96"/>
      <c r="Q323" s="286" t="s">
        <v>318</v>
      </c>
      <c r="R323" s="287"/>
      <c r="S323" s="287"/>
      <c r="T323" s="287"/>
      <c r="U323" s="287"/>
      <c r="V323" s="287"/>
      <c r="W323" s="287"/>
      <c r="X323" s="287"/>
      <c r="Y323" s="287"/>
      <c r="Z323" s="288"/>
    </row>
    <row r="324" spans="1:26" x14ac:dyDescent="0.2">
      <c r="B324" s="66" t="str">
        <f>B$2</f>
        <v>RFA 2019-109 DEVELOPMENT COST PRO FORMA</v>
      </c>
      <c r="C324" s="88"/>
      <c r="D324" s="88"/>
      <c r="E324" s="88"/>
      <c r="F324" s="88"/>
      <c r="G324" s="88"/>
      <c r="H324" s="88"/>
      <c r="I324" s="88"/>
      <c r="J324" s="88"/>
      <c r="K324" s="91"/>
      <c r="L324" s="91"/>
      <c r="M324" s="91"/>
      <c r="N324" s="91"/>
      <c r="O324" s="89"/>
      <c r="P324" s="3" t="s">
        <v>348</v>
      </c>
      <c r="Q324" s="289"/>
      <c r="R324" s="290"/>
      <c r="S324" s="290"/>
      <c r="T324" s="290"/>
      <c r="U324" s="290"/>
      <c r="V324" s="290"/>
      <c r="W324" s="290"/>
      <c r="X324" s="290"/>
      <c r="Y324" s="290"/>
      <c r="Z324" s="291"/>
    </row>
    <row r="325" spans="1:26" x14ac:dyDescent="0.2">
      <c r="B325" s="35"/>
      <c r="C325" s="35"/>
      <c r="D325" s="35"/>
      <c r="E325" s="35"/>
      <c r="F325" s="35"/>
      <c r="G325" s="35"/>
      <c r="H325" s="35"/>
      <c r="I325" s="35"/>
      <c r="J325" s="35"/>
      <c r="K325" s="72"/>
      <c r="L325" s="82"/>
      <c r="M325" s="72"/>
      <c r="N325" s="91"/>
      <c r="O325" s="89"/>
      <c r="P325" s="89"/>
      <c r="Q325" s="289"/>
      <c r="R325" s="290"/>
      <c r="S325" s="290"/>
      <c r="T325" s="290"/>
      <c r="U325" s="290"/>
      <c r="V325" s="290"/>
      <c r="W325" s="290"/>
      <c r="X325" s="290"/>
      <c r="Y325" s="290"/>
      <c r="Z325" s="291"/>
    </row>
    <row r="326" spans="1:26" ht="13.5" thickBot="1" x14ac:dyDescent="0.25">
      <c r="B326" s="35"/>
      <c r="C326" s="35"/>
      <c r="D326" s="35"/>
      <c r="E326" s="35"/>
      <c r="F326" s="35"/>
      <c r="G326" s="35"/>
      <c r="H326" s="35"/>
      <c r="I326" s="35"/>
      <c r="J326" s="35"/>
      <c r="K326" s="72"/>
      <c r="L326" s="82"/>
      <c r="M326" s="72"/>
      <c r="N326" s="91"/>
      <c r="O326" s="89"/>
      <c r="P326" s="89"/>
      <c r="Q326" s="292"/>
      <c r="R326" s="293"/>
      <c r="S326" s="293"/>
      <c r="T326" s="293"/>
      <c r="U326" s="293"/>
      <c r="V326" s="293"/>
      <c r="W326" s="293"/>
      <c r="X326" s="293"/>
      <c r="Y326" s="293"/>
      <c r="Z326" s="294"/>
    </row>
    <row r="327" spans="1:26" x14ac:dyDescent="0.2">
      <c r="B327" s="25" t="s">
        <v>86</v>
      </c>
      <c r="C327" s="1"/>
      <c r="D327" s="1"/>
      <c r="E327" s="1"/>
      <c r="F327" s="1"/>
      <c r="G327" s="1"/>
      <c r="H327" s="1"/>
      <c r="I327" s="1"/>
      <c r="J327" s="1"/>
      <c r="K327" s="79"/>
      <c r="L327" s="72"/>
      <c r="M327" s="72"/>
      <c r="N327" s="91"/>
      <c r="O327" s="89"/>
      <c r="P327" s="89"/>
    </row>
    <row r="328" spans="1:26" x14ac:dyDescent="0.2">
      <c r="B328" s="25"/>
      <c r="C328" s="1"/>
      <c r="D328" s="1"/>
      <c r="E328" s="1"/>
      <c r="F328" s="1"/>
      <c r="G328" s="1"/>
      <c r="H328" s="59" t="s">
        <v>76</v>
      </c>
      <c r="I328" s="59"/>
      <c r="J328" s="1"/>
      <c r="K328" s="79"/>
      <c r="L328" s="72"/>
      <c r="M328" s="72"/>
      <c r="N328" s="91"/>
      <c r="O328" s="89"/>
      <c r="P328" s="89"/>
      <c r="Q328" s="186"/>
      <c r="R328" s="134"/>
    </row>
    <row r="329" spans="1:26" x14ac:dyDescent="0.2">
      <c r="B329" s="1"/>
      <c r="C329" s="1"/>
      <c r="D329" s="1"/>
      <c r="E329" s="1"/>
      <c r="F329" s="1"/>
      <c r="G329" s="1"/>
      <c r="H329" s="1"/>
      <c r="I329" s="1"/>
      <c r="J329" s="1"/>
      <c r="K329" s="68"/>
      <c r="L329" s="68"/>
      <c r="M329" s="68"/>
      <c r="N329" s="91"/>
      <c r="O329" s="89"/>
      <c r="P329" s="89"/>
      <c r="Q329" s="187"/>
      <c r="R329" s="134"/>
    </row>
    <row r="330" spans="1:26" x14ac:dyDescent="0.2">
      <c r="B330" s="32" t="s">
        <v>89</v>
      </c>
      <c r="C330" s="25" t="s">
        <v>88</v>
      </c>
      <c r="D330" s="1"/>
      <c r="E330" s="1"/>
      <c r="F330" s="1"/>
      <c r="G330" s="32" t="s">
        <v>9</v>
      </c>
      <c r="H330" s="69" t="str">
        <f ca="1">IF(N195="","",N195)</f>
        <v/>
      </c>
      <c r="I330" s="1"/>
      <c r="J330" s="1"/>
      <c r="K330" s="68"/>
      <c r="L330" s="68"/>
      <c r="M330" s="68"/>
      <c r="N330" s="91"/>
      <c r="O330" s="89"/>
      <c r="P330" s="89"/>
      <c r="Q330" s="188"/>
      <c r="R330" s="134"/>
    </row>
    <row r="331" spans="1:26" x14ac:dyDescent="0.2">
      <c r="B331" s="1"/>
      <c r="C331" s="1"/>
      <c r="D331" s="1"/>
      <c r="E331" s="1"/>
      <c r="F331" s="1"/>
      <c r="G331" s="1"/>
      <c r="H331" s="7"/>
      <c r="I331" s="1"/>
      <c r="J331" s="1"/>
      <c r="K331" s="68"/>
      <c r="L331" s="68"/>
      <c r="M331" s="68"/>
      <c r="N331" s="91"/>
      <c r="O331" s="89"/>
      <c r="P331" s="89"/>
      <c r="Q331" s="134"/>
      <c r="R331" s="134"/>
    </row>
    <row r="332" spans="1:26" x14ac:dyDescent="0.2">
      <c r="B332" s="32" t="s">
        <v>87</v>
      </c>
      <c r="C332" s="25" t="s">
        <v>90</v>
      </c>
      <c r="D332" s="1"/>
      <c r="E332" s="1"/>
      <c r="F332" s="1"/>
      <c r="G332" s="1"/>
      <c r="H332" s="7"/>
      <c r="I332" s="1"/>
      <c r="J332" s="1"/>
      <c r="K332" s="68"/>
      <c r="L332" s="68"/>
      <c r="M332" s="68"/>
      <c r="N332" s="91"/>
      <c r="O332" s="89"/>
      <c r="P332" s="89"/>
      <c r="Q332" s="240" t="s">
        <v>332</v>
      </c>
      <c r="R332" s="189"/>
    </row>
    <row r="333" spans="1:26" ht="12.75" hidden="1" customHeight="1" x14ac:dyDescent="0.2">
      <c r="B333" s="1"/>
      <c r="C333" s="1"/>
      <c r="D333" s="1"/>
      <c r="E333" s="1"/>
      <c r="F333" s="1"/>
      <c r="G333" s="48"/>
      <c r="H333" s="18"/>
      <c r="I333" s="1"/>
      <c r="J333" s="1"/>
      <c r="K333" s="68"/>
      <c r="L333" s="68"/>
      <c r="M333" s="68"/>
      <c r="N333" s="91"/>
      <c r="O333" s="89"/>
      <c r="P333" s="89"/>
      <c r="Q333" s="303">
        <f>Q272</f>
        <v>70000</v>
      </c>
      <c r="R333" s="303"/>
      <c r="S333" s="196" t="str">
        <f>IF(N(K$33)=0,"Please enter total units on row 33.",IF(N(H334)=0,"Maximum allowed is "&amp;TEXT($Q333,"$#,##0")&amp;" per Unit; or a total of "&amp;TEXT(N(K$33)*N($Q333),"$#,##0")&amp;", plus the ELI Loan Request Amount.","The SAIL Loan Request entered is equal to "&amp;TEXT(N(H334)/N(K$33),"$#,##0.00")&amp;" per Unit, which is "&amp;IF(N(H334)/N(K$33)&gt;N($Q333),"greater than allowed per the RFA.","within the per Set-Aside unit limitation.")))</f>
        <v>Please enter total units on row 33.</v>
      </c>
    </row>
    <row r="334" spans="1:26" hidden="1" x14ac:dyDescent="0.2">
      <c r="B334" s="114"/>
      <c r="C334" s="1" t="str">
        <f>C273</f>
        <v>SAIL Loan Request Amount</v>
      </c>
      <c r="D334" s="1"/>
      <c r="E334" s="1"/>
      <c r="F334" s="1"/>
      <c r="G334" s="48" t="s">
        <v>9</v>
      </c>
      <c r="H334" s="85"/>
      <c r="I334" s="1"/>
      <c r="J334" s="1"/>
      <c r="K334" s="162"/>
      <c r="L334" s="68"/>
      <c r="M334" s="68"/>
      <c r="N334" s="91"/>
      <c r="O334" s="89"/>
      <c r="P334" s="129" t="str">
        <f>IF(Q333="TBD","",IF(OR(H334+H336*0&gt;Q333*N(K$33),H334+H336&gt;Q334),"**",""))</f>
        <v/>
      </c>
      <c r="Q334" s="301">
        <f>Q273</f>
        <v>5515000</v>
      </c>
      <c r="R334" s="301"/>
      <c r="S334" s="197" t="str">
        <f>IF(N(H334)=0,"Maximum allowed is "&amp;TEXT($Q$273,"$#,##0")&amp;" per Development.","The SAIL Loan Request entered is "&amp;IF(N(H334)&gt;$Q$273,"greater than allowed per the RFA.","within the per Development limitation."))</f>
        <v>Maximum allowed is $5,515,000 per Development.</v>
      </c>
    </row>
    <row r="335" spans="1:26" hidden="1" x14ac:dyDescent="0.2">
      <c r="B335" s="1"/>
      <c r="C335" s="1"/>
      <c r="D335" s="1"/>
      <c r="E335" s="1"/>
      <c r="F335" s="1"/>
      <c r="G335" s="48"/>
      <c r="H335" s="116"/>
      <c r="I335" s="1"/>
      <c r="J335" s="1"/>
      <c r="K335" s="44"/>
      <c r="L335" s="68"/>
      <c r="M335" s="68"/>
      <c r="N335" s="91"/>
      <c r="O335" s="89"/>
      <c r="P335" s="89"/>
      <c r="Q335" s="302">
        <f ca="1">Q274</f>
        <v>0</v>
      </c>
      <c r="R335" s="302"/>
      <c r="S335" s="239" t="str">
        <f ca="1">IF(N(H334)=0,"Maximum allowed is 35% of Total Development Costs, or "&amp;TEXT(ROUNDDOWN(N(H$269)*35%,2),"$#,##0.00")&amp;".","The total of the SAIL Loan Request and the ELI Loan Request entered "&amp;IF(N(H334)+N(H336)&lt;=ROUNDDOWN(N(H$269)*35%,2),"is within","EXCEEDS")&amp;" the % of TDC limitation.")</f>
        <v>Maximum allowed is 35% of Total Development Costs, or $0.00.</v>
      </c>
    </row>
    <row r="336" spans="1:26" hidden="1" x14ac:dyDescent="0.2">
      <c r="B336" s="114"/>
      <c r="C336" s="1" t="str">
        <f>C275</f>
        <v>ELI Loan Request Amount</v>
      </c>
      <c r="D336" s="1"/>
      <c r="E336" s="1"/>
      <c r="F336" s="1"/>
      <c r="G336" s="48" t="s">
        <v>9</v>
      </c>
      <c r="H336" s="85"/>
      <c r="I336" s="1"/>
      <c r="J336" s="1"/>
      <c r="K336" s="162"/>
      <c r="L336" s="68"/>
      <c r="M336" s="68"/>
      <c r="N336" s="91"/>
      <c r="O336" s="89"/>
      <c r="P336" s="129" t="str">
        <f ca="1">IF(Q333="TBD","",IF(OR(N(H334)+N(H336)*0&gt;Q333*N(K$33),N(H334)+N(H336)&gt;Q334,N(H334)+N(H336)&gt;ROUNDDOWN(35%*N(H330),2),N(H336)&gt;Q336),"**",""))</f>
        <v/>
      </c>
      <c r="Q336" s="301">
        <f>Q275</f>
        <v>600000</v>
      </c>
      <c r="R336" s="301"/>
      <c r="S336" s="174" t="s">
        <v>398</v>
      </c>
      <c r="T336" s="174"/>
      <c r="U336" s="174"/>
      <c r="V336" s="174"/>
      <c r="W336" s="174"/>
    </row>
    <row r="337" spans="2:22" x14ac:dyDescent="0.2">
      <c r="B337" s="1"/>
      <c r="C337" s="1"/>
      <c r="D337" s="1"/>
      <c r="E337" s="1"/>
      <c r="F337" s="1"/>
      <c r="G337" s="48"/>
      <c r="H337" s="116"/>
      <c r="I337" s="1"/>
      <c r="J337" s="1"/>
      <c r="K337" s="44"/>
      <c r="L337" s="68"/>
      <c r="M337" s="68"/>
      <c r="N337" s="91"/>
      <c r="O337" s="89"/>
      <c r="P337" s="89"/>
    </row>
    <row r="338" spans="2:22" x14ac:dyDescent="0.2">
      <c r="B338" s="114">
        <f>MAX(B$333:B337)+1</f>
        <v>1</v>
      </c>
      <c r="C338" s="1" t="str">
        <f>C277</f>
        <v>MMRB Request Amount</v>
      </c>
      <c r="D338" s="1"/>
      <c r="E338" s="1"/>
      <c r="F338" s="1"/>
      <c r="G338" s="48" t="s">
        <v>9</v>
      </c>
      <c r="H338" s="84"/>
      <c r="I338" s="1"/>
      <c r="J338" s="1"/>
      <c r="K338" s="162"/>
      <c r="L338" s="68"/>
      <c r="M338" s="68"/>
      <c r="N338" s="91"/>
      <c r="O338" s="89"/>
      <c r="P338" s="89"/>
    </row>
    <row r="339" spans="2:22" x14ac:dyDescent="0.2">
      <c r="B339" s="68"/>
      <c r="C339" s="68"/>
      <c r="D339" s="68"/>
      <c r="E339" s="68"/>
      <c r="F339" s="68"/>
      <c r="G339" s="171"/>
      <c r="H339" s="116"/>
      <c r="I339" s="68"/>
      <c r="J339" s="68"/>
      <c r="K339" s="44"/>
      <c r="L339" s="68"/>
      <c r="M339" s="68"/>
      <c r="N339" s="91"/>
      <c r="O339" s="172"/>
      <c r="P339" s="172"/>
    </row>
    <row r="340" spans="2:22" ht="12.75" customHeight="1" x14ac:dyDescent="0.2">
      <c r="B340" s="114">
        <f>MAX(B$333:B339)+1</f>
        <v>2</v>
      </c>
      <c r="C340" s="68" t="str">
        <f>C279</f>
        <v>HOME Request Amount</v>
      </c>
      <c r="D340" s="68"/>
      <c r="E340" s="68"/>
      <c r="F340" s="68"/>
      <c r="G340" s="171" t="s">
        <v>9</v>
      </c>
      <c r="H340" s="85"/>
      <c r="I340" s="68"/>
      <c r="J340" s="44"/>
      <c r="K340" s="162"/>
      <c r="L340" s="44"/>
      <c r="M340" s="44"/>
      <c r="N340" s="91"/>
      <c r="O340" s="172"/>
      <c r="P340" s="172"/>
      <c r="Q340" s="174"/>
      <c r="R340" s="174"/>
      <c r="S340" s="174"/>
      <c r="T340" s="174"/>
      <c r="U340" s="174"/>
      <c r="V340" s="174"/>
    </row>
    <row r="341" spans="2:22" ht="12.75" hidden="1" customHeight="1" x14ac:dyDescent="0.2">
      <c r="B341" s="68"/>
      <c r="C341" s="68"/>
      <c r="D341" s="68"/>
      <c r="E341" s="68"/>
      <c r="F341" s="68"/>
      <c r="G341" s="171"/>
      <c r="H341" s="116"/>
      <c r="I341" s="68"/>
      <c r="J341" s="68"/>
      <c r="K341" s="44"/>
      <c r="L341" s="68"/>
      <c r="M341" s="68"/>
      <c r="N341" s="91"/>
      <c r="O341" s="172"/>
      <c r="P341" s="172"/>
      <c r="Q341" s="181" t="s">
        <v>310</v>
      </c>
      <c r="R341" s="174"/>
      <c r="S341" s="174"/>
      <c r="T341" s="174"/>
      <c r="U341" s="174"/>
      <c r="V341" s="174"/>
    </row>
    <row r="342" spans="2:22" ht="12.75" hidden="1" customHeight="1" x14ac:dyDescent="0.2">
      <c r="B342" s="175"/>
      <c r="C342" s="68" t="str">
        <f>C281</f>
        <v>NHTF Request Amount</v>
      </c>
      <c r="D342" s="68"/>
      <c r="E342" s="68"/>
      <c r="F342" s="68"/>
      <c r="G342" s="171" t="s">
        <v>9</v>
      </c>
      <c r="H342" s="85"/>
      <c r="I342" s="68"/>
      <c r="J342" s="68"/>
      <c r="K342" s="162"/>
      <c r="L342" s="68"/>
      <c r="M342" s="68"/>
      <c r="N342" s="91"/>
      <c r="O342" s="172"/>
      <c r="P342" s="176" t="str">
        <f>IF(H342&gt;N(Q343),"**","")</f>
        <v/>
      </c>
      <c r="Q342" s="177" t="str">
        <f>Q281</f>
        <v/>
      </c>
      <c r="R342" s="174" t="s">
        <v>317</v>
      </c>
      <c r="S342" s="174"/>
      <c r="T342" s="174"/>
      <c r="U342" s="174"/>
      <c r="V342" s="174"/>
    </row>
    <row r="343" spans="2:22" hidden="1" x14ac:dyDescent="0.2">
      <c r="B343" s="68"/>
      <c r="C343" s="68"/>
      <c r="D343" s="68"/>
      <c r="E343" s="68"/>
      <c r="F343" s="68"/>
      <c r="G343" s="171"/>
      <c r="H343" s="116"/>
      <c r="I343" s="68"/>
      <c r="J343" s="68"/>
      <c r="K343" s="68"/>
      <c r="L343" s="68"/>
      <c r="M343" s="68"/>
      <c r="N343" s="91"/>
      <c r="O343" s="172"/>
      <c r="P343" s="172"/>
      <c r="Q343" s="178" t="str">
        <f>IF(ISERROR(VLOOKUP(K$388,E$496:F$566,2)),"",IF(VLOOKUP(K$388,E$496:F$566,2)="Large",6,IF(VLOOKUP(K$388,E$496:F$566,2)="Medium",4,0)*VLOOKUP(K$388,E$496:H$566,4)))</f>
        <v/>
      </c>
      <c r="R343" s="174" t="str">
        <f>IF(ISERROR(VLOOKUP(K$388,E$496:F$566,2)),"(Please select a county from the drop-down menu within the TDC PU Limitation Analysis section below)",IF(OR(VLOOKUP(K$388,E$496:F$566,2)="Small",Q342&lt;&gt;"Yes",K$32=F$488,K$32=F$491,K$32=F$492),"(The Proposed Development does not qualify for NHTF Funding)","The maximum NHTF Funding Request Amount"))&amp;IF(P342="**"," (The NHTF Request Amount exceeds the maximum limit)","")</f>
        <v>(Please select a county from the drop-down menu within the TDC PU Limitation Analysis section below)</v>
      </c>
      <c r="S343" s="174"/>
      <c r="T343" s="174"/>
      <c r="U343" s="174"/>
      <c r="V343" s="174"/>
    </row>
    <row r="344" spans="2:22" hidden="1" x14ac:dyDescent="0.2">
      <c r="B344" s="114"/>
      <c r="C344" s="90" t="s">
        <v>382</v>
      </c>
      <c r="G344" s="48" t="s">
        <v>9</v>
      </c>
      <c r="H344" s="85"/>
      <c r="I344" s="1"/>
      <c r="J344" s="38"/>
      <c r="K344" s="45"/>
      <c r="L344" s="40"/>
      <c r="M344" s="45"/>
      <c r="N344" s="91"/>
      <c r="O344" s="89"/>
      <c r="P344" s="89"/>
    </row>
    <row r="345" spans="2:22" hidden="1" x14ac:dyDescent="0.2">
      <c r="B345" s="114"/>
      <c r="C345" s="1"/>
      <c r="D345" s="1"/>
      <c r="E345" s="1"/>
      <c r="F345" s="1"/>
      <c r="G345" s="48"/>
      <c r="H345" s="116"/>
      <c r="I345" s="1"/>
      <c r="J345" s="38"/>
      <c r="K345" s="45"/>
      <c r="L345" s="40"/>
      <c r="M345" s="45"/>
      <c r="N345" s="91"/>
      <c r="O345" s="89"/>
      <c r="P345" s="89"/>
    </row>
    <row r="346" spans="2:22" hidden="1" x14ac:dyDescent="0.2">
      <c r="B346" s="114"/>
      <c r="C346" s="1" t="str">
        <f>C285</f>
        <v>Viability Loan Request Amount</v>
      </c>
      <c r="D346" s="1"/>
      <c r="E346" s="1"/>
      <c r="F346" s="1"/>
      <c r="G346" s="48" t="s">
        <v>9</v>
      </c>
      <c r="H346" s="85"/>
      <c r="I346" s="1"/>
      <c r="J346" s="38"/>
      <c r="K346" s="45"/>
      <c r="L346" s="40"/>
      <c r="M346" s="45"/>
      <c r="N346" s="91"/>
      <c r="O346" s="89"/>
      <c r="P346" s="89"/>
    </row>
    <row r="347" spans="2:22" x14ac:dyDescent="0.2">
      <c r="B347" s="1"/>
      <c r="C347" s="1"/>
      <c r="D347" s="1"/>
      <c r="E347" s="1"/>
      <c r="F347" s="1"/>
      <c r="G347" s="48"/>
      <c r="H347" s="18"/>
      <c r="I347" s="1"/>
      <c r="J347" s="1"/>
      <c r="K347" s="68"/>
      <c r="L347" s="68"/>
      <c r="M347" s="68"/>
      <c r="N347" s="91"/>
      <c r="O347" s="89"/>
      <c r="P347" s="89"/>
    </row>
    <row r="348" spans="2:22" x14ac:dyDescent="0.2">
      <c r="B348" s="114">
        <f>MAX(B$333:B347)+1</f>
        <v>3</v>
      </c>
      <c r="C348" s="1" t="s">
        <v>117</v>
      </c>
      <c r="D348" s="1"/>
      <c r="E348" s="1"/>
      <c r="F348" s="1"/>
      <c r="G348" s="48" t="s">
        <v>9</v>
      </c>
      <c r="H348" s="85"/>
      <c r="I348" s="1"/>
      <c r="J348" s="62"/>
      <c r="K348" s="108"/>
      <c r="L348" s="40"/>
      <c r="M348" s="68"/>
      <c r="N348" s="91"/>
      <c r="O348" s="89"/>
      <c r="P348" s="89"/>
    </row>
    <row r="349" spans="2:22" x14ac:dyDescent="0.2">
      <c r="B349" s="1"/>
      <c r="C349" s="1"/>
      <c r="D349" s="1"/>
      <c r="E349" s="1"/>
      <c r="F349" s="1"/>
      <c r="G349" s="48"/>
      <c r="H349" s="18"/>
      <c r="I349" s="1"/>
      <c r="J349" s="62"/>
      <c r="K349" s="108"/>
      <c r="L349" s="40"/>
      <c r="M349" s="68"/>
      <c r="N349" s="91"/>
      <c r="O349" s="89"/>
      <c r="P349" s="89"/>
    </row>
    <row r="350" spans="2:22" x14ac:dyDescent="0.2">
      <c r="B350" s="114">
        <f>MAX(B$333:B349)+1</f>
        <v>4</v>
      </c>
      <c r="C350" s="1" t="s">
        <v>78</v>
      </c>
      <c r="D350" s="1"/>
      <c r="E350" s="1"/>
      <c r="F350" s="1"/>
      <c r="G350" s="48" t="s">
        <v>9</v>
      </c>
      <c r="H350" s="84"/>
      <c r="I350" s="1"/>
      <c r="J350" s="62"/>
      <c r="K350" s="108"/>
      <c r="L350" s="40"/>
      <c r="M350" s="68"/>
      <c r="N350" s="91"/>
      <c r="O350" s="89"/>
      <c r="P350" s="89"/>
    </row>
    <row r="351" spans="2:22" x14ac:dyDescent="0.2">
      <c r="B351" s="1"/>
      <c r="C351" s="1"/>
      <c r="D351" s="1"/>
      <c r="E351" s="1"/>
      <c r="F351" s="1"/>
      <c r="G351" s="1"/>
      <c r="H351" s="109"/>
      <c r="I351" s="1"/>
      <c r="J351" s="62"/>
      <c r="K351" s="108"/>
      <c r="L351" s="40"/>
      <c r="M351" s="68"/>
      <c r="N351" s="91"/>
      <c r="O351" s="89"/>
      <c r="P351" s="89"/>
    </row>
    <row r="352" spans="2:22" x14ac:dyDescent="0.2">
      <c r="B352" s="114">
        <f>MAX(B$333:B351)+1</f>
        <v>5</v>
      </c>
      <c r="C352" s="1" t="s">
        <v>79</v>
      </c>
      <c r="D352" s="1"/>
      <c r="E352" s="1"/>
      <c r="F352" s="1"/>
      <c r="G352" s="48" t="s">
        <v>9</v>
      </c>
      <c r="H352" s="84"/>
      <c r="I352" s="1"/>
      <c r="J352" s="62"/>
      <c r="K352" s="108"/>
      <c r="L352" s="40"/>
      <c r="M352" s="68"/>
      <c r="N352" s="91"/>
      <c r="O352" s="89"/>
      <c r="P352" s="89"/>
    </row>
    <row r="353" spans="2:16" x14ac:dyDescent="0.2">
      <c r="B353" s="1"/>
      <c r="C353" s="1"/>
      <c r="D353" s="1"/>
      <c r="E353" s="1"/>
      <c r="F353" s="1"/>
      <c r="G353" s="1"/>
      <c r="H353" s="109"/>
      <c r="I353" s="1"/>
      <c r="J353" s="62"/>
      <c r="K353" s="108"/>
      <c r="L353" s="40"/>
      <c r="M353" s="68"/>
      <c r="N353" s="91"/>
      <c r="O353" s="89"/>
      <c r="P353" s="89"/>
    </row>
    <row r="354" spans="2:16" x14ac:dyDescent="0.2">
      <c r="B354" s="114">
        <f>MAX(B$333:B353)+1</f>
        <v>6</v>
      </c>
      <c r="C354" s="1" t="s">
        <v>80</v>
      </c>
      <c r="D354" s="1"/>
      <c r="E354" s="1"/>
      <c r="F354" s="1"/>
      <c r="G354" s="48" t="s">
        <v>9</v>
      </c>
      <c r="H354" s="84"/>
      <c r="I354" s="1"/>
      <c r="J354" s="62"/>
      <c r="K354" s="108"/>
      <c r="L354" s="40"/>
      <c r="M354" s="68"/>
      <c r="N354" s="91"/>
      <c r="O354" s="89"/>
      <c r="P354" s="89"/>
    </row>
    <row r="355" spans="2:16" x14ac:dyDescent="0.2">
      <c r="B355" s="1"/>
      <c r="C355" s="1"/>
      <c r="D355" s="1"/>
      <c r="E355" s="1"/>
      <c r="F355" s="1"/>
      <c r="G355" s="1"/>
      <c r="H355" s="7"/>
      <c r="I355" s="1"/>
      <c r="J355" s="62"/>
      <c r="K355" s="108"/>
      <c r="L355" s="40"/>
      <c r="M355" s="68"/>
      <c r="N355" s="91"/>
      <c r="O355" s="89"/>
      <c r="P355" s="89"/>
    </row>
    <row r="356" spans="2:16" x14ac:dyDescent="0.2">
      <c r="B356" s="114">
        <f>MAX(B$333:B355)+1</f>
        <v>7</v>
      </c>
      <c r="C356" s="1" t="s">
        <v>82</v>
      </c>
      <c r="D356" s="1"/>
      <c r="E356" s="1"/>
      <c r="F356" s="1"/>
      <c r="G356" s="48" t="s">
        <v>9</v>
      </c>
      <c r="H356" s="84"/>
      <c r="I356" s="1"/>
      <c r="J356" s="62"/>
      <c r="K356" s="108"/>
      <c r="L356" s="40"/>
      <c r="M356" s="68"/>
      <c r="N356" s="91"/>
      <c r="O356" s="89"/>
      <c r="P356" s="89"/>
    </row>
    <row r="357" spans="2:16" hidden="1" x14ac:dyDescent="0.2">
      <c r="B357" s="1"/>
      <c r="C357" s="1"/>
      <c r="D357" s="1"/>
      <c r="E357" s="1"/>
      <c r="F357" s="1"/>
      <c r="G357" s="1"/>
      <c r="H357" s="109"/>
      <c r="I357" s="1"/>
      <c r="J357" s="62"/>
      <c r="K357" s="108"/>
      <c r="L357" s="40"/>
      <c r="M357" s="68"/>
      <c r="N357" s="91"/>
      <c r="O357" s="89"/>
      <c r="P357" s="89"/>
    </row>
    <row r="358" spans="2:16" hidden="1" x14ac:dyDescent="0.2">
      <c r="B358" s="114"/>
      <c r="C358" s="1" t="s">
        <v>83</v>
      </c>
      <c r="D358" s="1"/>
      <c r="E358" s="1"/>
      <c r="F358" s="1"/>
      <c r="G358" s="48"/>
      <c r="H358" s="107"/>
      <c r="I358" s="1"/>
      <c r="J358" s="62"/>
      <c r="K358" s="108"/>
      <c r="L358" s="40"/>
      <c r="M358" s="68"/>
      <c r="N358" s="91"/>
      <c r="O358" s="89"/>
      <c r="P358" s="89"/>
    </row>
    <row r="359" spans="2:16" ht="13.15" hidden="1" customHeight="1" x14ac:dyDescent="0.2">
      <c r="B359" s="1"/>
      <c r="C359" s="1"/>
      <c r="D359" s="1"/>
      <c r="E359" s="1" t="s">
        <v>274</v>
      </c>
      <c r="F359" s="1"/>
      <c r="G359" s="48" t="s">
        <v>9</v>
      </c>
      <c r="H359" s="84"/>
      <c r="I359" s="1"/>
      <c r="J359" s="62"/>
      <c r="K359" s="108"/>
      <c r="L359" s="40"/>
      <c r="M359" s="68"/>
      <c r="N359" s="91"/>
      <c r="O359" s="89"/>
      <c r="P359" s="89"/>
    </row>
    <row r="360" spans="2:16" ht="13.15" hidden="1" customHeight="1" x14ac:dyDescent="0.2">
      <c r="B360" s="1"/>
      <c r="C360" s="1"/>
      <c r="D360" s="1" t="str">
        <f>CHOOSE(COUNTA(D$358:D359)+1,"a.","b.","c.","d.","e.")</f>
        <v>a.</v>
      </c>
      <c r="E360" s="1" t="s">
        <v>275</v>
      </c>
      <c r="F360" s="1"/>
      <c r="G360" s="48" t="s">
        <v>9</v>
      </c>
      <c r="H360" s="84"/>
      <c r="I360" s="1"/>
      <c r="J360" s="62"/>
      <c r="K360" s="108"/>
      <c r="L360" s="40"/>
      <c r="M360" s="68"/>
      <c r="N360" s="91"/>
      <c r="O360" s="89"/>
      <c r="P360" s="89"/>
    </row>
    <row r="361" spans="2:16" ht="13.15" hidden="1" customHeight="1" x14ac:dyDescent="0.2">
      <c r="B361" s="1"/>
      <c r="C361" s="1"/>
      <c r="D361" s="1" t="str">
        <f>CHOOSE(COUNTA(D$358:D360)+1,"a.","b.","c.","d.","e.")</f>
        <v>b.</v>
      </c>
      <c r="E361" s="1" t="s">
        <v>276</v>
      </c>
      <c r="F361" s="1"/>
      <c r="G361" s="48" t="s">
        <v>9</v>
      </c>
      <c r="H361" s="84"/>
      <c r="I361" s="1"/>
      <c r="J361" s="62"/>
      <c r="K361" s="108"/>
      <c r="L361" s="40"/>
      <c r="M361" s="68"/>
      <c r="N361" s="91"/>
      <c r="O361" s="89"/>
      <c r="P361" s="89"/>
    </row>
    <row r="362" spans="2:16" x14ac:dyDescent="0.2">
      <c r="B362" s="63"/>
      <c r="C362" s="88"/>
      <c r="D362" s="88"/>
      <c r="E362" s="88"/>
      <c r="F362" s="88"/>
      <c r="G362" s="48"/>
      <c r="H362" s="109"/>
      <c r="I362" s="1"/>
      <c r="J362" s="62"/>
      <c r="K362" s="108"/>
      <c r="L362" s="40"/>
      <c r="M362" s="68"/>
      <c r="N362" s="91"/>
      <c r="O362" s="89"/>
      <c r="P362" s="89"/>
    </row>
    <row r="363" spans="2:16" x14ac:dyDescent="0.2">
      <c r="B363" s="114">
        <f>MAX(B$333:B362)+1</f>
        <v>8</v>
      </c>
      <c r="C363" s="63" t="s">
        <v>74</v>
      </c>
      <c r="D363" s="1"/>
      <c r="E363" s="275"/>
      <c r="F363" s="275"/>
      <c r="G363" s="48" t="s">
        <v>9</v>
      </c>
      <c r="H363" s="84"/>
      <c r="I363" s="1"/>
      <c r="J363" s="62"/>
      <c r="K363" s="108"/>
      <c r="L363" s="40"/>
      <c r="M363" s="68"/>
      <c r="N363" s="91"/>
      <c r="O363" s="89"/>
      <c r="P363" s="89"/>
    </row>
    <row r="364" spans="2:16" x14ac:dyDescent="0.2">
      <c r="B364" s="1"/>
      <c r="C364" s="88"/>
      <c r="D364" s="88"/>
      <c r="E364" s="88"/>
      <c r="F364" s="88"/>
      <c r="G364" s="88"/>
      <c r="H364" s="93"/>
      <c r="I364" s="88"/>
      <c r="J364" s="62"/>
      <c r="K364" s="108"/>
      <c r="L364" s="40"/>
      <c r="M364" s="68"/>
      <c r="N364" s="91"/>
      <c r="O364" s="89"/>
      <c r="P364" s="89"/>
    </row>
    <row r="365" spans="2:16" x14ac:dyDescent="0.2">
      <c r="B365" s="114">
        <f>MAX(B$333:B364)+1</f>
        <v>9</v>
      </c>
      <c r="C365" s="1" t="s">
        <v>74</v>
      </c>
      <c r="D365" s="1"/>
      <c r="E365" s="275"/>
      <c r="F365" s="275"/>
      <c r="G365" s="48" t="s">
        <v>9</v>
      </c>
      <c r="H365" s="84"/>
      <c r="I365" s="1"/>
      <c r="J365" s="62"/>
      <c r="K365" s="108"/>
      <c r="L365" s="40"/>
      <c r="M365" s="68"/>
      <c r="N365" s="91"/>
      <c r="O365" s="89"/>
      <c r="P365" s="89"/>
    </row>
    <row r="366" spans="2:16" ht="12.75" customHeight="1" x14ac:dyDescent="0.2">
      <c r="B366" s="61"/>
      <c r="C366" s="1"/>
      <c r="D366" s="1"/>
      <c r="E366" s="67"/>
      <c r="F366" s="67"/>
      <c r="G366" s="88"/>
      <c r="H366" s="107"/>
      <c r="I366" s="1"/>
      <c r="J366" s="166"/>
      <c r="K366" s="166"/>
      <c r="L366" s="166"/>
      <c r="M366" s="166"/>
      <c r="N366" s="166"/>
      <c r="O366" s="166"/>
      <c r="P366" s="166"/>
    </row>
    <row r="367" spans="2:16" x14ac:dyDescent="0.2">
      <c r="B367" s="114">
        <f>MAX(B$333:B366)+1</f>
        <v>10</v>
      </c>
      <c r="C367" s="1" t="s">
        <v>81</v>
      </c>
      <c r="D367" s="1"/>
      <c r="E367" s="1"/>
      <c r="F367" s="1"/>
      <c r="G367" s="48" t="s">
        <v>9</v>
      </c>
      <c r="H367" s="84"/>
      <c r="I367" s="1"/>
      <c r="J367" s="166"/>
      <c r="K367" s="91"/>
      <c r="L367" s="68"/>
      <c r="M367" s="68"/>
      <c r="N367" s="91"/>
      <c r="O367" s="166"/>
      <c r="P367" s="166"/>
    </row>
    <row r="368" spans="2:16" x14ac:dyDescent="0.2">
      <c r="B368" s="1"/>
      <c r="C368" s="88"/>
      <c r="D368" s="88"/>
      <c r="E368" s="88"/>
      <c r="F368" s="88"/>
      <c r="G368" s="88"/>
      <c r="H368" s="93"/>
      <c r="I368" s="1"/>
      <c r="J368" s="166"/>
      <c r="K368" s="166"/>
      <c r="L368" s="166"/>
      <c r="M368" s="166"/>
      <c r="N368" s="166"/>
      <c r="O368" s="166"/>
      <c r="P368" s="166"/>
    </row>
    <row r="369" spans="1:17" ht="13.5" thickBot="1" x14ac:dyDescent="0.25">
      <c r="B369" s="115">
        <f>MAX(B$333:B368)+1</f>
        <v>11</v>
      </c>
      <c r="C369" s="25" t="s">
        <v>106</v>
      </c>
      <c r="D369" s="1"/>
      <c r="E369" s="1"/>
      <c r="F369" s="1"/>
      <c r="G369" s="48" t="s">
        <v>9</v>
      </c>
      <c r="H369" s="83" t="str">
        <f>IF(SUM(H333:H368)&lt;1,"",SUM(H333:H368))</f>
        <v/>
      </c>
      <c r="I369" s="88"/>
      <c r="J369" s="88"/>
      <c r="K369" s="91"/>
      <c r="L369" s="68"/>
      <c r="M369" s="68"/>
      <c r="N369" s="91"/>
      <c r="O369" s="89"/>
      <c r="P369" s="89"/>
    </row>
    <row r="370" spans="1:17" ht="13.5" customHeight="1" thickTop="1" x14ac:dyDescent="0.2">
      <c r="B370" s="61"/>
      <c r="C370" s="1"/>
      <c r="D370" s="1"/>
      <c r="E370" s="1"/>
      <c r="F370" s="1"/>
      <c r="G370" s="48"/>
      <c r="H370" s="92"/>
      <c r="I370" s="88"/>
      <c r="J370" s="88"/>
      <c r="K370" s="91"/>
      <c r="L370" s="68"/>
      <c r="M370" s="68"/>
      <c r="N370" s="91"/>
      <c r="O370" s="89"/>
      <c r="P370" s="89"/>
    </row>
    <row r="371" spans="1:17" x14ac:dyDescent="0.2">
      <c r="B371" s="32" t="s">
        <v>61</v>
      </c>
      <c r="C371" s="25" t="s">
        <v>99</v>
      </c>
      <c r="D371" s="25"/>
      <c r="E371" s="25"/>
      <c r="F371" s="25"/>
      <c r="G371" s="1"/>
      <c r="H371" s="15"/>
      <c r="I371" s="1"/>
      <c r="J371" s="38"/>
      <c r="K371" s="44"/>
      <c r="L371" s="68"/>
      <c r="M371" s="68"/>
      <c r="N371" s="91"/>
      <c r="O371" s="89"/>
      <c r="P371" s="89"/>
    </row>
    <row r="372" spans="1:17" x14ac:dyDescent="0.2">
      <c r="B372" s="32"/>
      <c r="C372" s="25"/>
      <c r="D372" s="28" t="str">
        <f>"(B."&amp;TEXT(B369,"0")&amp;". "&amp;C369&amp;", "</f>
        <v xml:space="preserve">(B.11. Total Permanent Funding Sources, </v>
      </c>
      <c r="E372" s="25"/>
      <c r="F372" s="25"/>
      <c r="G372" s="1"/>
      <c r="H372" s="15"/>
      <c r="I372" s="1"/>
      <c r="J372" s="38"/>
      <c r="K372" s="44"/>
      <c r="L372" s="68"/>
      <c r="M372" s="68"/>
      <c r="N372" s="91"/>
      <c r="O372" s="89"/>
      <c r="P372" s="129" t="str">
        <f ca="1">IF(N(H373)&lt;0,"**","")</f>
        <v/>
      </c>
    </row>
    <row r="373" spans="1:17" ht="13.5" thickBot="1" x14ac:dyDescent="0.25">
      <c r="B373" s="32"/>
      <c r="C373" s="25"/>
      <c r="D373" s="28" t="str">
        <f>" less "&amp;B330&amp;" "&amp;C330&amp;"):"</f>
        <v xml:space="preserve"> less A. Total Development Costs):</v>
      </c>
      <c r="E373" s="25"/>
      <c r="F373" s="25"/>
      <c r="G373" s="32" t="s">
        <v>9</v>
      </c>
      <c r="H373" s="83" t="str">
        <f ca="1">IF(AND(N(H369)=0,N(H330)=0),"",N(H369)-N(H330))</f>
        <v/>
      </c>
      <c r="I373" s="1"/>
      <c r="J373" s="38" t="s">
        <v>98</v>
      </c>
      <c r="K373" s="68"/>
      <c r="L373" s="91"/>
      <c r="M373" s="91"/>
      <c r="N373" s="91"/>
      <c r="O373" s="89"/>
      <c r="P373" s="89"/>
      <c r="Q373" s="90" t="str">
        <f ca="1">IF(N(H373)=0,"Permanent Funding Sources are equal to Total Development Costs.",IF(N(H373)&lt;0,"There is a shortfall in Permanent Funding Sources which must be corrected.","There is a surplus of Permanent Funding Sources which is permitted at time of Application."))</f>
        <v>Permanent Funding Sources are equal to Total Development Costs.</v>
      </c>
    </row>
    <row r="374" spans="1:17" ht="13.5" thickTop="1" x14ac:dyDescent="0.2">
      <c r="B374" s="25"/>
      <c r="C374" s="25"/>
      <c r="D374" s="1"/>
      <c r="E374" s="25"/>
      <c r="F374" s="25"/>
      <c r="G374" s="48"/>
      <c r="H374" s="88"/>
      <c r="I374" s="1"/>
      <c r="J374" s="1"/>
      <c r="K374" s="68"/>
      <c r="L374" s="91"/>
      <c r="M374" s="91"/>
      <c r="N374" s="91"/>
      <c r="O374" s="89"/>
      <c r="P374" s="89"/>
    </row>
    <row r="375" spans="1:17" ht="13.5" thickBot="1" x14ac:dyDescent="0.25">
      <c r="B375" s="25" t="s">
        <v>97</v>
      </c>
      <c r="C375" s="88"/>
      <c r="D375" s="1"/>
      <c r="E375" s="1"/>
      <c r="F375" s="1"/>
      <c r="G375" s="1"/>
      <c r="H375" s="1"/>
      <c r="I375" s="1"/>
      <c r="J375" s="1"/>
      <c r="K375" s="1"/>
      <c r="L375" s="1"/>
      <c r="M375" s="1"/>
      <c r="N375" s="88"/>
      <c r="O375" s="89"/>
      <c r="P375" s="89"/>
    </row>
    <row r="376" spans="1:17" ht="3.75" customHeight="1" x14ac:dyDescent="0.2">
      <c r="A376" s="87"/>
      <c r="B376" s="94"/>
      <c r="C376" s="94"/>
      <c r="D376" s="94"/>
      <c r="E376" s="94"/>
      <c r="F376" s="94"/>
      <c r="G376" s="94"/>
      <c r="H376" s="94"/>
      <c r="I376" s="94"/>
      <c r="J376" s="94"/>
      <c r="K376" s="94"/>
      <c r="L376" s="94"/>
      <c r="M376" s="94"/>
      <c r="N376" s="94"/>
      <c r="O376" s="87"/>
      <c r="P376" s="87"/>
    </row>
    <row r="377" spans="1:17" x14ac:dyDescent="0.2">
      <c r="B377" s="66" t="str">
        <f>B$2</f>
        <v>RFA 2019-109 DEVELOPMENT COST PRO FORMA</v>
      </c>
      <c r="C377" s="88"/>
      <c r="D377" s="88"/>
      <c r="E377" s="88"/>
      <c r="F377" s="88"/>
      <c r="G377" s="88"/>
      <c r="H377" s="88"/>
      <c r="I377" s="88"/>
      <c r="J377" s="88"/>
      <c r="K377" s="91"/>
      <c r="L377" s="91"/>
      <c r="M377" s="91"/>
      <c r="N377" s="91"/>
      <c r="O377" s="89"/>
      <c r="P377" s="3" t="s">
        <v>349</v>
      </c>
    </row>
    <row r="378" spans="1:17" x14ac:dyDescent="0.2">
      <c r="B378" s="88"/>
      <c r="C378" s="88"/>
      <c r="D378" s="88"/>
      <c r="E378" s="88"/>
      <c r="F378" s="88"/>
      <c r="G378" s="88"/>
      <c r="H378" s="88"/>
      <c r="I378" s="88"/>
      <c r="J378" s="88"/>
      <c r="K378" s="88"/>
      <c r="L378" s="88"/>
      <c r="M378" s="88"/>
      <c r="N378" s="88"/>
    </row>
    <row r="379" spans="1:17" x14ac:dyDescent="0.2">
      <c r="B379" s="118" t="s">
        <v>321</v>
      </c>
      <c r="C379" s="118"/>
      <c r="D379" s="118"/>
      <c r="E379" s="118"/>
      <c r="F379" s="118"/>
      <c r="G379" s="118"/>
      <c r="H379" s="118"/>
      <c r="I379" s="118"/>
      <c r="J379" s="118"/>
      <c r="K379" s="118"/>
      <c r="L379" s="118"/>
      <c r="M379" s="118"/>
      <c r="N379" s="118"/>
      <c r="O379" s="118"/>
      <c r="P379" s="118"/>
    </row>
    <row r="380" spans="1:17" x14ac:dyDescent="0.2">
      <c r="B380" s="118" t="s">
        <v>367</v>
      </c>
      <c r="C380" s="118"/>
      <c r="D380" s="118"/>
      <c r="E380" s="118"/>
      <c r="F380" s="118"/>
      <c r="G380" s="118"/>
      <c r="H380" s="118"/>
      <c r="I380" s="118"/>
      <c r="J380" s="118"/>
      <c r="K380" s="118"/>
      <c r="L380" s="118"/>
      <c r="M380" s="118"/>
      <c r="N380" s="118"/>
      <c r="O380" s="118"/>
      <c r="P380" s="118"/>
    </row>
    <row r="381" spans="1:17" x14ac:dyDescent="0.2">
      <c r="B381" s="118" t="s">
        <v>368</v>
      </c>
      <c r="C381" s="118"/>
      <c r="D381" s="118"/>
      <c r="E381" s="118"/>
      <c r="F381" s="118"/>
      <c r="G381" s="118"/>
      <c r="H381" s="118"/>
      <c r="I381" s="118"/>
      <c r="J381" s="118"/>
      <c r="K381" s="118"/>
      <c r="L381" s="118"/>
      <c r="M381" s="118"/>
      <c r="N381" s="118"/>
      <c r="O381" s="118"/>
      <c r="P381" s="118"/>
    </row>
    <row r="382" spans="1:17" x14ac:dyDescent="0.2">
      <c r="B382" s="118" t="s">
        <v>369</v>
      </c>
      <c r="C382" s="118"/>
      <c r="D382" s="118"/>
      <c r="E382" s="118"/>
      <c r="F382" s="118"/>
      <c r="G382" s="118"/>
      <c r="H382" s="118"/>
      <c r="I382" s="118"/>
      <c r="J382" s="118"/>
      <c r="K382" s="118"/>
      <c r="L382" s="118"/>
      <c r="M382" s="118"/>
      <c r="N382" s="118"/>
      <c r="O382" s="118"/>
      <c r="P382" s="118"/>
    </row>
    <row r="383" spans="1:17" x14ac:dyDescent="0.2">
      <c r="B383" s="118" t="s">
        <v>370</v>
      </c>
      <c r="C383" s="118"/>
      <c r="D383" s="118"/>
      <c r="E383" s="118"/>
      <c r="F383" s="118"/>
      <c r="G383" s="118"/>
      <c r="H383" s="118"/>
      <c r="I383" s="118"/>
      <c r="J383" s="118"/>
      <c r="K383" s="118"/>
      <c r="L383" s="118"/>
      <c r="M383" s="118"/>
      <c r="N383" s="118"/>
      <c r="O383" s="118"/>
      <c r="P383" s="118"/>
    </row>
    <row r="384" spans="1:17" x14ac:dyDescent="0.2">
      <c r="B384" s="118" t="s">
        <v>371</v>
      </c>
      <c r="C384" s="88"/>
      <c r="D384" s="88"/>
      <c r="E384" s="88"/>
      <c r="F384" s="88"/>
      <c r="G384" s="88"/>
      <c r="H384" s="88"/>
      <c r="I384" s="88"/>
      <c r="J384" s="88"/>
      <c r="K384" s="88"/>
      <c r="L384" s="88"/>
      <c r="M384" s="88"/>
      <c r="N384" s="88"/>
    </row>
    <row r="385" spans="2:17" x14ac:dyDescent="0.2">
      <c r="B385" s="88"/>
      <c r="C385" s="88"/>
      <c r="D385" s="88"/>
      <c r="E385" s="88"/>
      <c r="F385" s="88"/>
      <c r="G385" s="88"/>
      <c r="H385" s="88"/>
      <c r="I385" s="88"/>
      <c r="J385" s="88"/>
      <c r="K385" s="88"/>
      <c r="L385" s="88"/>
      <c r="M385" s="88"/>
      <c r="N385" s="88"/>
    </row>
    <row r="386" spans="2:17" x14ac:dyDescent="0.2">
      <c r="B386" s="25" t="s">
        <v>247</v>
      </c>
      <c r="C386" s="88"/>
      <c r="D386" s="88"/>
      <c r="E386" s="88"/>
      <c r="F386" s="88"/>
      <c r="G386" s="88"/>
      <c r="H386" s="88"/>
      <c r="I386" s="88"/>
      <c r="J386" s="88"/>
      <c r="K386" s="88"/>
      <c r="L386" s="88"/>
      <c r="M386" s="88"/>
      <c r="N386" s="194" t="str">
        <f>IF(K388=E495,"",IF(OR(K388="Broward",K388="Miami-Dade"),"South Florida, ","Not in South Florida, ")&amp;IF(K32=F488,"",IF(OR(K32="New Construction (w/ or w/o Acquisition)",K32="Redevelopment (w/ or w/o Acquisition)"),"New Construction, ","Rehab, ")&amp;IF(K393=K488,"",IF(K393=K489,"Garden",IF(OR(K32="New Construction (w/ or w/o Acquisition)",K32="Redevelopment (w/ or w/o Acquisition)"),IF(K393=K490,"Mid-Rise","High-Rise"),"Non-Garden"))&amp;IF(OR(K32="Rehabilitation (w/ or w/o Acquisition)",K32="Preservation (w/ or w/o Acquisition)"),".",IF(OR(K396=C489,K393=K491),", ESSC.",IF(OR(K396=C490,AND(OR(K32="New Construction (w/ or w/o Acquisition)",K32="Redevelopment (w/ or w/o Acquisition)"),OR(K396=C488,K396=C491))),", Wood.",""))))))</f>
        <v/>
      </c>
    </row>
    <row r="387" spans="2:17" x14ac:dyDescent="0.2">
      <c r="B387" s="88"/>
      <c r="C387" s="88"/>
      <c r="D387" s="88"/>
      <c r="E387" s="88"/>
      <c r="F387" s="88"/>
      <c r="G387" s="88"/>
      <c r="H387" s="88"/>
      <c r="I387" s="88"/>
      <c r="J387" s="88"/>
      <c r="K387" s="88"/>
      <c r="L387" s="88"/>
      <c r="M387" s="88"/>
      <c r="N387" s="88"/>
    </row>
    <row r="388" spans="2:17" x14ac:dyDescent="0.2">
      <c r="B388" s="88"/>
      <c r="C388" s="88" t="s">
        <v>170</v>
      </c>
      <c r="D388" s="88"/>
      <c r="E388" s="88"/>
      <c r="F388" s="88"/>
      <c r="G388" s="88"/>
      <c r="H388" s="88"/>
      <c r="I388" s="88"/>
      <c r="J388" s="88"/>
      <c r="K388" s="299" t="s">
        <v>325</v>
      </c>
      <c r="L388" s="299"/>
      <c r="M388" s="299"/>
      <c r="N388" s="237" t="str">
        <f>IF(K388=E495,"","("&amp;VLOOKUP(K388,ELIData,2)&amp;" County)")</f>
        <v/>
      </c>
      <c r="Q388" s="227"/>
    </row>
    <row r="389" spans="2:17" x14ac:dyDescent="0.2">
      <c r="B389" s="88"/>
      <c r="C389" s="88"/>
      <c r="D389" s="88"/>
      <c r="E389" s="88"/>
      <c r="F389" s="88"/>
      <c r="G389" s="88"/>
      <c r="H389" s="88"/>
      <c r="I389" s="88"/>
      <c r="J389" s="88"/>
      <c r="K389" s="251"/>
      <c r="L389" s="251"/>
      <c r="M389" s="251"/>
      <c r="N389" s="88"/>
    </row>
    <row r="390" spans="2:17" x14ac:dyDescent="0.2">
      <c r="B390" s="88"/>
      <c r="C390" s="63" t="s">
        <v>337</v>
      </c>
      <c r="D390" s="88"/>
      <c r="E390" s="88"/>
      <c r="F390" s="88"/>
      <c r="G390" s="88"/>
      <c r="H390" s="88"/>
      <c r="I390" s="88"/>
      <c r="J390" s="88"/>
      <c r="K390" s="198"/>
      <c r="L390" s="198"/>
      <c r="M390" s="198"/>
      <c r="N390" s="88"/>
    </row>
    <row r="391" spans="2:17" x14ac:dyDescent="0.2">
      <c r="B391" s="88"/>
      <c r="C391" s="88"/>
      <c r="D391" s="88" t="s">
        <v>338</v>
      </c>
      <c r="E391" s="88"/>
      <c r="F391" s="88"/>
      <c r="G391" s="88"/>
      <c r="H391" s="88"/>
      <c r="I391" s="88"/>
      <c r="J391" s="88"/>
      <c r="K391" s="248" t="str">
        <f>IF(K32=F488,"Need Dev Category",K32)</f>
        <v>Need Dev Category</v>
      </c>
      <c r="L391" s="248"/>
      <c r="M391" s="248"/>
      <c r="N391" s="248"/>
    </row>
    <row r="392" spans="2:17" x14ac:dyDescent="0.2">
      <c r="B392" s="88"/>
      <c r="C392" s="88"/>
      <c r="D392" s="88"/>
      <c r="E392" s="88"/>
      <c r="F392" s="88"/>
      <c r="G392" s="88"/>
      <c r="H392" s="88"/>
      <c r="I392" s="88"/>
      <c r="J392" s="88"/>
      <c r="K392" s="198"/>
      <c r="L392" s="198"/>
      <c r="M392" s="198"/>
      <c r="N392" s="88"/>
    </row>
    <row r="393" spans="2:17" x14ac:dyDescent="0.2">
      <c r="B393" s="88"/>
      <c r="C393" s="88" t="s">
        <v>171</v>
      </c>
      <c r="D393" s="88"/>
      <c r="E393" s="88"/>
      <c r="F393" s="88"/>
      <c r="G393" s="88"/>
      <c r="H393" s="88"/>
      <c r="I393" s="88"/>
      <c r="J393" s="88"/>
      <c r="K393" s="295" t="s">
        <v>239</v>
      </c>
      <c r="L393" s="295"/>
      <c r="M393" s="295"/>
      <c r="N393" s="88"/>
      <c r="Q393" s="227" t="s">
        <v>395</v>
      </c>
    </row>
    <row r="394" spans="2:17" x14ac:dyDescent="0.2">
      <c r="B394" s="88"/>
      <c r="C394" s="88"/>
      <c r="D394" s="88"/>
      <c r="E394" s="88"/>
      <c r="F394" s="88"/>
      <c r="G394" s="88"/>
      <c r="H394" s="88"/>
      <c r="I394" s="88"/>
      <c r="J394" s="88"/>
      <c r="K394" s="251"/>
      <c r="L394" s="251"/>
      <c r="M394" s="251"/>
      <c r="N394" s="88"/>
    </row>
    <row r="395" spans="2:17" x14ac:dyDescent="0.2">
      <c r="B395" s="88"/>
      <c r="C395" s="88" t="s">
        <v>335</v>
      </c>
      <c r="D395" s="88"/>
      <c r="E395" s="88"/>
      <c r="F395" s="88"/>
      <c r="G395" s="88"/>
      <c r="H395" s="88"/>
      <c r="I395" s="88"/>
      <c r="J395" s="88"/>
      <c r="K395" s="247"/>
      <c r="L395" s="247"/>
      <c r="M395" s="247"/>
      <c r="N395" s="88"/>
    </row>
    <row r="396" spans="2:17" x14ac:dyDescent="0.2">
      <c r="B396" s="88"/>
      <c r="C396" s="88"/>
      <c r="D396" s="88" t="s">
        <v>336</v>
      </c>
      <c r="E396" s="88"/>
      <c r="F396" s="88"/>
      <c r="G396" s="88"/>
      <c r="H396" s="88"/>
      <c r="I396" s="88"/>
      <c r="J396" s="88"/>
      <c r="K396" s="245" t="s">
        <v>325</v>
      </c>
      <c r="L396" s="245"/>
      <c r="M396" s="245"/>
      <c r="N396" s="88"/>
    </row>
    <row r="397" spans="2:17" x14ac:dyDescent="0.2">
      <c r="B397" s="88"/>
      <c r="C397" s="88"/>
      <c r="D397" s="88"/>
      <c r="E397" s="88"/>
      <c r="F397" s="88"/>
      <c r="G397" s="88"/>
      <c r="H397" s="88"/>
      <c r="I397" s="88"/>
      <c r="J397" s="88"/>
      <c r="K397" s="198"/>
      <c r="L397" s="198"/>
      <c r="M397" s="198"/>
      <c r="N397" s="88"/>
    </row>
    <row r="398" spans="2:17" x14ac:dyDescent="0.2">
      <c r="B398" s="88"/>
      <c r="C398" s="88" t="s">
        <v>253</v>
      </c>
      <c r="D398" s="88"/>
      <c r="E398" s="88"/>
      <c r="F398" s="88"/>
      <c r="G398" s="88"/>
      <c r="H398" s="88"/>
      <c r="I398" s="88"/>
      <c r="J398" s="88"/>
      <c r="K398" s="252" t="str">
        <f>IF(K32=F488,"Need Dev Category",IF(K388=E495,"Need County",IF(K393=K488,"Need Dev Type",IF(AND(OR(K32="New Construction (w/ or w/o Acquisition)",K32="Redevelopment (w/ or w/o Acquisition)"),K396=C488),"ESSC?",IF(ISERROR(VLOOKUP(K494,K496:N509,4)),"",VLOOKUP(K494,K496:N509,4))))))</f>
        <v>Need Dev Category</v>
      </c>
      <c r="L398" s="252"/>
      <c r="M398" s="252"/>
      <c r="N398" s="88"/>
    </row>
    <row r="399" spans="2:17" x14ac:dyDescent="0.2">
      <c r="B399" s="88"/>
      <c r="C399" s="88"/>
      <c r="D399" s="88"/>
      <c r="E399" s="88"/>
      <c r="F399" s="88"/>
      <c r="G399" s="88"/>
      <c r="H399" s="88"/>
      <c r="I399" s="88"/>
      <c r="J399" s="88"/>
      <c r="K399" s="254"/>
      <c r="L399" s="254"/>
      <c r="M399" s="254"/>
      <c r="N399" s="88"/>
    </row>
    <row r="400" spans="2:17" x14ac:dyDescent="0.2">
      <c r="B400" s="88"/>
      <c r="C400" s="88" t="s">
        <v>251</v>
      </c>
      <c r="D400" s="88"/>
      <c r="E400" s="88"/>
      <c r="F400" s="88"/>
      <c r="G400" s="88"/>
      <c r="H400" s="88"/>
      <c r="I400" s="88"/>
      <c r="J400" s="88"/>
      <c r="K400" s="153"/>
      <c r="L400" s="153"/>
      <c r="M400" s="153"/>
      <c r="N400" s="88"/>
    </row>
    <row r="401" spans="2:14" x14ac:dyDescent="0.2">
      <c r="B401" s="88"/>
      <c r="C401" s="88"/>
      <c r="D401" s="88"/>
      <c r="E401" s="88"/>
      <c r="F401" s="88"/>
      <c r="G401" s="88"/>
      <c r="H401" s="88"/>
      <c r="I401" s="88"/>
      <c r="J401" s="88"/>
      <c r="K401" s="254"/>
      <c r="L401" s="254"/>
      <c r="M401" s="254"/>
      <c r="N401" s="88"/>
    </row>
    <row r="402" spans="2:14" ht="12.75" customHeight="1" x14ac:dyDescent="0.2">
      <c r="B402" s="88"/>
      <c r="C402" s="88"/>
      <c r="D402" s="154">
        <f>MAX(D$401:D401)+1</f>
        <v>1</v>
      </c>
      <c r="E402" s="88" t="s">
        <v>269</v>
      </c>
      <c r="F402" s="88"/>
      <c r="G402" s="88"/>
      <c r="I402" s="88"/>
      <c r="J402" s="88"/>
      <c r="K402" s="246" t="s">
        <v>148</v>
      </c>
      <c r="L402" s="246"/>
      <c r="M402" s="246"/>
      <c r="N402" s="249" t="s">
        <v>330</v>
      </c>
    </row>
    <row r="403" spans="2:14" x14ac:dyDescent="0.2">
      <c r="B403" s="88"/>
      <c r="C403" s="88"/>
      <c r="D403" s="154"/>
      <c r="E403" s="88" t="s">
        <v>339</v>
      </c>
      <c r="F403" s="88"/>
      <c r="G403" s="88"/>
      <c r="I403" s="88"/>
      <c r="J403" s="88"/>
      <c r="K403" s="295" t="s">
        <v>146</v>
      </c>
      <c r="L403" s="295"/>
      <c r="M403" s="295"/>
      <c r="N403" s="249"/>
    </row>
    <row r="404" spans="2:14" x14ac:dyDescent="0.2">
      <c r="B404" s="88"/>
      <c r="C404" s="88"/>
      <c r="D404" s="154"/>
      <c r="E404" s="88" t="s">
        <v>340</v>
      </c>
      <c r="F404" s="88"/>
      <c r="G404" s="88"/>
      <c r="I404" s="88"/>
      <c r="J404" s="88"/>
      <c r="K404" s="246" t="s">
        <v>148</v>
      </c>
      <c r="L404" s="246"/>
      <c r="M404" s="246"/>
      <c r="N404" s="249"/>
    </row>
    <row r="405" spans="2:14" ht="8.1" customHeight="1" x14ac:dyDescent="0.2">
      <c r="B405" s="88"/>
      <c r="C405" s="88"/>
      <c r="D405" s="88"/>
      <c r="E405" s="88"/>
      <c r="F405" s="88"/>
      <c r="G405" s="88"/>
      <c r="I405" s="88"/>
      <c r="J405" s="88"/>
      <c r="K405" s="251"/>
      <c r="L405" s="251"/>
      <c r="M405" s="251"/>
      <c r="N405" s="88"/>
    </row>
    <row r="406" spans="2:14" x14ac:dyDescent="0.2">
      <c r="B406" s="88"/>
      <c r="C406" s="88"/>
      <c r="D406" s="154">
        <f>MAX(D$401:D405)+1</f>
        <v>2</v>
      </c>
      <c r="E406" s="88" t="s">
        <v>268</v>
      </c>
      <c r="F406" s="88"/>
      <c r="G406" s="88"/>
      <c r="I406" s="88"/>
      <c r="J406" s="88"/>
      <c r="K406" s="245" t="s">
        <v>325</v>
      </c>
      <c r="L406" s="245"/>
      <c r="M406" s="245"/>
      <c r="N406" s="155" t="s">
        <v>284</v>
      </c>
    </row>
    <row r="407" spans="2:14" ht="8.1" customHeight="1" x14ac:dyDescent="0.2">
      <c r="B407" s="88"/>
      <c r="C407" s="88"/>
      <c r="D407" s="88"/>
      <c r="E407" s="88"/>
      <c r="F407" s="88"/>
      <c r="G407" s="88"/>
      <c r="I407" s="88"/>
      <c r="J407" s="88"/>
      <c r="K407" s="251"/>
      <c r="L407" s="251"/>
      <c r="M407" s="251"/>
      <c r="N407" s="88"/>
    </row>
    <row r="408" spans="2:14" ht="12.75" customHeight="1" x14ac:dyDescent="0.2">
      <c r="B408" s="88"/>
      <c r="C408" s="88"/>
      <c r="D408" s="154">
        <f>MAX(D$401:D407)+1</f>
        <v>3</v>
      </c>
      <c r="E408" s="88" t="s">
        <v>263</v>
      </c>
      <c r="F408" s="88"/>
      <c r="G408" s="88"/>
      <c r="I408" s="88"/>
      <c r="J408" s="88"/>
      <c r="K408" s="245" t="s">
        <v>325</v>
      </c>
      <c r="L408" s="245"/>
      <c r="M408" s="245"/>
      <c r="N408" s="249" t="s">
        <v>351</v>
      </c>
    </row>
    <row r="409" spans="2:14" x14ac:dyDescent="0.2">
      <c r="B409" s="88"/>
      <c r="C409" s="88"/>
      <c r="D409" s="88"/>
      <c r="E409" s="88" t="s">
        <v>264</v>
      </c>
      <c r="F409" s="88"/>
      <c r="G409" s="88"/>
      <c r="I409" s="88"/>
      <c r="J409" s="88"/>
      <c r="K409" s="245" t="s">
        <v>325</v>
      </c>
      <c r="L409" s="245"/>
      <c r="M409" s="245"/>
      <c r="N409" s="249"/>
    </row>
    <row r="410" spans="2:14" ht="8.1" customHeight="1" x14ac:dyDescent="0.2">
      <c r="B410" s="88"/>
      <c r="C410" s="88"/>
      <c r="D410" s="88"/>
      <c r="E410" s="88"/>
      <c r="F410" s="88"/>
      <c r="G410" s="88"/>
      <c r="I410" s="88"/>
      <c r="J410" s="88"/>
      <c r="K410" s="251"/>
      <c r="L410" s="251"/>
      <c r="M410" s="251"/>
      <c r="N410" s="88"/>
    </row>
    <row r="411" spans="2:14" ht="12.75" customHeight="1" x14ac:dyDescent="0.2">
      <c r="B411" s="88"/>
      <c r="C411" s="88"/>
      <c r="D411" s="154">
        <f>MAX(D$401:D410)+1</f>
        <v>4</v>
      </c>
      <c r="E411" s="88" t="s">
        <v>265</v>
      </c>
      <c r="F411" s="88"/>
      <c r="G411" s="88"/>
      <c r="I411" s="88"/>
      <c r="J411" s="88"/>
      <c r="K411" s="246" t="s">
        <v>148</v>
      </c>
      <c r="L411" s="246"/>
      <c r="M411" s="246"/>
      <c r="N411" s="249" t="s">
        <v>330</v>
      </c>
    </row>
    <row r="412" spans="2:14" x14ac:dyDescent="0.2">
      <c r="B412" s="88"/>
      <c r="C412" s="88"/>
      <c r="D412" s="88"/>
      <c r="E412" s="88" t="s">
        <v>266</v>
      </c>
      <c r="F412" s="88"/>
      <c r="G412" s="88"/>
      <c r="I412" s="88"/>
      <c r="J412" s="88"/>
      <c r="K412" s="246" t="s">
        <v>148</v>
      </c>
      <c r="L412" s="246"/>
      <c r="M412" s="246"/>
      <c r="N412" s="249"/>
    </row>
    <row r="413" spans="2:14" x14ac:dyDescent="0.2">
      <c r="B413" s="88"/>
      <c r="C413" s="88"/>
      <c r="D413" s="88"/>
      <c r="E413" s="88" t="s">
        <v>267</v>
      </c>
      <c r="F413" s="88"/>
      <c r="G413" s="88"/>
      <c r="I413" s="88"/>
      <c r="J413" s="88"/>
      <c r="K413" s="246" t="s">
        <v>148</v>
      </c>
      <c r="L413" s="246"/>
      <c r="M413" s="246"/>
      <c r="N413" s="249"/>
    </row>
    <row r="414" spans="2:14" ht="8.1" customHeight="1" x14ac:dyDescent="0.2">
      <c r="B414" s="88"/>
      <c r="C414" s="88"/>
      <c r="D414" s="88"/>
      <c r="E414" s="88"/>
      <c r="F414" s="88"/>
      <c r="G414" s="88"/>
      <c r="I414" s="88"/>
      <c r="J414" s="88"/>
      <c r="K414" s="251"/>
      <c r="L414" s="251"/>
      <c r="M414" s="251"/>
      <c r="N414" s="88"/>
    </row>
    <row r="415" spans="2:14" x14ac:dyDescent="0.2">
      <c r="B415" s="88"/>
      <c r="C415" s="88"/>
      <c r="D415" s="154">
        <f>MAX(D$401:D414)+1</f>
        <v>5</v>
      </c>
      <c r="E415" s="88" t="s">
        <v>252</v>
      </c>
      <c r="F415" s="88"/>
      <c r="G415" s="88"/>
      <c r="I415" s="88"/>
      <c r="J415" s="88"/>
      <c r="K415" s="246" t="s">
        <v>148</v>
      </c>
      <c r="L415" s="246"/>
      <c r="M415" s="246"/>
      <c r="N415" s="155" t="s">
        <v>284</v>
      </c>
    </row>
    <row r="416" spans="2:14" ht="8.1" customHeight="1" x14ac:dyDescent="0.2">
      <c r="B416" s="88"/>
      <c r="C416" s="88"/>
      <c r="D416" s="88"/>
      <c r="E416" s="88"/>
      <c r="F416" s="88"/>
      <c r="G416" s="88"/>
      <c r="H416" s="88"/>
      <c r="I416" s="88"/>
      <c r="J416" s="88"/>
      <c r="K416" s="251"/>
      <c r="L416" s="251"/>
      <c r="M416" s="251"/>
      <c r="N416" s="88"/>
    </row>
    <row r="417" spans="2:17" x14ac:dyDescent="0.2">
      <c r="B417" s="88"/>
      <c r="C417" s="88"/>
      <c r="D417" s="154">
        <f>MAX(D$401:D416)+1</f>
        <v>6</v>
      </c>
      <c r="E417" s="88" t="s">
        <v>342</v>
      </c>
      <c r="F417" s="88"/>
      <c r="G417" s="88"/>
      <c r="H417" s="88"/>
      <c r="I417" s="88"/>
      <c r="J417" s="88"/>
      <c r="K417" s="246" t="s">
        <v>148</v>
      </c>
      <c r="L417" s="246"/>
      <c r="M417" s="246"/>
      <c r="N417" s="249" t="s">
        <v>351</v>
      </c>
    </row>
    <row r="418" spans="2:17" x14ac:dyDescent="0.2">
      <c r="B418" s="88"/>
      <c r="C418" s="88"/>
      <c r="D418" s="88"/>
      <c r="E418" s="88" t="s">
        <v>341</v>
      </c>
      <c r="F418" s="88"/>
      <c r="G418" s="88"/>
      <c r="H418" s="88"/>
      <c r="I418" s="88"/>
      <c r="J418" s="88"/>
      <c r="K418" s="246" t="s">
        <v>148</v>
      </c>
      <c r="L418" s="246"/>
      <c r="M418" s="246"/>
      <c r="N418" s="249"/>
    </row>
    <row r="419" spans="2:17" ht="24.95" customHeight="1" x14ac:dyDescent="0.2">
      <c r="B419" s="88"/>
      <c r="C419" s="88"/>
      <c r="D419" s="88"/>
      <c r="E419" s="250" t="s">
        <v>381</v>
      </c>
      <c r="F419" s="250"/>
      <c r="G419" s="250"/>
      <c r="H419" s="250"/>
      <c r="I419" s="250"/>
      <c r="J419" s="250"/>
      <c r="K419" s="250"/>
      <c r="L419" s="250"/>
      <c r="M419" s="250"/>
      <c r="N419" s="221"/>
    </row>
    <row r="420" spans="2:17" x14ac:dyDescent="0.2">
      <c r="B420" s="88"/>
      <c r="C420" s="88"/>
      <c r="D420" s="88"/>
      <c r="E420" s="88"/>
      <c r="F420" s="88"/>
      <c r="G420" s="88"/>
      <c r="H420" s="88"/>
      <c r="I420" s="88"/>
      <c r="J420" s="88"/>
      <c r="K420" s="198"/>
      <c r="L420" s="198"/>
      <c r="M420" s="198"/>
      <c r="N420" s="88"/>
    </row>
    <row r="421" spans="2:17" x14ac:dyDescent="0.2">
      <c r="B421" s="88"/>
      <c r="C421" s="88" t="s">
        <v>254</v>
      </c>
      <c r="D421" s="88"/>
      <c r="E421" s="88"/>
      <c r="F421" s="88"/>
      <c r="G421" s="88"/>
      <c r="H421" s="88"/>
      <c r="I421" s="88"/>
      <c r="J421" s="88"/>
      <c r="K421" s="253" t="str">
        <f ca="1">IF(AND(CELL("type",K398)="v",N(K398)&gt;0),ROUND((K398+IF(OR(K402=C489,K403=C489,K404=C489),N511,0)+IF(K406=C489,N512,0))/IF(K408=C489,N513,1)/IF(K409=C489,N514,1)/IF(K411=C489,N515,1)/IF(K412=C489,N516,1)/IF(K413=C489,N517,1)/IF(K415=C489,N518,1)/IF(K417=C489,N519,1)/IF(K418=C489,N520,1),2),"")</f>
        <v/>
      </c>
      <c r="L421" s="253"/>
      <c r="M421" s="253"/>
      <c r="N421" s="88"/>
    </row>
    <row r="422" spans="2:17" x14ac:dyDescent="0.2">
      <c r="B422" s="88"/>
      <c r="C422" s="88"/>
      <c r="D422" s="88"/>
      <c r="E422" s="88"/>
      <c r="F422" s="88"/>
      <c r="G422" s="88"/>
      <c r="H422" s="88"/>
      <c r="I422" s="88"/>
      <c r="J422" s="88"/>
      <c r="K422" s="251"/>
      <c r="L422" s="251"/>
      <c r="M422" s="251"/>
      <c r="N422" s="88"/>
    </row>
    <row r="423" spans="2:17" x14ac:dyDescent="0.2">
      <c r="B423" s="88"/>
      <c r="C423" s="156" t="s">
        <v>244</v>
      </c>
      <c r="D423" s="88"/>
      <c r="E423" s="88"/>
      <c r="F423" s="88"/>
      <c r="G423" s="88"/>
      <c r="H423" s="88"/>
      <c r="I423" s="88"/>
      <c r="J423" s="88"/>
      <c r="K423" s="88"/>
      <c r="L423" s="88"/>
      <c r="M423" s="88"/>
      <c r="N423" s="88"/>
    </row>
    <row r="424" spans="2:17" x14ac:dyDescent="0.2">
      <c r="B424" s="88"/>
      <c r="C424" s="88"/>
      <c r="D424" s="88"/>
      <c r="E424" s="88"/>
      <c r="F424" s="88"/>
      <c r="G424" s="88"/>
      <c r="H424" s="88"/>
      <c r="I424" s="88"/>
      <c r="J424" s="88"/>
      <c r="K424" s="254"/>
      <c r="L424" s="254"/>
      <c r="M424" s="254"/>
      <c r="N424" s="88"/>
    </row>
    <row r="425" spans="2:17" x14ac:dyDescent="0.2">
      <c r="B425" s="88"/>
      <c r="C425" s="88" t="s">
        <v>243</v>
      </c>
      <c r="D425" s="88"/>
      <c r="E425" s="88"/>
      <c r="F425" s="88"/>
      <c r="G425" s="88"/>
      <c r="H425" s="88"/>
      <c r="I425" s="88"/>
      <c r="J425" s="88"/>
      <c r="K425" s="255">
        <f ca="1">N(N195)</f>
        <v>0</v>
      </c>
      <c r="L425" s="255"/>
      <c r="M425" s="255"/>
      <c r="N425" s="88"/>
    </row>
    <row r="426" spans="2:17" x14ac:dyDescent="0.2">
      <c r="B426" s="88"/>
      <c r="C426" s="88"/>
      <c r="D426" s="88"/>
      <c r="E426" s="88"/>
      <c r="F426" s="88"/>
      <c r="G426" s="88"/>
      <c r="H426" s="88"/>
      <c r="I426" s="88"/>
      <c r="J426" s="88"/>
      <c r="K426" s="251"/>
      <c r="L426" s="251"/>
      <c r="M426" s="251"/>
      <c r="N426" s="88"/>
    </row>
    <row r="427" spans="2:17" x14ac:dyDescent="0.2">
      <c r="B427" s="88"/>
      <c r="C427" s="88" t="s">
        <v>242</v>
      </c>
      <c r="D427" s="88"/>
      <c r="E427" s="88"/>
      <c r="F427" s="88"/>
      <c r="G427" s="88"/>
      <c r="H427" s="88"/>
      <c r="I427" s="88"/>
      <c r="J427" s="88"/>
      <c r="K427" s="255">
        <f ca="1">N(N193)</f>
        <v>0</v>
      </c>
      <c r="L427" s="255"/>
      <c r="M427" s="255"/>
      <c r="N427" s="88"/>
    </row>
    <row r="428" spans="2:17" x14ac:dyDescent="0.2">
      <c r="B428" s="88"/>
      <c r="C428" s="88"/>
      <c r="D428" s="88"/>
      <c r="E428" s="88"/>
      <c r="F428" s="88"/>
      <c r="G428" s="88"/>
      <c r="H428" s="88"/>
      <c r="I428" s="88"/>
      <c r="J428" s="88"/>
      <c r="K428" s="251"/>
      <c r="L428" s="251"/>
      <c r="M428" s="251"/>
      <c r="N428" s="88"/>
    </row>
    <row r="429" spans="2:17" x14ac:dyDescent="0.2">
      <c r="B429" s="88"/>
      <c r="C429" s="88" t="s">
        <v>241</v>
      </c>
      <c r="D429" s="88"/>
      <c r="E429" s="88"/>
      <c r="F429" s="88"/>
      <c r="G429" s="88"/>
      <c r="H429" s="88"/>
      <c r="I429" s="88"/>
      <c r="J429" s="88"/>
      <c r="K429" s="255">
        <f ca="1">N(N191)</f>
        <v>0</v>
      </c>
      <c r="L429" s="255"/>
      <c r="M429" s="255"/>
      <c r="N429" s="88"/>
    </row>
    <row r="430" spans="2:17" x14ac:dyDescent="0.2">
      <c r="B430" s="88"/>
      <c r="C430" s="88"/>
      <c r="D430" s="88"/>
      <c r="E430" s="88"/>
      <c r="F430" s="88"/>
      <c r="G430" s="88"/>
      <c r="H430" s="88"/>
      <c r="I430" s="88"/>
      <c r="J430" s="88"/>
      <c r="K430" s="251"/>
      <c r="L430" s="251"/>
      <c r="M430" s="251"/>
      <c r="N430" s="88"/>
    </row>
    <row r="431" spans="2:17" x14ac:dyDescent="0.2">
      <c r="B431" s="88"/>
      <c r="C431" s="88" t="s">
        <v>385</v>
      </c>
      <c r="D431" s="88"/>
      <c r="E431" s="88"/>
      <c r="F431" s="88"/>
      <c r="G431" s="88"/>
      <c r="H431" s="88"/>
      <c r="I431" s="88"/>
      <c r="J431" s="88"/>
      <c r="K431" s="255">
        <f>IF(K402=C489,N(N41)+N(N118),0)</f>
        <v>0</v>
      </c>
      <c r="L431" s="255"/>
      <c r="M431" s="255"/>
      <c r="N431" s="88"/>
      <c r="Q431" s="227" t="str">
        <f>"In order to qualify for the removof of these costs, the response above on row "&amp;TEXT(ROW(E402),"0")&amp;" for ""1.(a) PHA is a Principal Add-On"" must indicate a ""Yes"" in column K."</f>
        <v>In order to qualify for the removof of these costs, the response above on row 402 for "1.(a) PHA is a Principal Add-On" must indicate a "Yes" in column K.</v>
      </c>
    </row>
    <row r="432" spans="2:17" x14ac:dyDescent="0.2">
      <c r="B432" s="88"/>
      <c r="C432" s="88"/>
      <c r="D432" s="88"/>
      <c r="E432" s="88"/>
      <c r="F432" s="88"/>
      <c r="G432" s="88"/>
      <c r="H432" s="88"/>
      <c r="I432" s="88"/>
      <c r="J432" s="88"/>
      <c r="K432" s="198"/>
      <c r="L432" s="198"/>
      <c r="M432" s="198"/>
      <c r="N432" s="88"/>
    </row>
    <row r="433" spans="1:16" x14ac:dyDescent="0.2">
      <c r="B433" s="88"/>
      <c r="C433" s="88" t="s">
        <v>245</v>
      </c>
      <c r="D433" s="88"/>
      <c r="E433" s="88"/>
      <c r="F433" s="88"/>
      <c r="G433" s="88"/>
      <c r="H433" s="88"/>
      <c r="I433" s="88"/>
      <c r="J433" s="88"/>
      <c r="K433" s="255">
        <f ca="1">K425-K427-K429-K431</f>
        <v>0</v>
      </c>
      <c r="L433" s="255"/>
      <c r="M433" s="255"/>
      <c r="N433" s="88"/>
    </row>
    <row r="434" spans="1:16" x14ac:dyDescent="0.2">
      <c r="B434" s="88"/>
      <c r="C434" s="88"/>
      <c r="D434" s="88"/>
      <c r="E434" s="88"/>
      <c r="F434" s="88"/>
      <c r="G434" s="88"/>
      <c r="H434" s="88"/>
      <c r="I434" s="88"/>
      <c r="J434" s="88"/>
      <c r="K434" s="251"/>
      <c r="L434" s="251"/>
      <c r="M434" s="251"/>
      <c r="N434" s="88"/>
    </row>
    <row r="435" spans="1:16" x14ac:dyDescent="0.2">
      <c r="B435" s="88"/>
      <c r="C435" s="88" t="s">
        <v>246</v>
      </c>
      <c r="D435" s="88"/>
      <c r="E435" s="88"/>
      <c r="F435" s="88"/>
      <c r="G435" s="88"/>
      <c r="H435" s="88"/>
      <c r="I435" s="88"/>
      <c r="J435" s="88"/>
      <c r="K435" s="255">
        <f>IF(N(K33)=0,0,K433/N(K33))</f>
        <v>0</v>
      </c>
      <c r="L435" s="255"/>
      <c r="M435" s="255"/>
      <c r="N435" s="195" t="str">
        <f>IF(N(K33)=0,"(Need Units)","")</f>
        <v>(Need Units)</v>
      </c>
    </row>
    <row r="436" spans="1:16" x14ac:dyDescent="0.2">
      <c r="B436" s="88"/>
      <c r="C436" s="88"/>
      <c r="D436" s="88"/>
      <c r="E436" s="88"/>
      <c r="F436" s="88"/>
      <c r="G436" s="88"/>
      <c r="H436" s="88"/>
      <c r="I436" s="88"/>
      <c r="J436" s="88"/>
      <c r="K436" s="251"/>
      <c r="L436" s="251"/>
      <c r="M436" s="251"/>
      <c r="N436" s="88"/>
    </row>
    <row r="437" spans="1:16" x14ac:dyDescent="0.2">
      <c r="B437" s="88"/>
      <c r="C437" s="88" t="s">
        <v>312</v>
      </c>
      <c r="D437" s="88"/>
      <c r="E437" s="88"/>
      <c r="F437" s="88"/>
      <c r="G437" s="88"/>
      <c r="H437" s="88"/>
      <c r="I437" s="88"/>
      <c r="J437" s="88"/>
      <c r="K437" s="254" t="str">
        <f ca="1">IF(AND(N(K421)&gt;0,N(K435)&gt;0),IF(K435&lt;=K421,"Yes","No"),"TBD")</f>
        <v>TBD</v>
      </c>
      <c r="L437" s="254"/>
      <c r="M437" s="254"/>
      <c r="N437" s="88"/>
    </row>
    <row r="438" spans="1:16" x14ac:dyDescent="0.2">
      <c r="B438" s="88"/>
      <c r="C438" s="88"/>
      <c r="D438" s="88" t="s">
        <v>313</v>
      </c>
      <c r="E438" s="88"/>
      <c r="F438" s="88"/>
      <c r="G438" s="88"/>
      <c r="H438" s="88"/>
      <c r="I438" s="88"/>
      <c r="J438" s="88"/>
      <c r="K438" s="277"/>
      <c r="L438" s="277"/>
      <c r="M438" s="277"/>
      <c r="N438" s="88"/>
      <c r="P438" s="129" t="str">
        <f ca="1">IF(K437="No","**","")</f>
        <v/>
      </c>
    </row>
    <row r="439" spans="1:16" x14ac:dyDescent="0.2">
      <c r="B439" s="88"/>
      <c r="C439" s="88"/>
      <c r="D439" s="88"/>
      <c r="E439" s="88"/>
      <c r="F439" s="88"/>
      <c r="G439" s="88"/>
      <c r="H439" s="88"/>
      <c r="I439" s="88"/>
      <c r="J439" s="88"/>
      <c r="K439" s="88"/>
      <c r="L439" s="88"/>
      <c r="M439" s="88"/>
      <c r="N439" s="88"/>
    </row>
    <row r="440" spans="1:16" ht="13.5" thickBot="1" x14ac:dyDescent="0.25">
      <c r="B440" s="1"/>
      <c r="C440" s="88"/>
      <c r="D440" s="88"/>
      <c r="E440" s="88"/>
      <c r="F440" s="88"/>
      <c r="G440" s="88"/>
      <c r="H440" s="88"/>
      <c r="I440" s="88"/>
      <c r="J440" s="88"/>
      <c r="K440" s="88"/>
      <c r="L440" s="88"/>
      <c r="M440" s="88"/>
      <c r="N440" s="88"/>
    </row>
    <row r="441" spans="1:16" ht="3.75" customHeight="1" x14ac:dyDescent="0.2">
      <c r="A441" s="87"/>
      <c r="B441" s="94"/>
      <c r="C441" s="94"/>
      <c r="D441" s="94"/>
      <c r="E441" s="94"/>
      <c r="F441" s="94"/>
      <c r="G441" s="94"/>
      <c r="H441" s="94"/>
      <c r="I441" s="94"/>
      <c r="J441" s="94"/>
      <c r="K441" s="94"/>
      <c r="L441" s="94"/>
      <c r="M441" s="94"/>
      <c r="N441" s="94"/>
      <c r="O441" s="87"/>
      <c r="P441" s="87"/>
    </row>
    <row r="442" spans="1:16" x14ac:dyDescent="0.2">
      <c r="B442" s="66" t="str">
        <f>B$2</f>
        <v>RFA 2019-109 DEVELOPMENT COST PRO FORMA</v>
      </c>
      <c r="C442" s="88"/>
      <c r="D442" s="88"/>
      <c r="E442" s="88"/>
      <c r="F442" s="88"/>
      <c r="G442" s="88"/>
      <c r="H442" s="88"/>
      <c r="I442" s="88"/>
      <c r="J442" s="88"/>
      <c r="K442" s="91"/>
      <c r="L442" s="91"/>
      <c r="M442" s="91"/>
      <c r="N442" s="91"/>
      <c r="O442" s="89"/>
      <c r="P442" s="3" t="s">
        <v>350</v>
      </c>
    </row>
    <row r="443" spans="1:16" x14ac:dyDescent="0.2">
      <c r="B443" s="88"/>
      <c r="C443" s="88"/>
      <c r="D443" s="88"/>
      <c r="E443" s="88"/>
      <c r="F443" s="88"/>
      <c r="G443" s="88"/>
      <c r="H443" s="88"/>
      <c r="I443" s="88"/>
      <c r="J443" s="88"/>
      <c r="K443" s="88"/>
      <c r="L443" s="88"/>
      <c r="M443" s="88"/>
      <c r="N443" s="88"/>
    </row>
    <row r="444" spans="1:16" x14ac:dyDescent="0.2">
      <c r="B444" s="118" t="s">
        <v>356</v>
      </c>
      <c r="C444" s="118"/>
      <c r="D444" s="118"/>
      <c r="E444" s="118"/>
      <c r="F444" s="118"/>
      <c r="G444" s="118"/>
      <c r="H444" s="118"/>
      <c r="I444" s="118"/>
      <c r="J444" s="118"/>
      <c r="K444" s="118"/>
      <c r="L444" s="118"/>
      <c r="M444" s="118"/>
      <c r="N444" s="118"/>
      <c r="O444" s="118"/>
      <c r="P444" s="118"/>
    </row>
    <row r="445" spans="1:16" x14ac:dyDescent="0.2">
      <c r="B445" s="118" t="s">
        <v>357</v>
      </c>
      <c r="C445" s="118"/>
      <c r="D445" s="118"/>
      <c r="E445" s="118"/>
      <c r="F445" s="118"/>
      <c r="G445" s="118"/>
      <c r="H445" s="118"/>
      <c r="I445" s="118"/>
      <c r="J445" s="118"/>
      <c r="K445" s="118"/>
      <c r="L445" s="118"/>
      <c r="M445" s="118"/>
      <c r="N445" s="118"/>
      <c r="O445" s="118"/>
      <c r="P445" s="118"/>
    </row>
    <row r="446" spans="1:16" x14ac:dyDescent="0.2">
      <c r="B446" s="118" t="s">
        <v>362</v>
      </c>
      <c r="C446" s="118"/>
      <c r="D446" s="118"/>
      <c r="E446" s="118"/>
      <c r="F446" s="118"/>
      <c r="G446" s="118"/>
      <c r="H446" s="118"/>
      <c r="I446" s="118"/>
      <c r="J446" s="118"/>
      <c r="K446" s="118"/>
      <c r="L446" s="118"/>
      <c r="M446" s="118"/>
      <c r="N446" s="118"/>
      <c r="O446" s="118"/>
      <c r="P446" s="118"/>
    </row>
    <row r="447" spans="1:16" x14ac:dyDescent="0.2">
      <c r="B447" s="118" t="s">
        <v>365</v>
      </c>
      <c r="C447" s="118"/>
      <c r="D447" s="118"/>
      <c r="E447" s="118"/>
      <c r="F447" s="118"/>
      <c r="G447" s="118"/>
      <c r="H447" s="118"/>
      <c r="I447" s="118"/>
      <c r="J447" s="118"/>
      <c r="K447" s="118"/>
      <c r="L447" s="118"/>
      <c r="M447" s="118"/>
      <c r="N447" s="118"/>
      <c r="O447" s="118"/>
      <c r="P447" s="118"/>
    </row>
    <row r="448" spans="1:16" x14ac:dyDescent="0.2">
      <c r="B448" s="118" t="s">
        <v>366</v>
      </c>
      <c r="C448" s="118"/>
      <c r="D448" s="118"/>
      <c r="E448" s="118"/>
      <c r="F448" s="118"/>
      <c r="G448" s="118"/>
      <c r="H448" s="118"/>
      <c r="I448" s="118"/>
      <c r="J448" s="118"/>
      <c r="K448" s="118"/>
      <c r="L448" s="118"/>
      <c r="M448" s="118"/>
      <c r="N448" s="118"/>
      <c r="O448" s="118"/>
      <c r="P448" s="118"/>
    </row>
    <row r="449" spans="2:17" x14ac:dyDescent="0.2">
      <c r="B449" s="118" t="s">
        <v>363</v>
      </c>
      <c r="C449" s="88"/>
      <c r="D449" s="88"/>
      <c r="E449" s="88"/>
      <c r="F449" s="88"/>
      <c r="G449" s="88"/>
      <c r="H449" s="88"/>
      <c r="I449" s="88"/>
      <c r="J449" s="88"/>
      <c r="K449" s="88"/>
      <c r="L449" s="88"/>
      <c r="M449" s="88"/>
      <c r="N449" s="88"/>
    </row>
    <row r="450" spans="2:17" x14ac:dyDescent="0.2">
      <c r="B450" s="118" t="s">
        <v>364</v>
      </c>
      <c r="C450" s="88"/>
      <c r="D450" s="88"/>
      <c r="E450" s="88"/>
      <c r="F450" s="88"/>
      <c r="G450" s="88"/>
      <c r="H450" s="88"/>
      <c r="I450" s="88"/>
      <c r="J450" s="88"/>
      <c r="K450" s="88"/>
      <c r="L450" s="88"/>
      <c r="M450" s="88"/>
      <c r="N450" s="88"/>
    </row>
    <row r="451" spans="2:17" x14ac:dyDescent="0.2">
      <c r="B451" s="88"/>
      <c r="C451" s="88"/>
      <c r="D451" s="88"/>
      <c r="E451" s="88"/>
      <c r="F451" s="88"/>
      <c r="G451" s="88"/>
      <c r="H451" s="281" t="s">
        <v>401</v>
      </c>
      <c r="I451" s="281"/>
      <c r="J451" s="281"/>
      <c r="K451" s="281"/>
      <c r="L451" s="281"/>
      <c r="M451" s="281"/>
      <c r="N451" s="281"/>
      <c r="O451" s="281"/>
      <c r="P451" s="281"/>
    </row>
    <row r="452" spans="2:17" x14ac:dyDescent="0.2">
      <c r="B452" s="25" t="s">
        <v>352</v>
      </c>
      <c r="C452" s="88"/>
      <c r="D452" s="88"/>
      <c r="E452" s="88"/>
      <c r="F452" s="88"/>
      <c r="G452" s="88"/>
      <c r="H452" s="281"/>
      <c r="I452" s="281"/>
      <c r="J452" s="281"/>
      <c r="K452" s="281"/>
      <c r="L452" s="281"/>
      <c r="M452" s="281"/>
      <c r="N452" s="281"/>
      <c r="O452" s="281"/>
      <c r="P452" s="281"/>
    </row>
    <row r="453" spans="2:17" x14ac:dyDescent="0.2">
      <c r="B453" s="88"/>
      <c r="C453" s="88"/>
      <c r="D453" s="88"/>
      <c r="E453" s="88"/>
      <c r="F453" s="88"/>
      <c r="G453" s="88"/>
      <c r="H453" s="88"/>
      <c r="I453" s="88"/>
      <c r="J453" s="88"/>
      <c r="K453" s="88"/>
      <c r="L453" s="88"/>
      <c r="M453" s="88"/>
      <c r="N453" s="88"/>
    </row>
    <row r="454" spans="2:17" ht="13.5" thickBot="1" x14ac:dyDescent="0.25">
      <c r="B454" s="88"/>
      <c r="C454" s="88"/>
      <c r="D454" s="88"/>
      <c r="E454" s="88"/>
      <c r="F454" s="199" t="s">
        <v>355</v>
      </c>
      <c r="H454" s="199" t="s">
        <v>353</v>
      </c>
      <c r="I454" s="88"/>
      <c r="J454" s="88"/>
      <c r="K454" s="199" t="s">
        <v>354</v>
      </c>
      <c r="L454" s="88"/>
      <c r="M454" s="88"/>
      <c r="N454" s="282" t="str">
        <f>IF(AND(K406&lt;&gt;C489,H464&gt;0),"You are using this Income Averaging Worksheet, but have not yet indicated you are using Tax-Exempt Bonds in cell K406.  The Income Averaging option is only available to Developments located in Bay County and the Applicant is using MMRB financing.","")</f>
        <v/>
      </c>
      <c r="O454" s="282"/>
      <c r="P454" s="282"/>
    </row>
    <row r="455" spans="2:17" ht="5.25" customHeight="1" x14ac:dyDescent="0.2">
      <c r="B455" s="88"/>
      <c r="C455" s="88"/>
      <c r="D455" s="88"/>
      <c r="E455" s="88"/>
      <c r="F455" s="200"/>
      <c r="G455" s="88"/>
      <c r="H455" s="88"/>
      <c r="I455" s="88"/>
      <c r="J455" s="88"/>
      <c r="K455" s="200"/>
      <c r="L455" s="88"/>
      <c r="M455" s="88"/>
      <c r="N455" s="282"/>
      <c r="O455" s="282"/>
      <c r="P455" s="282"/>
    </row>
    <row r="456" spans="2:17" ht="18" customHeight="1" x14ac:dyDescent="0.2">
      <c r="B456" s="203"/>
      <c r="C456" s="203"/>
      <c r="D456" s="203"/>
      <c r="E456" s="203"/>
      <c r="F456" s="206">
        <v>0.2</v>
      </c>
      <c r="G456" s="207"/>
      <c r="H456" s="201"/>
      <c r="I456" s="207"/>
      <c r="J456" s="207"/>
      <c r="K456" s="210">
        <f>IF(H$468=0,0,H456/H$468)</f>
        <v>0</v>
      </c>
      <c r="L456" s="88"/>
      <c r="M456" s="88"/>
      <c r="N456" s="282"/>
      <c r="O456" s="282"/>
      <c r="P456" s="282"/>
    </row>
    <row r="457" spans="2:17" ht="18" customHeight="1" x14ac:dyDescent="0.2">
      <c r="B457" s="203"/>
      <c r="C457" s="203"/>
      <c r="D457" s="203"/>
      <c r="E457" s="224" t="s">
        <v>383</v>
      </c>
      <c r="F457" s="208">
        <v>0.3</v>
      </c>
      <c r="G457" s="209"/>
      <c r="H457" s="202"/>
      <c r="I457" s="209"/>
      <c r="J457" s="209"/>
      <c r="K457" s="211">
        <f t="shared" ref="K457:K462" si="0">IF(H$468=0,0,H457/H$468)</f>
        <v>0</v>
      </c>
      <c r="L457" s="219"/>
      <c r="M457" s="219"/>
      <c r="N457" s="282"/>
      <c r="O457" s="282"/>
      <c r="P457" s="282"/>
      <c r="Q457" s="238" t="str">
        <f>IF(AND(K457+K456&lt;K554,H468&gt;0),"Income Averaging Test requires a minimum of "&amp;TEXT(K554,"0%")&amp;" of total units set-aside at 30% AMI or less.","")</f>
        <v/>
      </c>
    </row>
    <row r="458" spans="2:17" ht="18" customHeight="1" x14ac:dyDescent="0.2">
      <c r="B458" s="203"/>
      <c r="C458" s="203"/>
      <c r="D458" s="203"/>
      <c r="E458" s="203"/>
      <c r="F458" s="208">
        <v>0.4</v>
      </c>
      <c r="G458" s="209"/>
      <c r="H458" s="202"/>
      <c r="I458" s="209"/>
      <c r="J458" s="209"/>
      <c r="K458" s="211">
        <f t="shared" si="0"/>
        <v>0</v>
      </c>
      <c r="L458" s="88"/>
      <c r="M458" s="88"/>
      <c r="N458" s="282"/>
      <c r="O458" s="282"/>
      <c r="P458" s="282"/>
    </row>
    <row r="459" spans="2:17" ht="18" customHeight="1" x14ac:dyDescent="0.2">
      <c r="B459" s="203"/>
      <c r="C459" s="203"/>
      <c r="D459" s="203"/>
      <c r="E459" s="203"/>
      <c r="F459" s="208">
        <v>0.5</v>
      </c>
      <c r="G459" s="209"/>
      <c r="H459" s="202"/>
      <c r="I459" s="209"/>
      <c r="J459" s="209"/>
      <c r="K459" s="211">
        <f t="shared" si="0"/>
        <v>0</v>
      </c>
      <c r="L459" s="88"/>
      <c r="M459" s="88"/>
      <c r="N459" s="282"/>
      <c r="O459" s="282"/>
      <c r="P459" s="282"/>
    </row>
    <row r="460" spans="2:17" ht="18" customHeight="1" x14ac:dyDescent="0.2">
      <c r="B460" s="203"/>
      <c r="C460" s="203"/>
      <c r="D460" s="203"/>
      <c r="E460" s="203"/>
      <c r="F460" s="208">
        <v>0.6</v>
      </c>
      <c r="G460" s="209"/>
      <c r="H460" s="202"/>
      <c r="I460" s="209"/>
      <c r="J460" s="209"/>
      <c r="K460" s="211">
        <f t="shared" si="0"/>
        <v>0</v>
      </c>
      <c r="L460" s="88"/>
      <c r="M460" s="88"/>
      <c r="N460" s="282"/>
      <c r="O460" s="282"/>
      <c r="P460" s="282"/>
    </row>
    <row r="461" spans="2:17" ht="18" customHeight="1" x14ac:dyDescent="0.2">
      <c r="B461" s="203"/>
      <c r="C461" s="203"/>
      <c r="D461" s="203"/>
      <c r="E461" s="203"/>
      <c r="F461" s="208">
        <v>0.7</v>
      </c>
      <c r="G461" s="209"/>
      <c r="H461" s="202"/>
      <c r="I461" s="209"/>
      <c r="J461" s="209"/>
      <c r="K461" s="211">
        <f t="shared" si="0"/>
        <v>0</v>
      </c>
      <c r="L461" s="88"/>
      <c r="M461" s="88"/>
      <c r="N461" s="282"/>
      <c r="O461" s="282"/>
      <c r="P461" s="282"/>
    </row>
    <row r="462" spans="2:17" ht="18" customHeight="1" x14ac:dyDescent="0.2">
      <c r="B462" s="203"/>
      <c r="C462" s="203"/>
      <c r="D462" s="203"/>
      <c r="E462" s="203"/>
      <c r="F462" s="208">
        <v>0.8</v>
      </c>
      <c r="G462" s="209"/>
      <c r="H462" s="202"/>
      <c r="I462" s="209"/>
      <c r="J462" s="209"/>
      <c r="K462" s="211">
        <f t="shared" si="0"/>
        <v>0</v>
      </c>
      <c r="L462" s="88"/>
      <c r="M462" s="88"/>
      <c r="N462" s="282"/>
      <c r="O462" s="282"/>
      <c r="P462" s="282"/>
    </row>
    <row r="463" spans="2:17" ht="5.25" customHeight="1" x14ac:dyDescent="0.2">
      <c r="B463" s="88"/>
      <c r="C463" s="88"/>
      <c r="D463" s="88"/>
      <c r="E463" s="88"/>
      <c r="F463" s="200"/>
      <c r="G463" s="200"/>
      <c r="H463" s="200"/>
      <c r="I463" s="200"/>
      <c r="J463" s="200"/>
      <c r="K463" s="200"/>
      <c r="L463" s="88"/>
      <c r="M463" s="280" t="s">
        <v>372</v>
      </c>
      <c r="N463" s="280"/>
      <c r="O463" s="280"/>
      <c r="P463" s="280"/>
    </row>
    <row r="464" spans="2:17" ht="18" customHeight="1" thickBot="1" x14ac:dyDescent="0.25">
      <c r="B464" s="88"/>
      <c r="C464" s="88"/>
      <c r="D464" s="216"/>
      <c r="E464" s="216"/>
      <c r="F464" s="215" t="s">
        <v>361</v>
      </c>
      <c r="G464" s="207"/>
      <c r="H464" s="204">
        <f>SUM(H456:H463)</f>
        <v>0</v>
      </c>
      <c r="I464" s="207"/>
      <c r="J464" s="207"/>
      <c r="K464" s="213">
        <f>IF(H$468=0,0,H464/H$468)</f>
        <v>0</v>
      </c>
      <c r="L464" s="88"/>
      <c r="M464" s="280"/>
      <c r="N464" s="280"/>
      <c r="O464" s="280"/>
      <c r="P464" s="280"/>
    </row>
    <row r="465" spans="2:16" ht="5.25" customHeight="1" x14ac:dyDescent="0.2">
      <c r="B465" s="88"/>
      <c r="C465" s="88"/>
      <c r="D465" s="88"/>
      <c r="E465" s="88"/>
      <c r="F465" s="200"/>
      <c r="G465" s="200"/>
      <c r="H465" s="200"/>
      <c r="I465" s="200"/>
      <c r="J465" s="200"/>
      <c r="K465" s="200"/>
      <c r="L465" s="88"/>
      <c r="M465" s="280"/>
      <c r="N465" s="280"/>
      <c r="O465" s="280"/>
      <c r="P465" s="280"/>
    </row>
    <row r="466" spans="2:16" ht="18" customHeight="1" x14ac:dyDescent="0.2">
      <c r="B466" s="88"/>
      <c r="C466" s="88"/>
      <c r="D466" s="216"/>
      <c r="E466" s="216"/>
      <c r="F466" s="215" t="s">
        <v>358</v>
      </c>
      <c r="G466" s="207"/>
      <c r="H466" s="201"/>
      <c r="I466" s="207"/>
      <c r="J466" s="207"/>
      <c r="K466" s="210">
        <f>IF(H$468=0,0,H466/H$468)</f>
        <v>0</v>
      </c>
      <c r="L466" s="88"/>
      <c r="M466" s="88"/>
      <c r="N466" s="88"/>
    </row>
    <row r="467" spans="2:16" ht="5.25" customHeight="1" thickBot="1" x14ac:dyDescent="0.25">
      <c r="B467" s="88"/>
      <c r="C467" s="88"/>
      <c r="D467" s="88"/>
      <c r="E467" s="88"/>
      <c r="F467" s="200"/>
      <c r="G467" s="200"/>
      <c r="H467" s="200"/>
      <c r="I467" s="200"/>
      <c r="J467" s="200"/>
      <c r="K467" s="200"/>
      <c r="L467" s="88"/>
      <c r="M467" s="280" t="str">
        <f>IF(H468&gt;0,IF(H468=K33,"(Total Units here matches the Total Units entered on row 33 above)","(Total Units here does NOT match the Total Units entered on row 33 above)"),"")</f>
        <v/>
      </c>
      <c r="N467" s="280"/>
      <c r="O467" s="280"/>
      <c r="P467" s="280"/>
    </row>
    <row r="468" spans="2:16" ht="18" customHeight="1" thickBot="1" x14ac:dyDescent="0.25">
      <c r="B468" s="88"/>
      <c r="C468" s="88"/>
      <c r="D468" s="216"/>
      <c r="E468" s="216"/>
      <c r="F468" s="215" t="s">
        <v>359</v>
      </c>
      <c r="G468" s="207"/>
      <c r="H468" s="205">
        <f>H464+H466</f>
        <v>0</v>
      </c>
      <c r="I468" s="207"/>
      <c r="J468" s="207"/>
      <c r="K468" s="214">
        <f>IF(H$468=0,0,H468/H$468)</f>
        <v>0</v>
      </c>
      <c r="L468" s="88"/>
      <c r="M468" s="280"/>
      <c r="N468" s="280"/>
      <c r="O468" s="280"/>
      <c r="P468" s="280"/>
    </row>
    <row r="469" spans="2:16" ht="5.25" customHeight="1" thickTop="1" thickBot="1" x14ac:dyDescent="0.25">
      <c r="B469" s="88"/>
      <c r="C469" s="88"/>
      <c r="D469" s="88"/>
      <c r="E469" s="88"/>
      <c r="F469" s="200"/>
      <c r="G469" s="200"/>
      <c r="H469" s="200"/>
      <c r="I469" s="200"/>
      <c r="J469" s="200"/>
      <c r="K469" s="200"/>
      <c r="L469" s="88"/>
      <c r="M469" s="280"/>
      <c r="N469" s="280"/>
      <c r="O469" s="280"/>
      <c r="P469" s="280"/>
    </row>
    <row r="470" spans="2:16" ht="24.95" customHeight="1" thickBot="1" x14ac:dyDescent="0.25">
      <c r="B470" s="88"/>
      <c r="C470" s="88"/>
      <c r="D470" s="278" t="s">
        <v>360</v>
      </c>
      <c r="E470" s="279"/>
      <c r="F470" s="279"/>
      <c r="G470" s="217"/>
      <c r="H470" s="218">
        <f>IF(H464=0,0,SUMPRODUCT(F456:F462,H456:H462)/H464)</f>
        <v>0</v>
      </c>
      <c r="I470" s="88"/>
      <c r="J470" s="88"/>
      <c r="K470" s="212" t="str">
        <f>IF(H470=60%,"(equal to 60% maximum)",IF(AND(H470&lt;60%,H470&gt;0%),"(less than 60% maximum)",IF(H470&gt;60%,"(greater than 60% maximum)","")))</f>
        <v/>
      </c>
      <c r="L470" s="88"/>
      <c r="M470" s="88"/>
      <c r="N470" s="88"/>
    </row>
    <row r="471" spans="2:16" x14ac:dyDescent="0.2">
      <c r="B471" s="88"/>
      <c r="C471" s="88"/>
      <c r="D471" s="88"/>
      <c r="E471" s="88"/>
      <c r="F471" s="88"/>
      <c r="G471" s="88"/>
      <c r="H471" s="88"/>
      <c r="I471" s="88"/>
      <c r="J471" s="88"/>
      <c r="K471" s="88"/>
      <c r="L471" s="88"/>
      <c r="M471" s="88"/>
      <c r="N471" s="88"/>
    </row>
    <row r="472" spans="2:16" x14ac:dyDescent="0.2">
      <c r="B472" s="88"/>
      <c r="C472" s="88"/>
      <c r="D472" s="88"/>
      <c r="E472" s="88"/>
      <c r="F472" s="88"/>
      <c r="G472" s="88"/>
      <c r="H472" s="88"/>
      <c r="I472" s="88"/>
      <c r="J472" s="88"/>
      <c r="K472" s="88"/>
      <c r="L472" s="88"/>
      <c r="M472" s="88"/>
      <c r="N472" s="88"/>
    </row>
    <row r="473" spans="2:16" x14ac:dyDescent="0.2">
      <c r="B473" s="88"/>
      <c r="C473" s="88"/>
      <c r="D473" s="88"/>
      <c r="E473" s="88"/>
      <c r="F473" s="88"/>
      <c r="G473" s="88"/>
      <c r="H473" s="88"/>
      <c r="I473" s="88"/>
      <c r="J473" s="88"/>
      <c r="K473" s="88"/>
      <c r="L473" s="88"/>
      <c r="M473" s="88"/>
      <c r="N473" s="88"/>
    </row>
    <row r="474" spans="2:16" x14ac:dyDescent="0.2">
      <c r="B474" s="88"/>
      <c r="C474" s="88"/>
      <c r="D474" s="88"/>
      <c r="E474" s="88"/>
      <c r="F474" s="88"/>
      <c r="G474" s="88"/>
      <c r="H474" s="88"/>
      <c r="I474" s="88"/>
      <c r="J474" s="88"/>
      <c r="K474" s="88"/>
      <c r="L474" s="88"/>
      <c r="M474" s="88"/>
      <c r="N474" s="88"/>
    </row>
    <row r="475" spans="2:16" x14ac:dyDescent="0.2">
      <c r="B475" s="88"/>
      <c r="C475" s="88"/>
      <c r="D475" s="88"/>
      <c r="E475" s="88"/>
      <c r="F475" s="88"/>
      <c r="G475" s="88"/>
      <c r="H475" s="88"/>
      <c r="I475" s="88"/>
      <c r="J475" s="88"/>
      <c r="K475" s="88"/>
      <c r="L475" s="88"/>
      <c r="M475" s="88"/>
      <c r="N475" s="88"/>
    </row>
    <row r="476" spans="2:16" x14ac:dyDescent="0.2">
      <c r="B476" s="88"/>
      <c r="C476" s="88"/>
      <c r="D476" s="88"/>
      <c r="E476" s="88"/>
      <c r="F476" s="88"/>
      <c r="G476" s="88"/>
      <c r="H476" s="88"/>
      <c r="I476" s="88"/>
      <c r="J476" s="88"/>
      <c r="K476" s="88"/>
      <c r="L476" s="88"/>
      <c r="M476" s="88"/>
      <c r="N476" s="88"/>
    </row>
    <row r="477" spans="2:16" x14ac:dyDescent="0.2">
      <c r="B477" s="88"/>
      <c r="C477" s="88"/>
      <c r="D477" s="88"/>
      <c r="E477" s="88"/>
      <c r="F477" s="88"/>
      <c r="G477" s="88"/>
      <c r="H477" s="88"/>
      <c r="I477" s="88"/>
      <c r="J477" s="88"/>
      <c r="K477" s="88"/>
      <c r="L477" s="88"/>
      <c r="M477" s="88"/>
      <c r="N477" s="88"/>
    </row>
    <row r="478" spans="2:16" x14ac:dyDescent="0.2">
      <c r="B478" s="88"/>
      <c r="C478" s="88"/>
      <c r="D478" s="88"/>
      <c r="E478" s="88"/>
      <c r="F478" s="88"/>
      <c r="G478" s="88"/>
      <c r="H478" s="88"/>
      <c r="I478" s="88"/>
      <c r="J478" s="88"/>
      <c r="K478" s="88"/>
      <c r="L478" s="88"/>
      <c r="M478" s="88"/>
      <c r="N478" s="88"/>
    </row>
    <row r="479" spans="2:16" x14ac:dyDescent="0.2">
      <c r="B479" s="88"/>
      <c r="C479" s="88"/>
      <c r="D479" s="88"/>
      <c r="E479" s="88"/>
      <c r="F479" s="88"/>
      <c r="G479" s="88"/>
      <c r="H479" s="88"/>
      <c r="I479" s="88"/>
      <c r="J479" s="88"/>
      <c r="K479" s="88"/>
      <c r="L479" s="88"/>
      <c r="M479" s="88"/>
      <c r="N479" s="88"/>
    </row>
    <row r="480" spans="2:16" x14ac:dyDescent="0.2">
      <c r="B480" s="88"/>
      <c r="C480" s="88"/>
      <c r="D480" s="88"/>
      <c r="E480" s="88"/>
      <c r="F480" s="88"/>
      <c r="G480" s="88"/>
      <c r="H480" s="88"/>
      <c r="I480" s="88"/>
      <c r="J480" s="88"/>
      <c r="K480" s="88"/>
      <c r="L480" s="88"/>
      <c r="M480" s="88"/>
      <c r="N480" s="88"/>
    </row>
    <row r="481" spans="2:14" x14ac:dyDescent="0.2">
      <c r="B481" s="88"/>
      <c r="C481" s="88"/>
      <c r="D481" s="88"/>
      <c r="E481" s="88"/>
      <c r="F481" s="88"/>
      <c r="G481" s="88"/>
      <c r="H481" s="88"/>
      <c r="I481" s="88"/>
      <c r="J481" s="88"/>
      <c r="K481" s="88"/>
      <c r="L481" s="88"/>
      <c r="M481" s="88"/>
      <c r="N481" s="88"/>
    </row>
    <row r="482" spans="2:14" x14ac:dyDescent="0.2">
      <c r="B482" s="88"/>
      <c r="C482" s="88"/>
      <c r="D482" s="88"/>
      <c r="E482" s="88"/>
      <c r="F482" s="88"/>
      <c r="G482" s="88"/>
      <c r="H482" s="88"/>
      <c r="I482" s="88"/>
      <c r="J482" s="88"/>
      <c r="K482" s="88"/>
      <c r="L482" s="88"/>
      <c r="M482" s="88"/>
      <c r="N482" s="88"/>
    </row>
    <row r="483" spans="2:14" x14ac:dyDescent="0.2">
      <c r="B483" s="88"/>
      <c r="C483" s="88"/>
      <c r="D483" s="88"/>
      <c r="E483" s="88"/>
      <c r="F483" s="88"/>
      <c r="G483" s="88"/>
      <c r="H483" s="88"/>
      <c r="I483" s="88"/>
      <c r="J483" s="88"/>
      <c r="K483" s="88"/>
      <c r="L483" s="88"/>
      <c r="M483" s="88"/>
      <c r="N483" s="88"/>
    </row>
    <row r="484" spans="2:14" x14ac:dyDescent="0.2">
      <c r="B484" s="88"/>
      <c r="C484" s="88"/>
      <c r="D484" s="88"/>
      <c r="E484" s="88"/>
      <c r="F484" s="88"/>
      <c r="G484" s="88"/>
      <c r="H484" s="88"/>
      <c r="I484" s="88"/>
      <c r="J484" s="88"/>
      <c r="K484" s="88"/>
      <c r="L484" s="88"/>
      <c r="M484" s="88"/>
      <c r="N484" s="88"/>
    </row>
    <row r="485" spans="2:14" x14ac:dyDescent="0.2">
      <c r="B485" s="88"/>
      <c r="C485" s="88"/>
      <c r="D485" s="88"/>
      <c r="E485" s="88"/>
      <c r="F485" s="88"/>
      <c r="G485" s="88"/>
      <c r="H485" s="88"/>
      <c r="I485" s="88"/>
      <c r="J485" s="88"/>
      <c r="K485" s="88"/>
      <c r="L485" s="88"/>
      <c r="M485" s="88"/>
      <c r="N485" s="88"/>
    </row>
    <row r="486" spans="2:14" ht="13.5" thickBot="1" x14ac:dyDescent="0.25">
      <c r="B486" s="276" t="s">
        <v>320</v>
      </c>
      <c r="C486" s="276"/>
      <c r="D486" s="276"/>
      <c r="E486" s="276"/>
      <c r="F486" s="276"/>
      <c r="G486" s="276"/>
      <c r="H486" s="276"/>
      <c r="I486" s="276"/>
      <c r="J486" s="276"/>
      <c r="K486" s="276"/>
      <c r="L486" s="276"/>
      <c r="M486" s="276"/>
      <c r="N486" s="276"/>
    </row>
    <row r="487" spans="2:14" x14ac:dyDescent="0.2">
      <c r="B487" s="88"/>
      <c r="C487" s="88"/>
      <c r="D487" s="88"/>
      <c r="E487" s="88"/>
      <c r="F487" s="88"/>
      <c r="G487" s="88"/>
      <c r="H487" s="88"/>
      <c r="I487" s="88"/>
      <c r="J487" s="88"/>
      <c r="K487" s="88"/>
      <c r="L487" s="88"/>
      <c r="M487" s="88"/>
      <c r="N487" s="88"/>
    </row>
    <row r="488" spans="2:14" x14ac:dyDescent="0.2">
      <c r="B488" s="88"/>
      <c r="C488" s="88" t="s">
        <v>325</v>
      </c>
      <c r="D488" s="88"/>
      <c r="E488" s="88" t="s">
        <v>286</v>
      </c>
      <c r="F488" s="88" t="s">
        <v>140</v>
      </c>
      <c r="G488" s="88"/>
      <c r="H488" s="88"/>
      <c r="I488" s="88"/>
      <c r="J488" s="88"/>
      <c r="K488" s="88" t="s">
        <v>325</v>
      </c>
      <c r="L488" s="88"/>
      <c r="M488" s="88"/>
      <c r="N488" s="88"/>
    </row>
    <row r="489" spans="2:14" x14ac:dyDescent="0.2">
      <c r="B489" s="88"/>
      <c r="C489" s="88" t="s">
        <v>146</v>
      </c>
      <c r="D489" s="88"/>
      <c r="E489" s="226">
        <v>0.21</v>
      </c>
      <c r="F489" s="225" t="s">
        <v>167</v>
      </c>
      <c r="G489" s="88"/>
      <c r="H489" s="88"/>
      <c r="I489" s="88"/>
      <c r="J489" s="88"/>
      <c r="K489" s="225" t="s">
        <v>239</v>
      </c>
      <c r="L489" s="88"/>
      <c r="M489" s="88"/>
      <c r="N489" s="88"/>
    </row>
    <row r="490" spans="2:14" x14ac:dyDescent="0.2">
      <c r="B490" s="88"/>
      <c r="C490" s="88" t="s">
        <v>147</v>
      </c>
      <c r="D490" s="88"/>
      <c r="E490" s="226">
        <v>0.18</v>
      </c>
      <c r="F490" s="225" t="s">
        <v>120</v>
      </c>
      <c r="G490" s="88"/>
      <c r="H490" s="88"/>
      <c r="I490" s="88"/>
      <c r="J490" s="88"/>
      <c r="K490" s="225" t="s">
        <v>255</v>
      </c>
      <c r="L490" s="88"/>
      <c r="M490" s="88"/>
      <c r="N490" s="88"/>
    </row>
    <row r="491" spans="2:14" x14ac:dyDescent="0.2">
      <c r="B491" s="88"/>
      <c r="C491" s="88" t="s">
        <v>331</v>
      </c>
      <c r="D491" s="88"/>
      <c r="E491" s="226">
        <v>0.16</v>
      </c>
      <c r="F491" s="225"/>
      <c r="G491" s="88"/>
      <c r="H491" s="88"/>
      <c r="I491" s="88"/>
      <c r="J491" s="88"/>
      <c r="K491" s="225" t="s">
        <v>240</v>
      </c>
      <c r="L491" s="88"/>
      <c r="M491" s="88"/>
      <c r="N491" s="88"/>
    </row>
    <row r="492" spans="2:14" x14ac:dyDescent="0.2">
      <c r="B492" s="88"/>
      <c r="C492" s="88"/>
      <c r="D492" s="88"/>
      <c r="E492" s="226">
        <v>0.1</v>
      </c>
      <c r="F492" s="225"/>
      <c r="G492" s="88"/>
      <c r="H492" s="88"/>
      <c r="I492" s="88"/>
      <c r="J492" s="88"/>
      <c r="K492" s="88"/>
      <c r="L492" s="88"/>
      <c r="M492" s="88"/>
      <c r="N492" s="88"/>
    </row>
    <row r="493" spans="2:14" x14ac:dyDescent="0.2">
      <c r="B493" s="88"/>
      <c r="C493" s="88"/>
      <c r="D493" s="88"/>
      <c r="E493" s="157"/>
      <c r="F493" s="88"/>
      <c r="G493" s="88"/>
      <c r="H493" s="88"/>
      <c r="I493" s="88"/>
      <c r="J493" s="88"/>
      <c r="K493" s="88"/>
      <c r="L493" s="88"/>
      <c r="M493" s="88"/>
      <c r="N493" s="88"/>
    </row>
    <row r="494" spans="2:14" x14ac:dyDescent="0.2">
      <c r="B494" s="88"/>
      <c r="C494" s="88"/>
      <c r="D494" s="88"/>
      <c r="E494" s="88"/>
      <c r="F494" s="88"/>
      <c r="G494" s="88"/>
      <c r="H494" s="236" t="s">
        <v>399</v>
      </c>
      <c r="I494" s="88"/>
      <c r="J494" s="88"/>
      <c r="K494" s="88" t="str">
        <f>IF(OR(K388="Broward",K388="Miami-Dade"),"SF","PF")&amp;"-"&amp;IF(OR(K32="New Construction (w/ or w/o Acquisition)",K32="Redevelopment (w/ or w/o Acquisition)"),"NC","RC")&amp;"-"&amp;IF(K393=K489,"GA",IF(OR(K32="New Construction (w/ or w/o Acquisition)",K32="Redevelopment (w/ or w/o Acquisition)"),IF(OR(K393=K490,K393=K492),"MR","HR"),"NG"))&amp;"-"&amp;IF(OR(K32="Rehabilitation (w/ or w/o Acquisition)",K32=F571),"",IF(OR(K396=C489,K393=K491),"ESSC","W"))</f>
        <v>PF-RC-GA-W</v>
      </c>
      <c r="L494" s="88"/>
      <c r="M494" s="88"/>
      <c r="N494" s="88"/>
    </row>
    <row r="495" spans="2:14" x14ac:dyDescent="0.2">
      <c r="B495" s="88"/>
      <c r="C495" s="88"/>
      <c r="D495" s="88"/>
      <c r="E495" s="88" t="s">
        <v>325</v>
      </c>
      <c r="F495" s="88"/>
      <c r="G495" s="88"/>
      <c r="I495" s="88"/>
      <c r="J495" s="88"/>
      <c r="K495" s="88"/>
      <c r="L495" s="88"/>
      <c r="M495" s="88"/>
      <c r="N495" s="88"/>
    </row>
    <row r="496" spans="2:14" x14ac:dyDescent="0.2">
      <c r="B496" s="88"/>
      <c r="C496" s="88"/>
      <c r="D496" s="88"/>
      <c r="E496" s="160" t="s">
        <v>172</v>
      </c>
      <c r="F496" s="88" t="s">
        <v>314</v>
      </c>
      <c r="G496" s="88"/>
      <c r="H496" s="241"/>
      <c r="I496" s="88"/>
      <c r="J496" s="88"/>
      <c r="K496" s="88" t="s">
        <v>375</v>
      </c>
      <c r="L496" s="88"/>
      <c r="M496" s="88"/>
      <c r="N496" s="222">
        <v>248000</v>
      </c>
    </row>
    <row r="497" spans="2:22" x14ac:dyDescent="0.2">
      <c r="B497" s="88"/>
      <c r="C497" s="88"/>
      <c r="D497" s="88"/>
      <c r="E497" s="160" t="s">
        <v>173</v>
      </c>
      <c r="F497" s="88" t="s">
        <v>315</v>
      </c>
      <c r="G497" s="88"/>
      <c r="H497" s="241"/>
      <c r="I497" s="88"/>
      <c r="J497" s="88"/>
      <c r="K497" s="88" t="s">
        <v>258</v>
      </c>
      <c r="L497" s="88"/>
      <c r="M497" s="88"/>
      <c r="N497" s="222">
        <v>206000</v>
      </c>
    </row>
    <row r="498" spans="2:22" x14ac:dyDescent="0.2">
      <c r="B498" s="88"/>
      <c r="C498" s="88"/>
      <c r="D498" s="88"/>
      <c r="E498" s="160" t="s">
        <v>174</v>
      </c>
      <c r="F498" s="88" t="s">
        <v>314</v>
      </c>
      <c r="G498" s="88"/>
      <c r="H498" s="241"/>
      <c r="I498" s="88"/>
      <c r="J498" s="88"/>
      <c r="K498" s="88" t="s">
        <v>376</v>
      </c>
      <c r="L498" s="88"/>
      <c r="M498" s="88"/>
      <c r="N498" s="222">
        <v>317000</v>
      </c>
    </row>
    <row r="499" spans="2:22" x14ac:dyDescent="0.2">
      <c r="B499" s="88"/>
      <c r="C499" s="88"/>
      <c r="D499" s="88"/>
      <c r="E499" s="160" t="s">
        <v>175</v>
      </c>
      <c r="F499" s="88" t="s">
        <v>315</v>
      </c>
      <c r="G499" s="88"/>
      <c r="H499" s="241"/>
      <c r="I499" s="88"/>
      <c r="J499" s="88"/>
      <c r="K499" s="88" t="s">
        <v>377</v>
      </c>
      <c r="L499" s="88"/>
      <c r="M499" s="88"/>
      <c r="N499" s="222">
        <v>274000</v>
      </c>
    </row>
    <row r="500" spans="2:22" x14ac:dyDescent="0.2">
      <c r="B500" s="88"/>
      <c r="C500" s="88"/>
      <c r="D500" s="88"/>
      <c r="E500" s="160" t="s">
        <v>176</v>
      </c>
      <c r="F500" s="88" t="s">
        <v>314</v>
      </c>
      <c r="G500" s="88"/>
      <c r="H500" s="241"/>
      <c r="I500" s="88"/>
      <c r="J500" s="88"/>
      <c r="K500" s="88" t="s">
        <v>259</v>
      </c>
      <c r="L500" s="88"/>
      <c r="M500" s="88"/>
      <c r="N500" s="222">
        <v>248000</v>
      </c>
      <c r="V500" s="88"/>
    </row>
    <row r="501" spans="2:22" x14ac:dyDescent="0.2">
      <c r="B501" s="88"/>
      <c r="C501" s="88"/>
      <c r="D501" s="88"/>
      <c r="E501" s="160" t="s">
        <v>177</v>
      </c>
      <c r="F501" s="88" t="s">
        <v>316</v>
      </c>
      <c r="G501" s="88"/>
      <c r="H501" s="241"/>
      <c r="I501" s="88"/>
      <c r="J501" s="88"/>
      <c r="K501" s="88" t="s">
        <v>328</v>
      </c>
      <c r="L501" s="88"/>
      <c r="M501" s="88"/>
      <c r="N501" s="222">
        <v>173000</v>
      </c>
    </row>
    <row r="502" spans="2:22" x14ac:dyDescent="0.2">
      <c r="B502" s="88"/>
      <c r="C502" s="88"/>
      <c r="D502" s="88"/>
      <c r="E502" s="160" t="s">
        <v>178</v>
      </c>
      <c r="F502" s="88" t="s">
        <v>315</v>
      </c>
      <c r="G502" s="88"/>
      <c r="H502" s="241"/>
      <c r="I502" s="88"/>
      <c r="J502" s="88"/>
      <c r="K502" s="88" t="s">
        <v>329</v>
      </c>
      <c r="L502" s="88"/>
      <c r="M502" s="88"/>
      <c r="N502" s="222">
        <v>243000</v>
      </c>
    </row>
    <row r="503" spans="2:22" x14ac:dyDescent="0.2">
      <c r="B503" s="88"/>
      <c r="C503" s="88"/>
      <c r="D503" s="88"/>
      <c r="E503" s="160" t="s">
        <v>179</v>
      </c>
      <c r="F503" s="88" t="s">
        <v>314</v>
      </c>
      <c r="G503" s="88"/>
      <c r="H503" s="241"/>
      <c r="I503" s="88"/>
      <c r="J503" s="88"/>
      <c r="K503" s="88" t="s">
        <v>378</v>
      </c>
      <c r="L503" s="88"/>
      <c r="M503" s="88"/>
      <c r="N503" s="159">
        <v>260000</v>
      </c>
    </row>
    <row r="504" spans="2:22" x14ac:dyDescent="0.2">
      <c r="B504" s="88"/>
      <c r="C504" s="88"/>
      <c r="D504" s="88"/>
      <c r="E504" s="160" t="s">
        <v>180</v>
      </c>
      <c r="F504" s="88" t="s">
        <v>314</v>
      </c>
      <c r="G504" s="88"/>
      <c r="H504" s="241"/>
      <c r="I504" s="88"/>
      <c r="J504" s="88"/>
      <c r="K504" s="88" t="s">
        <v>256</v>
      </c>
      <c r="L504" s="88"/>
      <c r="M504" s="88"/>
      <c r="N504" s="159">
        <v>217000</v>
      </c>
    </row>
    <row r="505" spans="2:22" x14ac:dyDescent="0.2">
      <c r="B505" s="88"/>
      <c r="C505" s="88"/>
      <c r="D505" s="88"/>
      <c r="E505" s="161" t="s">
        <v>181</v>
      </c>
      <c r="F505" s="88" t="s">
        <v>314</v>
      </c>
      <c r="G505" s="88"/>
      <c r="H505" s="241"/>
      <c r="I505" s="88"/>
      <c r="J505" s="88"/>
      <c r="K505" s="88" t="s">
        <v>379</v>
      </c>
      <c r="L505" s="88"/>
      <c r="M505" s="88"/>
      <c r="N505" s="159">
        <v>332000</v>
      </c>
    </row>
    <row r="506" spans="2:22" x14ac:dyDescent="0.2">
      <c r="B506" s="88"/>
      <c r="C506" s="88"/>
      <c r="D506" s="88"/>
      <c r="E506" s="160" t="s">
        <v>182</v>
      </c>
      <c r="F506" s="88" t="s">
        <v>314</v>
      </c>
      <c r="G506" s="88"/>
      <c r="H506" s="241"/>
      <c r="I506" s="88"/>
      <c r="J506" s="88"/>
      <c r="K506" s="88" t="s">
        <v>380</v>
      </c>
      <c r="L506" s="88"/>
      <c r="M506" s="88"/>
      <c r="N506" s="159">
        <v>287000</v>
      </c>
    </row>
    <row r="507" spans="2:22" x14ac:dyDescent="0.2">
      <c r="B507" s="88"/>
      <c r="C507" s="88"/>
      <c r="D507" s="88"/>
      <c r="E507" s="160" t="s">
        <v>183</v>
      </c>
      <c r="F507" s="88" t="s">
        <v>315</v>
      </c>
      <c r="G507" s="88"/>
      <c r="H507" s="241"/>
      <c r="I507" s="88"/>
      <c r="J507" s="88"/>
      <c r="K507" s="88" t="s">
        <v>257</v>
      </c>
      <c r="L507" s="88"/>
      <c r="M507" s="88"/>
      <c r="N507" s="159">
        <v>260000</v>
      </c>
    </row>
    <row r="508" spans="2:22" x14ac:dyDescent="0.2">
      <c r="B508" s="88"/>
      <c r="C508" s="88"/>
      <c r="D508" s="88"/>
      <c r="E508" s="160" t="s">
        <v>184</v>
      </c>
      <c r="F508" s="88" t="s">
        <v>315</v>
      </c>
      <c r="G508" s="88"/>
      <c r="H508" s="241"/>
      <c r="I508" s="88"/>
      <c r="J508" s="88"/>
      <c r="K508" s="88" t="s">
        <v>326</v>
      </c>
      <c r="L508" s="88"/>
      <c r="M508" s="88"/>
      <c r="N508" s="159">
        <v>181000</v>
      </c>
    </row>
    <row r="509" spans="2:22" x14ac:dyDescent="0.2">
      <c r="B509" s="88"/>
      <c r="C509" s="88"/>
      <c r="D509" s="88"/>
      <c r="E509" s="160" t="s">
        <v>185</v>
      </c>
      <c r="F509" s="88" t="s">
        <v>315</v>
      </c>
      <c r="G509" s="88"/>
      <c r="H509" s="241"/>
      <c r="I509" s="88"/>
      <c r="J509" s="88"/>
      <c r="K509" s="88" t="s">
        <v>327</v>
      </c>
      <c r="L509" s="88"/>
      <c r="M509" s="88"/>
      <c r="N509" s="159">
        <v>255000</v>
      </c>
    </row>
    <row r="510" spans="2:22" x14ac:dyDescent="0.2">
      <c r="B510" s="88"/>
      <c r="C510" s="88"/>
      <c r="D510" s="88"/>
      <c r="E510" s="160" t="s">
        <v>186</v>
      </c>
      <c r="F510" s="88" t="s">
        <v>316</v>
      </c>
      <c r="G510" s="88"/>
      <c r="H510" s="241"/>
      <c r="I510" s="88"/>
      <c r="J510" s="88"/>
      <c r="K510" s="88"/>
      <c r="L510" s="88"/>
      <c r="M510" s="88"/>
      <c r="N510" s="88"/>
    </row>
    <row r="511" spans="2:22" x14ac:dyDescent="0.2">
      <c r="B511" s="88"/>
      <c r="C511" s="88"/>
      <c r="D511" s="88"/>
      <c r="E511" s="160" t="s">
        <v>187</v>
      </c>
      <c r="F511" s="88" t="s">
        <v>314</v>
      </c>
      <c r="G511" s="88"/>
      <c r="H511" s="241"/>
      <c r="I511" s="88"/>
      <c r="J511" s="88"/>
      <c r="K511" s="1" t="s">
        <v>384</v>
      </c>
      <c r="L511" s="1"/>
      <c r="M511" s="1"/>
      <c r="N511" s="223">
        <v>5000</v>
      </c>
    </row>
    <row r="512" spans="2:22" x14ac:dyDescent="0.2">
      <c r="B512" s="88"/>
      <c r="C512" s="88"/>
      <c r="D512" s="88"/>
      <c r="E512" s="160" t="s">
        <v>188</v>
      </c>
      <c r="F512" s="88" t="s">
        <v>314</v>
      </c>
      <c r="G512" s="88"/>
      <c r="H512" s="241"/>
      <c r="I512" s="88"/>
      <c r="J512" s="88"/>
      <c r="K512" s="191" t="s">
        <v>270</v>
      </c>
      <c r="L512" s="191"/>
      <c r="M512" s="191"/>
      <c r="N512" s="192">
        <v>5000</v>
      </c>
    </row>
    <row r="513" spans="2:14" x14ac:dyDescent="0.2">
      <c r="B513" s="88"/>
      <c r="C513" s="88"/>
      <c r="D513" s="88"/>
      <c r="E513" s="160" t="s">
        <v>189</v>
      </c>
      <c r="F513" s="88" t="s">
        <v>315</v>
      </c>
      <c r="G513" s="88"/>
      <c r="H513" s="241"/>
      <c r="I513" s="88"/>
      <c r="J513" s="88"/>
      <c r="K513" s="1" t="s">
        <v>260</v>
      </c>
      <c r="L513" s="1"/>
      <c r="M513" s="1"/>
      <c r="N513" s="235">
        <v>0.65</v>
      </c>
    </row>
    <row r="514" spans="2:14" x14ac:dyDescent="0.2">
      <c r="B514" s="88"/>
      <c r="C514" s="88"/>
      <c r="D514" s="88"/>
      <c r="E514" s="160" t="s">
        <v>190</v>
      </c>
      <c r="F514" s="88" t="s">
        <v>315</v>
      </c>
      <c r="G514" s="88"/>
      <c r="H514" s="241"/>
      <c r="I514" s="88"/>
      <c r="J514" s="88"/>
      <c r="K514" s="1" t="s">
        <v>261</v>
      </c>
      <c r="L514" s="1"/>
      <c r="M514" s="1"/>
      <c r="N514" s="235">
        <v>0.5</v>
      </c>
    </row>
    <row r="515" spans="2:14" x14ac:dyDescent="0.2">
      <c r="B515" s="88"/>
      <c r="C515" s="88"/>
      <c r="D515" s="88"/>
      <c r="E515" s="160" t="s">
        <v>191</v>
      </c>
      <c r="F515" s="88" t="s">
        <v>315</v>
      </c>
      <c r="G515" s="88"/>
      <c r="H515" s="241"/>
      <c r="I515" s="88"/>
      <c r="J515" s="88"/>
      <c r="K515" s="191" t="s">
        <v>248</v>
      </c>
      <c r="L515" s="191"/>
      <c r="M515" s="191"/>
      <c r="N515" s="193">
        <v>0.9</v>
      </c>
    </row>
    <row r="516" spans="2:14" x14ac:dyDescent="0.2">
      <c r="B516" s="88"/>
      <c r="C516" s="88"/>
      <c r="D516" s="88"/>
      <c r="E516" s="160" t="s">
        <v>192</v>
      </c>
      <c r="F516" s="88" t="s">
        <v>315</v>
      </c>
      <c r="G516" s="88"/>
      <c r="H516" s="241"/>
      <c r="I516" s="88"/>
      <c r="J516" s="88"/>
      <c r="K516" s="191" t="s">
        <v>249</v>
      </c>
      <c r="L516" s="191"/>
      <c r="M516" s="191"/>
      <c r="N516" s="193">
        <v>0.9</v>
      </c>
    </row>
    <row r="517" spans="2:14" x14ac:dyDescent="0.2">
      <c r="B517" s="88"/>
      <c r="C517" s="88"/>
      <c r="D517" s="88"/>
      <c r="E517" s="160" t="s">
        <v>193</v>
      </c>
      <c r="F517" s="88" t="s">
        <v>315</v>
      </c>
      <c r="G517" s="88"/>
      <c r="H517" s="241"/>
      <c r="I517" s="88"/>
      <c r="J517" s="88"/>
      <c r="K517" s="191" t="s">
        <v>262</v>
      </c>
      <c r="L517" s="191"/>
      <c r="M517" s="191"/>
      <c r="N517" s="193">
        <v>0.9</v>
      </c>
    </row>
    <row r="518" spans="2:14" x14ac:dyDescent="0.2">
      <c r="B518" s="88"/>
      <c r="C518" s="88"/>
      <c r="D518" s="88"/>
      <c r="E518" s="160" t="s">
        <v>194</v>
      </c>
      <c r="F518" s="88" t="s">
        <v>315</v>
      </c>
      <c r="G518" s="88"/>
      <c r="H518" s="241"/>
      <c r="I518" s="88"/>
      <c r="J518" s="88"/>
      <c r="K518" s="191" t="s">
        <v>250</v>
      </c>
      <c r="L518" s="191"/>
      <c r="M518" s="191"/>
      <c r="N518" s="193">
        <v>0.95</v>
      </c>
    </row>
    <row r="519" spans="2:14" x14ac:dyDescent="0.2">
      <c r="B519" s="88"/>
      <c r="C519" s="88"/>
      <c r="D519" s="88"/>
      <c r="E519" s="160" t="s">
        <v>195</v>
      </c>
      <c r="F519" s="88" t="s">
        <v>315</v>
      </c>
      <c r="G519" s="88"/>
      <c r="H519" s="241"/>
      <c r="I519" s="88"/>
      <c r="J519" s="88"/>
      <c r="K519" s="220" t="s">
        <v>373</v>
      </c>
      <c r="L519" s="88"/>
      <c r="M519" s="88"/>
      <c r="N519" s="193">
        <v>0.9</v>
      </c>
    </row>
    <row r="520" spans="2:14" x14ac:dyDescent="0.2">
      <c r="B520" s="88"/>
      <c r="C520" s="88"/>
      <c r="D520" s="88"/>
      <c r="E520" s="160" t="s">
        <v>196</v>
      </c>
      <c r="F520" s="88" t="s">
        <v>315</v>
      </c>
      <c r="G520" s="88"/>
      <c r="H520" s="241"/>
      <c r="I520" s="88"/>
      <c r="J520" s="88"/>
      <c r="K520" s="220" t="s">
        <v>374</v>
      </c>
      <c r="L520" s="88"/>
      <c r="M520" s="88"/>
      <c r="N520" s="193">
        <v>0.95</v>
      </c>
    </row>
    <row r="521" spans="2:14" x14ac:dyDescent="0.2">
      <c r="B521" s="88"/>
      <c r="C521" s="88"/>
      <c r="D521" s="88"/>
      <c r="E521" s="160" t="s">
        <v>197</v>
      </c>
      <c r="F521" s="88" t="s">
        <v>314</v>
      </c>
      <c r="G521" s="88"/>
      <c r="H521" s="241"/>
      <c r="I521" s="88"/>
      <c r="J521" s="88"/>
      <c r="L521" s="88"/>
      <c r="M521" s="88"/>
    </row>
    <row r="522" spans="2:14" x14ac:dyDescent="0.2">
      <c r="B522" s="88"/>
      <c r="C522" s="88"/>
      <c r="D522" s="88"/>
      <c r="E522" s="160" t="s">
        <v>198</v>
      </c>
      <c r="F522" s="88" t="s">
        <v>314</v>
      </c>
      <c r="G522" s="88"/>
      <c r="H522" s="241"/>
      <c r="I522" s="88"/>
      <c r="J522" s="88"/>
      <c r="K522" s="88"/>
      <c r="L522" s="88"/>
      <c r="M522" s="88"/>
    </row>
    <row r="523" spans="2:14" x14ac:dyDescent="0.2">
      <c r="B523" s="88"/>
      <c r="C523" s="88"/>
      <c r="D523" s="88"/>
      <c r="E523" s="160" t="s">
        <v>199</v>
      </c>
      <c r="F523" s="88" t="s">
        <v>316</v>
      </c>
      <c r="G523" s="88"/>
      <c r="H523" s="241"/>
      <c r="I523" s="88"/>
      <c r="J523" s="88"/>
      <c r="K523" s="191" t="s">
        <v>333</v>
      </c>
      <c r="L523" s="88"/>
      <c r="M523" s="88"/>
    </row>
    <row r="524" spans="2:14" x14ac:dyDescent="0.2">
      <c r="B524" s="88"/>
      <c r="C524" s="88"/>
      <c r="D524" s="88"/>
      <c r="E524" s="160" t="s">
        <v>200</v>
      </c>
      <c r="F524" s="88" t="s">
        <v>315</v>
      </c>
      <c r="G524" s="88"/>
      <c r="H524" s="241"/>
      <c r="I524" s="88"/>
      <c r="J524" s="88"/>
      <c r="K524" s="88"/>
      <c r="L524" s="88"/>
      <c r="M524" s="88"/>
    </row>
    <row r="525" spans="2:14" x14ac:dyDescent="0.2">
      <c r="B525" s="88"/>
      <c r="C525" s="88"/>
      <c r="D525" s="88"/>
      <c r="E525" s="160" t="s">
        <v>201</v>
      </c>
      <c r="F525" s="90" t="s">
        <v>314</v>
      </c>
      <c r="G525" s="88"/>
      <c r="H525" s="241"/>
      <c r="I525" s="88"/>
      <c r="J525" s="88"/>
      <c r="K525" s="245" t="s">
        <v>325</v>
      </c>
      <c r="L525" s="245"/>
      <c r="M525" s="245"/>
    </row>
    <row r="526" spans="2:14" x14ac:dyDescent="0.2">
      <c r="B526" s="88"/>
      <c r="C526" s="88"/>
      <c r="D526" s="88"/>
      <c r="E526" s="160" t="s">
        <v>202</v>
      </c>
      <c r="F526" s="90" t="s">
        <v>315</v>
      </c>
      <c r="G526" s="88"/>
      <c r="H526" s="241"/>
      <c r="I526" s="88"/>
      <c r="J526" s="88"/>
      <c r="K526" s="246" t="s">
        <v>148</v>
      </c>
      <c r="L526" s="246"/>
      <c r="M526" s="246"/>
      <c r="N526" s="88"/>
    </row>
    <row r="527" spans="2:14" x14ac:dyDescent="0.2">
      <c r="B527" s="88"/>
      <c r="C527" s="88"/>
      <c r="D527" s="88"/>
      <c r="E527" s="160" t="s">
        <v>203</v>
      </c>
      <c r="F527" s="90" t="s">
        <v>315</v>
      </c>
      <c r="G527" s="88"/>
      <c r="H527" s="241"/>
      <c r="I527" s="88"/>
      <c r="J527" s="88"/>
      <c r="K527" s="88"/>
      <c r="L527" s="88"/>
      <c r="M527" s="88"/>
      <c r="N527" s="88"/>
    </row>
    <row r="528" spans="2:14" x14ac:dyDescent="0.2">
      <c r="B528" s="88"/>
      <c r="E528" s="160" t="s">
        <v>204</v>
      </c>
      <c r="F528" s="90" t="s">
        <v>315</v>
      </c>
      <c r="H528" s="241"/>
      <c r="I528" s="88"/>
      <c r="J528" s="88"/>
      <c r="K528" s="88"/>
      <c r="L528" s="88"/>
      <c r="M528" s="88"/>
      <c r="N528" s="88"/>
    </row>
    <row r="529" spans="2:22" x14ac:dyDescent="0.2">
      <c r="B529" s="88"/>
      <c r="E529" s="160" t="s">
        <v>205</v>
      </c>
      <c r="F529" s="90" t="s">
        <v>314</v>
      </c>
      <c r="H529" s="241"/>
      <c r="I529" s="88"/>
      <c r="J529" s="88"/>
      <c r="K529" s="191" t="s">
        <v>325</v>
      </c>
      <c r="L529" s="88"/>
      <c r="M529" s="88"/>
    </row>
    <row r="530" spans="2:22" x14ac:dyDescent="0.2">
      <c r="B530" s="88"/>
      <c r="E530" s="160" t="s">
        <v>206</v>
      </c>
      <c r="F530" s="90" t="s">
        <v>314</v>
      </c>
      <c r="H530" s="241"/>
      <c r="I530" s="88"/>
      <c r="J530" s="88"/>
      <c r="K530" s="191" t="s">
        <v>394</v>
      </c>
      <c r="L530" s="88"/>
      <c r="M530" s="88"/>
      <c r="V530" s="88"/>
    </row>
    <row r="531" spans="2:22" x14ac:dyDescent="0.2">
      <c r="B531" s="88"/>
      <c r="E531" s="160" t="s">
        <v>207</v>
      </c>
      <c r="F531" s="90" t="s">
        <v>314</v>
      </c>
      <c r="H531" s="241"/>
      <c r="I531" s="88"/>
      <c r="J531" s="88"/>
      <c r="K531" s="191" t="s">
        <v>396</v>
      </c>
      <c r="L531" s="88"/>
      <c r="M531" s="88"/>
    </row>
    <row r="532" spans="2:22" x14ac:dyDescent="0.2">
      <c r="B532" s="88"/>
      <c r="C532" s="88"/>
      <c r="D532" s="88"/>
      <c r="E532" s="158" t="s">
        <v>208</v>
      </c>
      <c r="F532" s="88" t="s">
        <v>315</v>
      </c>
      <c r="G532" s="88"/>
      <c r="H532" s="241"/>
      <c r="I532" s="88"/>
      <c r="J532" s="88"/>
      <c r="K532" s="88"/>
      <c r="L532" s="88"/>
      <c r="M532" s="88"/>
    </row>
    <row r="533" spans="2:22" x14ac:dyDescent="0.2">
      <c r="B533" s="88"/>
      <c r="C533" s="88"/>
      <c r="D533" s="88"/>
      <c r="E533" s="158" t="s">
        <v>209</v>
      </c>
      <c r="F533" s="88" t="s">
        <v>315</v>
      </c>
      <c r="G533" s="88"/>
      <c r="H533" s="241"/>
      <c r="I533" s="88"/>
      <c r="J533" s="88"/>
      <c r="K533" s="256" t="s">
        <v>140</v>
      </c>
      <c r="L533" s="256"/>
      <c r="M533" s="256"/>
      <c r="N533" s="256"/>
    </row>
    <row r="534" spans="2:22" x14ac:dyDescent="0.2">
      <c r="B534" s="88"/>
      <c r="C534" s="88"/>
      <c r="D534" s="88"/>
      <c r="E534" s="158" t="s">
        <v>210</v>
      </c>
      <c r="F534" s="88" t="s">
        <v>315</v>
      </c>
      <c r="G534" s="88"/>
      <c r="H534" s="241"/>
      <c r="I534" s="88"/>
      <c r="J534" s="88"/>
      <c r="K534" s="130" t="s">
        <v>273</v>
      </c>
    </row>
    <row r="535" spans="2:22" x14ac:dyDescent="0.2">
      <c r="B535" s="88"/>
      <c r="C535" s="88"/>
      <c r="D535" s="88"/>
      <c r="E535" s="158" t="s">
        <v>211</v>
      </c>
      <c r="F535" s="88" t="s">
        <v>314</v>
      </c>
      <c r="G535" s="88"/>
      <c r="H535" s="241"/>
      <c r="I535" s="88"/>
      <c r="J535" s="88"/>
      <c r="K535" s="88"/>
      <c r="L535" s="88"/>
      <c r="M535" s="88"/>
    </row>
    <row r="536" spans="2:22" x14ac:dyDescent="0.2">
      <c r="B536" s="88"/>
      <c r="C536" s="88"/>
      <c r="D536" s="88"/>
      <c r="E536" s="158" t="s">
        <v>212</v>
      </c>
      <c r="F536" s="88" t="s">
        <v>314</v>
      </c>
      <c r="G536" s="88"/>
      <c r="H536" s="241"/>
      <c r="I536" s="88"/>
      <c r="J536" s="88"/>
      <c r="K536" s="191" t="s">
        <v>286</v>
      </c>
      <c r="M536" s="88"/>
    </row>
    <row r="537" spans="2:22" x14ac:dyDescent="0.2">
      <c r="B537" s="88"/>
      <c r="C537" s="88"/>
      <c r="D537" s="88"/>
      <c r="E537" s="158" t="s">
        <v>213</v>
      </c>
      <c r="F537" s="88" t="s">
        <v>314</v>
      </c>
      <c r="G537" s="88"/>
      <c r="H537" s="241"/>
      <c r="I537" s="88"/>
      <c r="J537" s="88"/>
      <c r="K537" s="242">
        <v>0.21</v>
      </c>
      <c r="M537" s="88"/>
    </row>
    <row r="538" spans="2:22" x14ac:dyDescent="0.2">
      <c r="B538" s="88"/>
      <c r="C538" s="88"/>
      <c r="D538" s="88"/>
      <c r="E538" s="158" t="s">
        <v>214</v>
      </c>
      <c r="F538" s="88" t="s">
        <v>316</v>
      </c>
      <c r="G538" s="88"/>
      <c r="H538" s="241"/>
      <c r="I538" s="88"/>
      <c r="J538" s="88"/>
      <c r="K538" s="242">
        <v>0.18</v>
      </c>
      <c r="M538" s="88"/>
    </row>
    <row r="539" spans="2:22" x14ac:dyDescent="0.2">
      <c r="B539" s="88"/>
      <c r="C539" s="88"/>
      <c r="D539" s="88"/>
      <c r="E539" s="158" t="s">
        <v>215</v>
      </c>
      <c r="F539" s="88" t="s">
        <v>315</v>
      </c>
      <c r="G539" s="88"/>
      <c r="H539" s="241"/>
      <c r="I539" s="88"/>
      <c r="J539" s="88"/>
      <c r="K539" s="242">
        <v>0.16</v>
      </c>
      <c r="M539" s="88"/>
    </row>
    <row r="540" spans="2:22" x14ac:dyDescent="0.2">
      <c r="B540" s="88"/>
      <c r="C540" s="88"/>
      <c r="D540" s="88"/>
      <c r="E540" s="158" t="s">
        <v>216</v>
      </c>
      <c r="F540" s="88" t="s">
        <v>315</v>
      </c>
      <c r="G540" s="88"/>
      <c r="H540" s="241"/>
      <c r="I540" s="88"/>
      <c r="J540" s="88"/>
      <c r="K540" s="242">
        <v>0.1</v>
      </c>
      <c r="L540" s="88"/>
      <c r="M540" s="88"/>
    </row>
    <row r="541" spans="2:22" x14ac:dyDescent="0.2">
      <c r="B541" s="88"/>
      <c r="C541" s="88"/>
      <c r="D541" s="88"/>
      <c r="E541" s="158" t="s">
        <v>217</v>
      </c>
      <c r="F541" s="88" t="s">
        <v>314</v>
      </c>
      <c r="G541" s="88"/>
      <c r="H541" s="241"/>
      <c r="I541" s="88"/>
      <c r="J541" s="88"/>
      <c r="L541" s="88"/>
      <c r="M541" s="88"/>
    </row>
    <row r="542" spans="2:22" x14ac:dyDescent="0.2">
      <c r="B542" s="88"/>
      <c r="C542" s="88"/>
      <c r="D542" s="88"/>
      <c r="E542" s="158" t="s">
        <v>218</v>
      </c>
      <c r="F542" s="88" t="s">
        <v>315</v>
      </c>
      <c r="G542" s="88"/>
      <c r="H542" s="241"/>
      <c r="I542" s="88"/>
      <c r="J542" s="88"/>
      <c r="K542" s="191" t="s">
        <v>140</v>
      </c>
      <c r="L542" s="88"/>
      <c r="M542" s="88"/>
    </row>
    <row r="543" spans="2:22" x14ac:dyDescent="0.2">
      <c r="B543" s="88"/>
      <c r="C543" s="88"/>
      <c r="D543" s="88"/>
      <c r="E543" s="158" t="s">
        <v>219</v>
      </c>
      <c r="F543" s="88" t="s">
        <v>316</v>
      </c>
      <c r="G543" s="88"/>
      <c r="H543" s="241"/>
      <c r="I543" s="88"/>
      <c r="J543" s="88"/>
      <c r="K543" s="191" t="s">
        <v>167</v>
      </c>
      <c r="L543" s="88"/>
      <c r="M543" s="88"/>
    </row>
    <row r="544" spans="2:22" x14ac:dyDescent="0.2">
      <c r="B544" s="88"/>
      <c r="C544" s="88"/>
      <c r="D544" s="88"/>
      <c r="E544" s="158" t="s">
        <v>220</v>
      </c>
      <c r="F544" s="88" t="s">
        <v>314</v>
      </c>
      <c r="G544" s="88"/>
      <c r="H544" s="241"/>
      <c r="I544" s="88"/>
      <c r="J544" s="88"/>
      <c r="K544" s="191" t="s">
        <v>120</v>
      </c>
      <c r="L544" s="88"/>
      <c r="M544" s="88"/>
    </row>
    <row r="545" spans="2:13" x14ac:dyDescent="0.2">
      <c r="B545" s="88"/>
      <c r="C545" s="88"/>
      <c r="D545" s="88"/>
      <c r="E545" s="158" t="s">
        <v>221</v>
      </c>
      <c r="F545" s="88" t="s">
        <v>316</v>
      </c>
      <c r="G545" s="88"/>
      <c r="H545" s="241"/>
      <c r="I545" s="88"/>
      <c r="J545" s="88"/>
      <c r="K545" s="191" t="s">
        <v>121</v>
      </c>
      <c r="L545" s="88"/>
      <c r="M545" s="88"/>
    </row>
    <row r="546" spans="2:13" x14ac:dyDescent="0.2">
      <c r="B546" s="88"/>
      <c r="C546" s="88"/>
      <c r="D546" s="88"/>
      <c r="E546" s="158" t="s">
        <v>222</v>
      </c>
      <c r="F546" s="88" t="s">
        <v>314</v>
      </c>
      <c r="G546" s="88"/>
      <c r="H546" s="241"/>
      <c r="I546" s="88"/>
      <c r="J546" s="88"/>
      <c r="K546" s="191" t="s">
        <v>122</v>
      </c>
      <c r="L546" s="88"/>
      <c r="M546" s="88"/>
    </row>
    <row r="547" spans="2:13" x14ac:dyDescent="0.2">
      <c r="B547" s="88"/>
      <c r="C547" s="88"/>
      <c r="D547" s="88"/>
      <c r="E547" s="158" t="s">
        <v>223</v>
      </c>
      <c r="F547" s="88" t="s">
        <v>316</v>
      </c>
      <c r="G547" s="88"/>
      <c r="H547" s="241"/>
      <c r="I547" s="88"/>
      <c r="J547" s="88"/>
      <c r="K547" s="88"/>
      <c r="L547" s="88"/>
      <c r="M547" s="88"/>
    </row>
    <row r="548" spans="2:13" x14ac:dyDescent="0.2">
      <c r="B548" s="88"/>
      <c r="C548" s="88"/>
      <c r="D548" s="88"/>
      <c r="E548" s="160" t="s">
        <v>224</v>
      </c>
      <c r="F548" s="88" t="s">
        <v>314</v>
      </c>
      <c r="G548" s="88"/>
      <c r="H548" s="241"/>
      <c r="I548" s="88"/>
      <c r="J548" s="88"/>
      <c r="K548" s="191" t="s">
        <v>325</v>
      </c>
      <c r="L548" s="88"/>
      <c r="M548" s="88"/>
    </row>
    <row r="549" spans="2:13" x14ac:dyDescent="0.2">
      <c r="B549" s="88"/>
      <c r="C549" s="88"/>
      <c r="D549" s="88"/>
      <c r="E549" s="160" t="s">
        <v>225</v>
      </c>
      <c r="F549" s="88" t="s">
        <v>315</v>
      </c>
      <c r="G549" s="88"/>
      <c r="H549" s="241"/>
      <c r="I549" s="88"/>
      <c r="J549" s="88"/>
      <c r="K549" s="191" t="s">
        <v>239</v>
      </c>
      <c r="L549" s="88"/>
      <c r="M549" s="88"/>
    </row>
    <row r="550" spans="2:13" x14ac:dyDescent="0.2">
      <c r="B550" s="88"/>
      <c r="C550" s="88"/>
      <c r="D550" s="88"/>
      <c r="E550" s="158" t="s">
        <v>226</v>
      </c>
      <c r="F550" s="88" t="s">
        <v>314</v>
      </c>
      <c r="G550" s="88"/>
      <c r="H550" s="241"/>
      <c r="I550" s="88"/>
      <c r="J550" s="88"/>
      <c r="K550" s="191" t="s">
        <v>255</v>
      </c>
      <c r="L550" s="88"/>
      <c r="M550" s="88"/>
    </row>
    <row r="551" spans="2:13" x14ac:dyDescent="0.2">
      <c r="B551" s="88"/>
      <c r="C551" s="88"/>
      <c r="D551" s="88"/>
      <c r="E551" s="158" t="s">
        <v>227</v>
      </c>
      <c r="F551" s="88" t="s">
        <v>314</v>
      </c>
      <c r="G551" s="88"/>
      <c r="H551" s="241"/>
      <c r="I551" s="88"/>
      <c r="J551" s="88"/>
      <c r="K551" s="191" t="s">
        <v>240</v>
      </c>
      <c r="L551" s="88"/>
      <c r="M551" s="88"/>
    </row>
    <row r="552" spans="2:13" x14ac:dyDescent="0.2">
      <c r="B552" s="88"/>
      <c r="C552" s="88"/>
      <c r="D552" s="88"/>
      <c r="E552" s="158" t="s">
        <v>228</v>
      </c>
      <c r="F552" s="88" t="s">
        <v>314</v>
      </c>
      <c r="G552" s="88"/>
      <c r="H552" s="241"/>
      <c r="I552" s="88"/>
      <c r="J552" s="88"/>
      <c r="K552" s="88"/>
      <c r="L552" s="88"/>
      <c r="M552" s="88"/>
    </row>
    <row r="553" spans="2:13" x14ac:dyDescent="0.2">
      <c r="C553" s="88"/>
      <c r="D553" s="88"/>
      <c r="E553" s="158" t="s">
        <v>229</v>
      </c>
      <c r="F553" s="88" t="s">
        <v>314</v>
      </c>
      <c r="G553" s="88"/>
      <c r="H553" s="241"/>
      <c r="K553" s="2" t="s">
        <v>400</v>
      </c>
    </row>
    <row r="554" spans="2:13" x14ac:dyDescent="0.2">
      <c r="C554" s="88"/>
      <c r="D554" s="88"/>
      <c r="E554" s="158" t="s">
        <v>230</v>
      </c>
      <c r="F554" s="88" t="s">
        <v>314</v>
      </c>
      <c r="G554" s="88"/>
      <c r="H554" s="241"/>
      <c r="K554" s="243">
        <v>0</v>
      </c>
    </row>
    <row r="555" spans="2:13" x14ac:dyDescent="0.2">
      <c r="C555" s="88"/>
      <c r="D555" s="88"/>
      <c r="E555" s="158" t="s">
        <v>231</v>
      </c>
      <c r="F555" s="88" t="s">
        <v>314</v>
      </c>
      <c r="G555" s="88"/>
      <c r="H555" s="241"/>
    </row>
    <row r="556" spans="2:13" x14ac:dyDescent="0.2">
      <c r="C556" s="88"/>
      <c r="D556" s="88"/>
      <c r="E556" s="158" t="s">
        <v>232</v>
      </c>
      <c r="F556" s="90" t="s">
        <v>315</v>
      </c>
      <c r="G556" s="88"/>
      <c r="H556" s="241"/>
    </row>
    <row r="557" spans="2:13" x14ac:dyDescent="0.2">
      <c r="E557" s="158" t="s">
        <v>233</v>
      </c>
      <c r="F557" s="90" t="s">
        <v>315</v>
      </c>
      <c r="H557" s="241"/>
    </row>
    <row r="558" spans="2:13" x14ac:dyDescent="0.2">
      <c r="E558" s="158" t="s">
        <v>234</v>
      </c>
      <c r="F558" s="90" t="s">
        <v>315</v>
      </c>
      <c r="H558" s="241"/>
    </row>
    <row r="559" spans="2:13" x14ac:dyDescent="0.2">
      <c r="E559" s="158" t="s">
        <v>235</v>
      </c>
      <c r="F559" s="90" t="s">
        <v>314</v>
      </c>
      <c r="H559" s="241"/>
    </row>
    <row r="560" spans="2:13" x14ac:dyDescent="0.2">
      <c r="E560" s="158" t="s">
        <v>236</v>
      </c>
      <c r="F560" s="90" t="s">
        <v>315</v>
      </c>
      <c r="H560" s="241"/>
    </row>
    <row r="561" spans="5:8" x14ac:dyDescent="0.2">
      <c r="E561" s="158" t="s">
        <v>237</v>
      </c>
      <c r="F561" s="90" t="s">
        <v>315</v>
      </c>
      <c r="H561" s="241"/>
    </row>
    <row r="562" spans="5:8" x14ac:dyDescent="0.2">
      <c r="E562" s="158" t="s">
        <v>238</v>
      </c>
      <c r="F562" s="90" t="s">
        <v>315</v>
      </c>
      <c r="H562" s="241"/>
    </row>
    <row r="563" spans="5:8" x14ac:dyDescent="0.2">
      <c r="E563" s="158"/>
      <c r="F563" s="88"/>
      <c r="H563" s="179"/>
    </row>
    <row r="564" spans="5:8" x14ac:dyDescent="0.2">
      <c r="E564" s="160"/>
      <c r="F564" s="88"/>
      <c r="H564" s="180"/>
    </row>
    <row r="565" spans="5:8" x14ac:dyDescent="0.2">
      <c r="E565" s="160"/>
      <c r="F565" s="88"/>
      <c r="H565" s="180"/>
    </row>
    <row r="566" spans="5:8" x14ac:dyDescent="0.2">
      <c r="E566" s="160"/>
      <c r="F566" s="88"/>
      <c r="H566" s="180"/>
    </row>
    <row r="569" spans="5:8" x14ac:dyDescent="0.2">
      <c r="E569" s="158"/>
      <c r="F569" s="88"/>
    </row>
    <row r="570" spans="5:8" x14ac:dyDescent="0.2">
      <c r="E570" s="158"/>
      <c r="F570" s="88"/>
    </row>
    <row r="571" spans="5:8" x14ac:dyDescent="0.2">
      <c r="E571" s="158"/>
      <c r="F571" s="88"/>
    </row>
    <row r="572" spans="5:8" x14ac:dyDescent="0.2">
      <c r="E572" s="158"/>
      <c r="F572" s="88"/>
    </row>
    <row r="573" spans="5:8" x14ac:dyDescent="0.2">
      <c r="E573" s="158"/>
      <c r="F573" s="88"/>
    </row>
    <row r="574" spans="5:8" x14ac:dyDescent="0.2">
      <c r="E574" s="160"/>
      <c r="F574" s="88"/>
    </row>
  </sheetData>
  <sheetProtection algorithmName="SHA-512" hashValue="p0/3R8WWETaLR/O1nL+v1Ob+Vx9XMVFt2Jzpy+rpRQmKSCAELdscgXX8miV80NlRcLjzi7eTXbniSwuMVLeQsg==" saltValue="gY5tmH1yzpXiOAnErqGvJA==" spinCount="100000" sheet="1" selectLockedCells="1"/>
  <sortState ref="C496:H562">
    <sortCondition descending="1" ref="C496:C562"/>
    <sortCondition ref="E496:E562"/>
  </sortState>
  <mergeCells count="105">
    <mergeCell ref="K533:N533"/>
    <mergeCell ref="Q275:R275"/>
    <mergeCell ref="Q336:R336"/>
    <mergeCell ref="Q34:Z36"/>
    <mergeCell ref="Q41:Z42"/>
    <mergeCell ref="Q55:Z56"/>
    <mergeCell ref="Q73:Z74"/>
    <mergeCell ref="Q77:Z78"/>
    <mergeCell ref="Q170:Z171"/>
    <mergeCell ref="Q89:Z90"/>
    <mergeCell ref="Q91:Z92"/>
    <mergeCell ref="Q104:Z105"/>
    <mergeCell ref="Q106:Z107"/>
    <mergeCell ref="Q124:Z125"/>
    <mergeCell ref="Q165:Z166"/>
    <mergeCell ref="Q150:Z151"/>
    <mergeCell ref="Q53:Z54"/>
    <mergeCell ref="Q187:Z188"/>
    <mergeCell ref="Q110:Z111"/>
    <mergeCell ref="Q112:Z113"/>
    <mergeCell ref="Q116:Z117"/>
    <mergeCell ref="Q128:Z129"/>
    <mergeCell ref="Q122:Z123"/>
    <mergeCell ref="Q120:AC121"/>
    <mergeCell ref="Q85:Z86"/>
    <mergeCell ref="Q118:Z119"/>
    <mergeCell ref="Q175:Z176"/>
    <mergeCell ref="Q262:Z265"/>
    <mergeCell ref="K403:M403"/>
    <mergeCell ref="Q193:Z194"/>
    <mergeCell ref="Q191:Z192"/>
    <mergeCell ref="I253:K253"/>
    <mergeCell ref="K388:M388"/>
    <mergeCell ref="K393:M393"/>
    <mergeCell ref="F237:O239"/>
    <mergeCell ref="F244:O246"/>
    <mergeCell ref="E363:F363"/>
    <mergeCell ref="K389:M389"/>
    <mergeCell ref="K394:M394"/>
    <mergeCell ref="Q323:Z326"/>
    <mergeCell ref="Q272:R272"/>
    <mergeCell ref="Q273:R273"/>
    <mergeCell ref="Q274:R274"/>
    <mergeCell ref="Q333:R333"/>
    <mergeCell ref="Q334:R334"/>
    <mergeCell ref="Q335:R335"/>
    <mergeCell ref="B486:N486"/>
    <mergeCell ref="K437:M438"/>
    <mergeCell ref="K436:M436"/>
    <mergeCell ref="E310:F310"/>
    <mergeCell ref="K435:M435"/>
    <mergeCell ref="K396:M396"/>
    <mergeCell ref="D470:F470"/>
    <mergeCell ref="M467:P469"/>
    <mergeCell ref="M463:P465"/>
    <mergeCell ref="K406:M406"/>
    <mergeCell ref="K425:M425"/>
    <mergeCell ref="H451:P452"/>
    <mergeCell ref="N454:P462"/>
    <mergeCell ref="K32:N32"/>
    <mergeCell ref="F211:O213"/>
    <mergeCell ref="F215:O217"/>
    <mergeCell ref="F222:O226"/>
    <mergeCell ref="F228:O232"/>
    <mergeCell ref="K434:M434"/>
    <mergeCell ref="K414:M414"/>
    <mergeCell ref="N411:N413"/>
    <mergeCell ref="K405:M405"/>
    <mergeCell ref="K407:M407"/>
    <mergeCell ref="K410:M410"/>
    <mergeCell ref="K399:M399"/>
    <mergeCell ref="I254:K254"/>
    <mergeCell ref="K433:M433"/>
    <mergeCell ref="E365:F365"/>
    <mergeCell ref="E312:F312"/>
    <mergeCell ref="N408:N409"/>
    <mergeCell ref="K413:M413"/>
    <mergeCell ref="K415:M415"/>
    <mergeCell ref="K427:M427"/>
    <mergeCell ref="K429:M429"/>
    <mergeCell ref="K401:M401"/>
    <mergeCell ref="K525:M525"/>
    <mergeCell ref="K526:M526"/>
    <mergeCell ref="K395:M395"/>
    <mergeCell ref="K391:N391"/>
    <mergeCell ref="N402:N404"/>
    <mergeCell ref="K404:M404"/>
    <mergeCell ref="K417:M417"/>
    <mergeCell ref="K418:M418"/>
    <mergeCell ref="N417:N418"/>
    <mergeCell ref="E419:M419"/>
    <mergeCell ref="K430:M430"/>
    <mergeCell ref="K398:M398"/>
    <mergeCell ref="K421:M421"/>
    <mergeCell ref="K402:M402"/>
    <mergeCell ref="K408:M408"/>
    <mergeCell ref="K409:M409"/>
    <mergeCell ref="K411:M411"/>
    <mergeCell ref="K412:M412"/>
    <mergeCell ref="K416:M416"/>
    <mergeCell ref="K422:M422"/>
    <mergeCell ref="K424:M424"/>
    <mergeCell ref="K426:M426"/>
    <mergeCell ref="K428:M428"/>
    <mergeCell ref="K431:M431"/>
  </mergeCells>
  <conditionalFormatting sqref="Q60">
    <cfRule type="cellIs" dxfId="106" priority="189" operator="equal">
      <formula>"Yes"</formula>
    </cfRule>
    <cfRule type="cellIs" dxfId="105" priority="190" operator="equal">
      <formula>"No"</formula>
    </cfRule>
  </conditionalFormatting>
  <conditionalFormatting sqref="Q65">
    <cfRule type="cellIs" dxfId="104" priority="187" operator="equal">
      <formula>"Yes"</formula>
    </cfRule>
    <cfRule type="cellIs" dxfId="103" priority="188" operator="equal">
      <formula>"No"</formula>
    </cfRule>
  </conditionalFormatting>
  <conditionalFormatting sqref="K32:N32 N33">
    <cfRule type="cellIs" dxfId="102" priority="186" operator="equal">
      <formula>$F$488</formula>
    </cfRule>
  </conditionalFormatting>
  <conditionalFormatting sqref="Q133">
    <cfRule type="cellIs" dxfId="101" priority="184" operator="equal">
      <formula>"Yes"</formula>
    </cfRule>
    <cfRule type="cellIs" dxfId="100" priority="185" operator="equal">
      <formula>"No"</formula>
    </cfRule>
  </conditionalFormatting>
  <conditionalFormatting sqref="Q190">
    <cfRule type="cellIs" dxfId="99" priority="182" operator="equal">
      <formula>"Yes"</formula>
    </cfRule>
    <cfRule type="cellIs" dxfId="98" priority="183" operator="equal">
      <formula>"No"</formula>
    </cfRule>
  </conditionalFormatting>
  <conditionalFormatting sqref="Q183">
    <cfRule type="cellIs" dxfId="97" priority="180" operator="equal">
      <formula>"Yes"</formula>
    </cfRule>
    <cfRule type="cellIs" dxfId="96" priority="181" operator="equal">
      <formula>"No"</formula>
    </cfRule>
  </conditionalFormatting>
  <conditionalFormatting sqref="Q185:Q186">
    <cfRule type="cellIs" dxfId="95" priority="178" operator="equal">
      <formula>"Yes"</formula>
    </cfRule>
    <cfRule type="cellIs" dxfId="94" priority="179" operator="equal">
      <formula>"No"</formula>
    </cfRule>
  </conditionalFormatting>
  <conditionalFormatting sqref="J320">
    <cfRule type="expression" dxfId="93" priority="175">
      <formula>H320&lt;0</formula>
    </cfRule>
  </conditionalFormatting>
  <conditionalFormatting sqref="J373">
    <cfRule type="expression" dxfId="92" priority="174">
      <formula>H373&lt;0</formula>
    </cfRule>
  </conditionalFormatting>
  <conditionalFormatting sqref="D372:F373 J373:P373">
    <cfRule type="expression" dxfId="91" priority="171">
      <formula>$H$373&lt;0</formula>
    </cfRule>
  </conditionalFormatting>
  <conditionalFormatting sqref="D319:F320 J320:P320">
    <cfRule type="expression" dxfId="90" priority="170">
      <formula>$H$320&lt;0</formula>
    </cfRule>
  </conditionalFormatting>
  <conditionalFormatting sqref="F237:O239">
    <cfRule type="expression" dxfId="89" priority="162">
      <formula>AND(F237="",N165&lt;&gt;"")</formula>
    </cfRule>
  </conditionalFormatting>
  <conditionalFormatting sqref="F228:O232">
    <cfRule type="expression" dxfId="88" priority="161">
      <formula>AND(F228="",N128&lt;&gt;"")</formula>
    </cfRule>
  </conditionalFormatting>
  <conditionalFormatting sqref="F222:O226">
    <cfRule type="expression" dxfId="87" priority="160">
      <formula>AND(F222="",N104&lt;&gt;"")</formula>
    </cfRule>
  </conditionalFormatting>
  <conditionalFormatting sqref="F215:O217">
    <cfRule type="expression" dxfId="86" priority="159">
      <formula>AND(F215="",N55&lt;&gt;"")</formula>
    </cfRule>
  </conditionalFormatting>
  <conditionalFormatting sqref="F211:O213">
    <cfRule type="expression" dxfId="85" priority="158">
      <formula>AND(F211="",N45&lt;&gt;"")</formula>
    </cfRule>
  </conditionalFormatting>
  <conditionalFormatting sqref="Q189">
    <cfRule type="cellIs" dxfId="84" priority="157" operator="equal">
      <formula>$E$488</formula>
    </cfRule>
  </conditionalFormatting>
  <conditionalFormatting sqref="F244:O246">
    <cfRule type="expression" dxfId="83" priority="150">
      <formula>AND(F244="",$N$173&lt;&gt;"")</formula>
    </cfRule>
  </conditionalFormatting>
  <conditionalFormatting sqref="N189 N184 N182">
    <cfRule type="expression" dxfId="82" priority="206">
      <formula>Q183="No"</formula>
    </cfRule>
  </conditionalFormatting>
  <conditionalFormatting sqref="N133">
    <cfRule type="expression" dxfId="81" priority="149">
      <formula>Q133="No"</formula>
    </cfRule>
  </conditionalFormatting>
  <conditionalFormatting sqref="N60">
    <cfRule type="expression" dxfId="80" priority="148">
      <formula>Q60="No"</formula>
    </cfRule>
  </conditionalFormatting>
  <conditionalFormatting sqref="N65">
    <cfRule type="expression" dxfId="79" priority="147">
      <formula>Q65="No"</formula>
    </cfRule>
  </conditionalFormatting>
  <conditionalFormatting sqref="C189:F189 D184:F184 D182:F182">
    <cfRule type="expression" dxfId="78" priority="146">
      <formula>$Q183="No"</formula>
    </cfRule>
  </conditionalFormatting>
  <conditionalFormatting sqref="C133:F133 C60:F60 C65:F65">
    <cfRule type="expression" dxfId="77" priority="145">
      <formula>$Q60="No"</formula>
    </cfRule>
  </conditionalFormatting>
  <conditionalFormatting sqref="P182">
    <cfRule type="cellIs" dxfId="76" priority="144" operator="equal">
      <formula>"**"</formula>
    </cfRule>
  </conditionalFormatting>
  <conditionalFormatting sqref="P184">
    <cfRule type="cellIs" dxfId="75" priority="143" operator="equal">
      <formula>"**"</formula>
    </cfRule>
  </conditionalFormatting>
  <conditionalFormatting sqref="P189">
    <cfRule type="cellIs" dxfId="74" priority="142" operator="equal">
      <formula>"**"</formula>
    </cfRule>
  </conditionalFormatting>
  <conditionalFormatting sqref="P133">
    <cfRule type="cellIs" dxfId="73" priority="141" operator="equal">
      <formula>"**"</formula>
    </cfRule>
  </conditionalFormatting>
  <conditionalFormatting sqref="P65">
    <cfRule type="cellIs" dxfId="72" priority="140" operator="equal">
      <formula>"**"</formula>
    </cfRule>
  </conditionalFormatting>
  <conditionalFormatting sqref="P60">
    <cfRule type="cellIs" dxfId="71" priority="139" operator="equal">
      <formula>"**"</formula>
    </cfRule>
  </conditionalFormatting>
  <conditionalFormatting sqref="P211">
    <cfRule type="cellIs" dxfId="70" priority="138" operator="equal">
      <formula>"**"</formula>
    </cfRule>
  </conditionalFormatting>
  <conditionalFormatting sqref="P215">
    <cfRule type="cellIs" dxfId="69" priority="137" operator="equal">
      <formula>"**"</formula>
    </cfRule>
  </conditionalFormatting>
  <conditionalFormatting sqref="P222">
    <cfRule type="cellIs" dxfId="68" priority="136" operator="equal">
      <formula>"**"</formula>
    </cfRule>
  </conditionalFormatting>
  <conditionalFormatting sqref="P228">
    <cfRule type="cellIs" dxfId="67" priority="135" operator="equal">
      <formula>"**"</formula>
    </cfRule>
  </conditionalFormatting>
  <conditionalFormatting sqref="P237">
    <cfRule type="cellIs" dxfId="66" priority="134" operator="equal">
      <formula>"**"</formula>
    </cfRule>
  </conditionalFormatting>
  <conditionalFormatting sqref="P244">
    <cfRule type="cellIs" dxfId="65" priority="133" operator="equal">
      <formula>"**"</formula>
    </cfRule>
  </conditionalFormatting>
  <conditionalFormatting sqref="P32:P33">
    <cfRule type="cellIs" dxfId="64" priority="132" operator="equal">
      <formula>"**"</formula>
    </cfRule>
  </conditionalFormatting>
  <conditionalFormatting sqref="P319">
    <cfRule type="cellIs" dxfId="63" priority="131" operator="equal">
      <formula>"**"</formula>
    </cfRule>
  </conditionalFormatting>
  <conditionalFormatting sqref="P438">
    <cfRule type="cellIs" dxfId="62" priority="129" operator="equal">
      <formula>"**"</formula>
    </cfRule>
  </conditionalFormatting>
  <conditionalFormatting sqref="K437:M438">
    <cfRule type="cellIs" dxfId="61" priority="128" operator="equal">
      <formula>"No"</formula>
    </cfRule>
  </conditionalFormatting>
  <conditionalFormatting sqref="I254:K254">
    <cfRule type="expression" dxfId="60" priority="211">
      <formula>OR(K$32=F$491,K$32=F$492)</formula>
    </cfRule>
  </conditionalFormatting>
  <conditionalFormatting sqref="I254:K254">
    <cfRule type="expression" dxfId="59" priority="212">
      <formula>AND(OR(K32=F491,K32=F492),OR(I254="",I254=$C$488))</formula>
    </cfRule>
  </conditionalFormatting>
  <conditionalFormatting sqref="I253:K253">
    <cfRule type="expression" dxfId="58" priority="213">
      <formula>OR(K$32=F$491,K$32=F$492)</formula>
    </cfRule>
    <cfRule type="expression" dxfId="57" priority="214">
      <formula>AND(OR(K$32=F$491,K$32=F$492),N(I253)=0)</formula>
    </cfRule>
  </conditionalFormatting>
  <conditionalFormatting sqref="Q182">
    <cfRule type="cellIs" dxfId="56" priority="123" operator="equal">
      <formula>"(select below)"</formula>
    </cfRule>
    <cfRule type="cellIs" dxfId="55" priority="126" operator="equal">
      <formula>$E$488</formula>
    </cfRule>
  </conditionalFormatting>
  <conditionalFormatting sqref="Q184">
    <cfRule type="cellIs" dxfId="54" priority="125" operator="equal">
      <formula>$E$488</formula>
    </cfRule>
  </conditionalFormatting>
  <conditionalFormatting sqref="N191">
    <cfRule type="expression" dxfId="53" priority="124">
      <formula>Q192="No"</formula>
    </cfRule>
  </conditionalFormatting>
  <conditionalFormatting sqref="K32:N32">
    <cfRule type="cellIs" dxfId="52" priority="122" operator="equal">
      <formula>""</formula>
    </cfRule>
  </conditionalFormatting>
  <conditionalFormatting sqref="D186:D187">
    <cfRule type="expression" dxfId="51" priority="121">
      <formula>$Q188="No"</formula>
    </cfRule>
  </conditionalFormatting>
  <conditionalFormatting sqref="H187 N187">
    <cfRule type="expression" dxfId="50" priority="119">
      <formula>$Q$184=21%</formula>
    </cfRule>
  </conditionalFormatting>
  <conditionalFormatting sqref="P372">
    <cfRule type="cellIs" dxfId="49" priority="118" operator="equal">
      <formula>"**"</formula>
    </cfRule>
  </conditionalFormatting>
  <conditionalFormatting sqref="C65:F65">
    <cfRule type="expression" dxfId="48" priority="114">
      <formula>AND(N($N65)&gt;0,$Q65="TBD")</formula>
    </cfRule>
  </conditionalFormatting>
  <conditionalFormatting sqref="P273">
    <cfRule type="cellIs" dxfId="47" priority="9" operator="equal">
      <formula>"**"</formula>
    </cfRule>
  </conditionalFormatting>
  <conditionalFormatting sqref="P275">
    <cfRule type="cellIs" dxfId="46" priority="112" operator="equal">
      <formula>"**"</formula>
    </cfRule>
  </conditionalFormatting>
  <conditionalFormatting sqref="R268">
    <cfRule type="expression" dxfId="45" priority="107">
      <formula>OR($Q268="TBD",$H$273&gt;N($Q268))</formula>
    </cfRule>
  </conditionalFormatting>
  <conditionalFormatting sqref="Q268">
    <cfRule type="expression" dxfId="44" priority="92">
      <formula>OR($Q268="TBD",$H$273&gt;N($Q268))</formula>
    </cfRule>
  </conditionalFormatting>
  <conditionalFormatting sqref="P281">
    <cfRule type="cellIs" dxfId="43" priority="91" operator="equal">
      <formula>"**"</formula>
    </cfRule>
  </conditionalFormatting>
  <conditionalFormatting sqref="C281:F281">
    <cfRule type="expression" dxfId="42" priority="90">
      <formula>$H281&gt;$Q282</formula>
    </cfRule>
  </conditionalFormatting>
  <conditionalFormatting sqref="C342:F342">
    <cfRule type="expression" dxfId="41" priority="89">
      <formula>$H342&gt;$Q343</formula>
    </cfRule>
  </conditionalFormatting>
  <conditionalFormatting sqref="P342">
    <cfRule type="cellIs" dxfId="40" priority="88" operator="equal">
      <formula>"**"</formula>
    </cfRule>
  </conditionalFormatting>
  <conditionalFormatting sqref="R282">
    <cfRule type="cellIs" dxfId="39" priority="78" operator="equal">
      <formula>"(Please select a county from the drop-down menu within the TDC PU Limitation Analysis section below)"</formula>
    </cfRule>
    <cfRule type="expression" dxfId="38" priority="87">
      <formula>P281="**"</formula>
    </cfRule>
  </conditionalFormatting>
  <conditionalFormatting sqref="R343">
    <cfRule type="cellIs" dxfId="37" priority="79" operator="equal">
      <formula>"(Please select a county from the drop-down menu within the TDC PU Limitation Analysis section below)"</formula>
    </cfRule>
    <cfRule type="expression" dxfId="36" priority="86">
      <formula>P342="**"</formula>
    </cfRule>
  </conditionalFormatting>
  <conditionalFormatting sqref="I32:I33">
    <cfRule type="expression" dxfId="35" priority="77">
      <formula>$P32="**"</formula>
    </cfRule>
  </conditionalFormatting>
  <conditionalFormatting sqref="Q320">
    <cfRule type="expression" dxfId="34" priority="64">
      <formula>H320&lt;0</formula>
    </cfRule>
    <cfRule type="expression" dxfId="33" priority="65">
      <formula>H320&gt;=0</formula>
    </cfRule>
  </conditionalFormatting>
  <conditionalFormatting sqref="Q373">
    <cfRule type="expression" dxfId="32" priority="62">
      <formula>H373&lt;0</formula>
    </cfRule>
    <cfRule type="expression" dxfId="31" priority="63">
      <formula>H373&gt;=0</formula>
    </cfRule>
  </conditionalFormatting>
  <conditionalFormatting sqref="K496:N509">
    <cfRule type="expression" dxfId="30" priority="61">
      <formula>$K$494=$K496</formula>
    </cfRule>
  </conditionalFormatting>
  <conditionalFormatting sqref="K393:M393">
    <cfRule type="expression" dxfId="29" priority="60">
      <formula>AND(K393=K492,K32&lt;&gt;F491)</formula>
    </cfRule>
  </conditionalFormatting>
  <conditionalFormatting sqref="C273:F273">
    <cfRule type="expression" dxfId="28" priority="113">
      <formula>N($H273)+N($H275)&gt;N($Q273)</formula>
    </cfRule>
    <cfRule type="expression" dxfId="27" priority="222">
      <formula>OR(N($H273)&gt;N($Q272)*N($K33),N($H273)+N($H275)&gt;ROUNDDOWN(35%*N($H269),2))</formula>
    </cfRule>
  </conditionalFormatting>
  <conditionalFormatting sqref="Q273:S273">
    <cfRule type="expression" dxfId="26" priority="53">
      <formula>N($H273)&gt;$Q273</formula>
    </cfRule>
  </conditionalFormatting>
  <conditionalFormatting sqref="Q272:AB272 Q333:AB333">
    <cfRule type="expression" dxfId="25" priority="52">
      <formula>N($H273)&gt;$Q272*N($K$33)</formula>
    </cfRule>
  </conditionalFormatting>
  <conditionalFormatting sqref="C334:F334">
    <cfRule type="expression" dxfId="24" priority="27">
      <formula>N($H334)+N($H336)&gt;N($Q334)</formula>
    </cfRule>
    <cfRule type="expression" dxfId="23" priority="227">
      <formula>OR(N($H334)&gt;N($Q333)*N($K33),N($H334)+N($H336)&gt;ROUNDDOWN(35%*N($H330),2))</formula>
    </cfRule>
  </conditionalFormatting>
  <conditionalFormatting sqref="Q334:S334">
    <cfRule type="expression" dxfId="22" priority="50">
      <formula>N($H334)&gt;$Q334</formula>
    </cfRule>
  </conditionalFormatting>
  <conditionalFormatting sqref="K396:M396">
    <cfRule type="expression" dxfId="21" priority="235">
      <formula>AND(K396=C491,K32&lt;&gt;F491)</formula>
    </cfRule>
  </conditionalFormatting>
  <conditionalFormatting sqref="C390">
    <cfRule type="expression" dxfId="20" priority="38">
      <formula>$P390="**"</formula>
    </cfRule>
  </conditionalFormatting>
  <conditionalFormatting sqref="K470">
    <cfRule type="cellIs" dxfId="19" priority="35" operator="equal">
      <formula>"(less than 60% maximum)"</formula>
    </cfRule>
    <cfRule type="cellIs" dxfId="18" priority="36" operator="equal">
      <formula>"(greater than 60% maximum)"</formula>
    </cfRule>
    <cfRule type="cellIs" dxfId="17" priority="37" operator="equal">
      <formula>"(equal to 60% maximum)"</formula>
    </cfRule>
  </conditionalFormatting>
  <conditionalFormatting sqref="M467:P469">
    <cfRule type="cellIs" dxfId="16" priority="33" operator="equal">
      <formula>"(Total Units here does NOT match the Total Units entered on row 33 above)"</formula>
    </cfRule>
    <cfRule type="cellIs" dxfId="15" priority="34" operator="equal">
      <formula>"(Total Units here matches the Total Units entered on row 33 above)"</formula>
    </cfRule>
  </conditionalFormatting>
  <conditionalFormatting sqref="S272:Z272 S333:Z333">
    <cfRule type="expression" dxfId="14" priority="29">
      <formula>OR($K$33="(enter a value)",$K$34="(enter a value)",$Q$269="&lt;select from menu&gt;")</formula>
    </cfRule>
  </conditionalFormatting>
  <conditionalFormatting sqref="P334">
    <cfRule type="cellIs" dxfId="13" priority="8" operator="equal">
      <formula>"**"</formula>
    </cfRule>
  </conditionalFormatting>
  <conditionalFormatting sqref="L33:M33">
    <cfRule type="cellIs" dxfId="12" priority="23" operator="equal">
      <formula>$F$488</formula>
    </cfRule>
  </conditionalFormatting>
  <conditionalFormatting sqref="K534">
    <cfRule type="expression" dxfId="11" priority="16">
      <formula>OR(K534=0,K534="(enter a value)")</formula>
    </cfRule>
  </conditionalFormatting>
  <conditionalFormatting sqref="K533:N533">
    <cfRule type="cellIs" dxfId="10" priority="15" operator="equal">
      <formula>$F$488</formula>
    </cfRule>
  </conditionalFormatting>
  <conditionalFormatting sqref="K533:N533">
    <cfRule type="cellIs" dxfId="9" priority="14" operator="equal">
      <formula>""</formula>
    </cfRule>
  </conditionalFormatting>
  <conditionalFormatting sqref="F457:K457">
    <cfRule type="expression" dxfId="8" priority="13">
      <formula>AND($K457+$K456&lt;$K$554,$H468&gt;0)</formula>
    </cfRule>
  </conditionalFormatting>
  <conditionalFormatting sqref="Q275:R275">
    <cfRule type="expression" dxfId="7" priority="12">
      <formula>N($H275)&gt;$Q275</formula>
    </cfRule>
  </conditionalFormatting>
  <conditionalFormatting sqref="P336">
    <cfRule type="cellIs" dxfId="6" priority="11" operator="equal">
      <formula>"**"</formula>
    </cfRule>
  </conditionalFormatting>
  <conditionalFormatting sqref="Q336:R336">
    <cfRule type="expression" dxfId="5" priority="10">
      <formula>N($H336)&gt;$Q336</formula>
    </cfRule>
  </conditionalFormatting>
  <conditionalFormatting sqref="B275:F275">
    <cfRule type="expression" dxfId="4" priority="223">
      <formula>OR(N($H273)+N($H275)*0&gt;$Q272*N($K$33),N($H273)+N($H275)&gt;$Q273,N($H273)+N($H275)&gt;ROUNDDOWN(35%*N($H269),2),N($H275)&gt;$Q275)</formula>
    </cfRule>
  </conditionalFormatting>
  <conditionalFormatting sqref="B336:F336">
    <cfRule type="expression" dxfId="3" priority="228">
      <formula>OR(N($H334)+N($H336)*0&gt;$Q333*N($K$33),N($H334)+N($H336)&gt;$Q334,N($H334)+N($H336)&gt;ROUNDDOWN(35%*N($H330),2),N($H336)&gt;$Q336)</formula>
    </cfRule>
  </conditionalFormatting>
  <conditionalFormatting sqref="K33">
    <cfRule type="expression" dxfId="2" priority="7">
      <formula>OR(K33=0,K33="(enter a value)")</formula>
    </cfRule>
  </conditionalFormatting>
  <conditionalFormatting sqref="H451:P452">
    <cfRule type="expression" dxfId="1" priority="3">
      <formula>AND($K$406&lt;&gt;$C$489,$H$464&gt;0)</formula>
    </cfRule>
  </conditionalFormatting>
  <conditionalFormatting sqref="N454:P462">
    <cfRule type="expression" dxfId="0" priority="2">
      <formula>AND($K$406&lt;&gt;$C$489,$H$464&gt;0)</formula>
    </cfRule>
  </conditionalFormatting>
  <dataValidations count="10">
    <dataValidation type="list" allowBlank="1" showInputMessage="1" showErrorMessage="1" sqref="K533:N533" xr:uid="{00000000-0002-0000-0000-000000000000}">
      <formula1>$F$488:$F$492</formula1>
    </dataValidation>
    <dataValidation type="list" allowBlank="1" showInputMessage="1" showErrorMessage="1" sqref="Q184" xr:uid="{00000000-0002-0000-0000-000001000000}">
      <formula1>$E$488:$E$492</formula1>
    </dataValidation>
    <dataValidation type="list" allowBlank="1" showInputMessage="1" showErrorMessage="1" sqref="I254:K254 K417:K418 K525:K526 K408:K409 K406 K415 K411:K413 K402:K404" xr:uid="{00000000-0002-0000-0000-000002000000}">
      <formula1>$C$488:$C$490</formula1>
    </dataValidation>
    <dataValidation type="whole" operator="lessThanOrEqual" allowBlank="1" showInputMessage="1" showErrorMessage="1" sqref="I253:K253" xr:uid="{00000000-0002-0000-0000-000003000000}">
      <formula1>100</formula1>
    </dataValidation>
    <dataValidation type="list" allowBlank="1" showInputMessage="1" showErrorMessage="1" sqref="K396:M396 Q281" xr:uid="{00000000-0002-0000-0000-000004000000}">
      <formula1>$C$488:$C$491</formula1>
    </dataValidation>
    <dataValidation type="list" allowBlank="1" showInputMessage="1" showErrorMessage="1" sqref="K393:M393" xr:uid="{00000000-0002-0000-0000-000005000000}">
      <formula1>$K$488:$K$492</formula1>
    </dataValidation>
    <dataValidation type="list" allowBlank="1" showInputMessage="1" showErrorMessage="1" sqref="K388:M388" xr:uid="{00000000-0002-0000-0000-000006000000}">
      <formula1>$E$495:$E$566</formula1>
    </dataValidation>
    <dataValidation type="whole" allowBlank="1" showInputMessage="1" showErrorMessage="1" prompt="Please enter a whole number of at least 20." sqref="K534" xr:uid="{00000000-0002-0000-0000-000007000000}">
      <formula1>20</formula1>
      <formula2>999</formula2>
    </dataValidation>
    <dataValidation type="list" allowBlank="1" showInputMessage="1" showErrorMessage="1" sqref="K32:N32" xr:uid="{8FAF8898-9360-4901-8D63-89FE1678FB3F}">
      <formula1>$F$488:$F$490</formula1>
    </dataValidation>
    <dataValidation type="whole" allowBlank="1" showInputMessage="1" showErrorMessage="1" prompt="Please enter a whole number of at least 10." sqref="K33" xr:uid="{62BA7ACC-893F-476E-B0A8-E60090A74EEC}">
      <formula1>10</formula1>
      <formula2>999</formula2>
    </dataValidation>
  </dataValidations>
  <printOptions horizontalCentered="1"/>
  <pageMargins left="0.5" right="0.5" top="0.75" bottom="0.75" header="0.25" footer="0.25"/>
  <pageSetup scale="82" orientation="portrait" r:id="rId1"/>
  <rowBreaks count="7" manualBreakCount="7">
    <brk id="67" max="15" man="1"/>
    <brk id="135" max="15" man="1"/>
    <brk id="197" max="15" man="1"/>
    <brk id="261" max="15" man="1"/>
    <brk id="322" max="16383" man="1"/>
    <brk id="375" max="15" man="1"/>
    <brk id="440"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DBF839-E91F-48A1-AF75-6C49A8581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49AB1EA-74A3-4FC9-A27B-FCBA5511F4D0}">
  <ds:schemaRefs>
    <ds:schemaRef ds:uri="http://schemas.microsoft.com/sharepoint/v3/contenttype/forms"/>
  </ds:schemaRefs>
</ds:datastoreItem>
</file>

<file path=customXml/itemProps3.xml><?xml version="1.0" encoding="utf-8"?>
<ds:datastoreItem xmlns:ds="http://schemas.openxmlformats.org/officeDocument/2006/customXml" ds:itemID="{46F09F3E-137D-4135-A56C-7A3CEFC0DA3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238</vt:i4>
      </vt:variant>
    </vt:vector>
  </HeadingPairs>
  <TitlesOfParts>
    <vt:vector size="23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ConstrAnalysis_2ndmort</vt:lpstr>
      <vt:lpstr>ConstrAnalysis_3rdmort</vt:lpstr>
      <vt:lpstr>ConstrAnalysis_CDBG_DR</vt:lpstr>
      <vt:lpstr>ConstrAnalysis_deferredfee</vt:lpstr>
      <vt:lpstr>ConstrAnalysis_firstmort</vt:lpstr>
      <vt:lpstr>ConstrAnalysis_HC</vt:lpstr>
      <vt:lpstr>ConstrAnalysis_Hcbridgeloan</vt:lpstr>
      <vt:lpstr>ConstrAnalysis_HOME_request</vt:lpstr>
      <vt:lpstr>ConstrAnalysis_MMRB_request</vt:lpstr>
      <vt:lpstr>ConstrAnalysis_NHTF_request</vt:lpstr>
      <vt:lpstr>ConstrAnalysis_nonFHFCgrants</vt:lpstr>
      <vt:lpstr>ConstrAnalysis_other1</vt:lpstr>
      <vt:lpstr>ConstrAnalysis_other1_title</vt:lpstr>
      <vt:lpstr>ConstrAnalysis_other2</vt:lpstr>
      <vt:lpstr>ConstrAnalysis_other2_title</vt:lpstr>
      <vt:lpstr>ConstrAnalysis_RD_514_516</vt:lpstr>
      <vt:lpstr>ConstrAnalysis_RD_515</vt:lpstr>
      <vt:lpstr>ConstrAnalysis_RD_538</vt:lpstr>
      <vt:lpstr>ConstrAnalysis_SAIL_request</vt:lpstr>
      <vt:lpstr>ConstrAnalysis_SAILELI_request</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General_brokeragefee_ineligible</vt:lpstr>
      <vt:lpstr>General_brokeragefee_total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PermAnalysis_2ndmort</vt:lpstr>
      <vt:lpstr>PermAnalysis_3rdmort</vt:lpstr>
      <vt:lpstr>PermAnalysis_CDBG_DR</vt:lpstr>
      <vt:lpstr>PermAnalysis_deferredfee</vt:lpstr>
      <vt:lpstr>PermAnalysis_firstmort</vt:lpstr>
      <vt:lpstr>PermAnalysis_GrantLoan</vt:lpstr>
      <vt:lpstr>PermAnalysis_HC</vt:lpstr>
      <vt:lpstr>PermAnalysis_HOME</vt:lpstr>
      <vt:lpstr>PermAnalysis_MMRB</vt:lpstr>
      <vt:lpstr>PermAnalysis_nonFHFCgrants</vt:lpstr>
      <vt:lpstr>PermAnalysis_other1</vt:lpstr>
      <vt:lpstr>PermAnalysis_other1_title</vt:lpstr>
      <vt:lpstr>PermAnalysis_other2</vt:lpstr>
      <vt:lpstr>PermAnalysis_other2_title</vt:lpstr>
      <vt:lpstr>PermAnalysis_RD_514_516</vt:lpstr>
      <vt:lpstr>PermAnalysis_RD_515</vt:lpstr>
      <vt:lpstr>PermAnalysis_RD_538</vt:lpstr>
      <vt:lpstr>PermAnalysis_SAIL_request</vt:lpstr>
      <vt:lpstr>PermAnalysis_SAILELI_request</vt:lpstr>
      <vt:lpstr>PermAnalysis_surplus</vt:lpstr>
      <vt:lpstr>PermAnalysis_totalsources</vt:lpstr>
      <vt:lpstr>PermAnalysis_ViabilityLoan</vt:lpstr>
      <vt:lpstr>Sheet1!Print_Area</vt:lpstr>
      <vt:lpstr>Pro_Forma_Dev_Cat</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Elizabeth Thorp</cp:lastModifiedBy>
  <cp:lastPrinted>2018-08-08T21:46:15Z</cp:lastPrinted>
  <dcterms:created xsi:type="dcterms:W3CDTF">2012-05-16T14:37:48Z</dcterms:created>
  <dcterms:modified xsi:type="dcterms:W3CDTF">2019-02-21T13:24:03Z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