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floridahousing.sharepoint.com/sites/MF/allocations/Combined Cycle/2020 Rules and RFAs/2020-205 SAIL Family-Elderly/ELI - NHTF Worksheet/"/>
    </mc:Choice>
  </mc:AlternateContent>
  <xr:revisionPtr revIDLastSave="1" documentId="8_{846D8882-9C1A-4D96-9585-FD3DC70DD0AE}" xr6:coauthVersionLast="45" xr6:coauthVersionMax="45" xr10:uidLastSave="{3FBDAA5D-75B1-467E-A7A5-D40A2B2E3D9B}"/>
  <workbookProtection workbookAlgorithmName="SHA-512" workbookHashValue="PtATi6fe/CI7R9z7Y5KdLhOXkhmSh4mPKRctF9rKWO8bvjN1XEn7ttaO7ZPiX43dGPOob1gMeOAuIfGqTncNVA==" workbookSaltValue="OzjM5yuniwdLfLEFB69Q1g==" workbookSpinCount="100000" lockStructure="1"/>
  <bookViews>
    <workbookView xWindow="-110" yWindow="-110" windowWidth="19420" windowHeight="10420" xr2:uid="{00000000-000D-0000-FFFF-FFFF00000000}"/>
  </bookViews>
  <sheets>
    <sheet name="Sheet1" sheetId="1" r:id="rId1"/>
  </sheets>
  <definedNames>
    <definedName name="ELI_PU">Sheet1!$A$37:$G$104</definedName>
    <definedName name="_xlnm.Print_Area" localSheetId="0">Sheet1!$A$1:$G$32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A17" i="1"/>
  <c r="G13" i="1" l="1"/>
  <c r="A130" i="1" l="1"/>
  <c r="F129" i="1"/>
  <c r="E129" i="1"/>
  <c r="E133" i="1" s="1"/>
  <c r="D129" i="1"/>
  <c r="D133" i="1" s="1"/>
  <c r="C129" i="1"/>
  <c r="C133" i="1" s="1"/>
  <c r="F128" i="1"/>
  <c r="E128" i="1"/>
  <c r="E132" i="1" s="1"/>
  <c r="D128" i="1"/>
  <c r="D132" i="1" s="1"/>
  <c r="C128" i="1"/>
  <c r="C132" i="1" s="1"/>
  <c r="F127" i="1"/>
  <c r="E127" i="1"/>
  <c r="E131" i="1" s="1"/>
  <c r="D127" i="1"/>
  <c r="D131" i="1" s="1"/>
  <c r="C127" i="1"/>
  <c r="C131" i="1" s="1"/>
  <c r="H13" i="1" l="1"/>
  <c r="G12" i="1"/>
  <c r="A5" i="1"/>
  <c r="A3" i="1"/>
  <c r="C123" i="1" l="1"/>
  <c r="G8" i="1" l="1"/>
  <c r="F24" i="1" l="1"/>
  <c r="F25" i="1"/>
  <c r="F26" i="1"/>
  <c r="F23" i="1"/>
  <c r="F22" i="1"/>
  <c r="C26" i="1" l="1"/>
  <c r="C25" i="1"/>
  <c r="C24" i="1"/>
  <c r="C23" i="1"/>
  <c r="C22" i="1"/>
  <c r="E22" i="1" s="1"/>
  <c r="B28" i="1"/>
  <c r="E23" i="1" l="1"/>
  <c r="E24" i="1" s="1"/>
  <c r="D22" i="1"/>
  <c r="D23" i="1" l="1"/>
  <c r="G22" i="1"/>
  <c r="E25" i="1"/>
  <c r="E26" i="1" s="1"/>
  <c r="D24" i="1" l="1"/>
  <c r="G24" i="1" s="1"/>
  <c r="G23" i="1"/>
  <c r="E28" i="1"/>
  <c r="D25" i="1" l="1"/>
  <c r="H36" i="1"/>
  <c r="F28" i="1"/>
  <c r="E29" i="1"/>
  <c r="D26" i="1" l="1"/>
  <c r="G26" i="1" s="1"/>
  <c r="G25" i="1"/>
  <c r="G28" i="1" l="1"/>
  <c r="F29" i="1" s="1"/>
  <c r="D28" i="1"/>
  <c r="D29" i="1" s="1"/>
</calcChain>
</file>

<file path=xl/sharedStrings.xml><?xml version="1.0" encoding="utf-8"?>
<sst xmlns="http://schemas.openxmlformats.org/spreadsheetml/2006/main" count="213" uniqueCount="134">
  <si>
    <t>A</t>
  </si>
  <si>
    <t>B</t>
  </si>
  <si>
    <t>C</t>
  </si>
  <si>
    <t>D</t>
  </si>
  <si>
    <t>E</t>
  </si>
  <si>
    <t>F</t>
  </si>
  <si>
    <t>G</t>
  </si>
  <si>
    <t># of Bedrooms</t>
  </si>
  <si>
    <t># of Proposed Units</t>
  </si>
  <si>
    <t>Cumulative Proposed Units</t>
  </si>
  <si>
    <t>Maximum ELI Loan allowable for each Unit Size</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</si>
  <si>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</si>
  <si>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</si>
  <si>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</si>
  <si>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</si>
  <si>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</si>
  <si>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</si>
  <si>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</si>
  <si>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</si>
  <si>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</si>
  <si>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</si>
  <si>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</si>
  <si>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</si>
  <si>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</si>
  <si>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</si>
  <si>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</si>
  <si>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</si>
  <si>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</si>
  <si>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</si>
  <si>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</si>
  <si>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</si>
  <si>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</si>
  <si>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</si>
  <si>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</si>
  <si>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</si>
  <si>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</si>
  <si>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</si>
  <si>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</si>
  <si>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</si>
  <si>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</si>
  <si>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</si>
  <si>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</si>
  <si>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</si>
  <si>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</si>
  <si>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</si>
  <si>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</si>
  <si>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</si>
  <si>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</si>
  <si>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</si>
  <si>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</si>
  <si>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</si>
  <si>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</si>
  <si>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</si>
  <si>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</si>
  <si>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</si>
  <si>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</si>
  <si>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</si>
  <si>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</si>
  <si>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</si>
  <si>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</si>
  <si>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</si>
  <si>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</si>
  <si>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</si>
  <si>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</si>
  <si>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</si>
  <si>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</si>
  <si>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</si>
  <si>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</si>
  <si>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</si>
  <si>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</si>
  <si>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</si>
  <si>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</si>
  <si>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</si>
  <si>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</si>
  <si>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</si>
  <si>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</si>
  <si>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</si>
  <si>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</si>
  <si>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</si>
  <si>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</si>
  <si>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</si>
  <si>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</si>
  <si>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</si>
  <si>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</si>
  <si>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Input your unit mix into this column</t>
  </si>
  <si>
    <t>Maximum amount of ELI Loan eligible to request</t>
  </si>
  <si>
    <t>&lt;Select a County&gt;</t>
  </si>
  <si>
    <t>Medium</t>
  </si>
  <si>
    <t>Small</t>
  </si>
  <si>
    <t>Large</t>
  </si>
  <si>
    <t>County Size</t>
  </si>
  <si>
    <t>Yes</t>
  </si>
  <si>
    <t>No</t>
  </si>
  <si>
    <t>&lt;Select&gt;</t>
  </si>
  <si>
    <t>A Tool to Assist Applicants in Determining their Pro-rata Distribution of ELI Units, Maximum ELI Loan Amount &amp; Estimated NHTF Loan Amount</t>
  </si>
  <si>
    <t>Maximum ELI Loan Determination &amp; Estimated NHTF Loan Amount Worksheet</t>
  </si>
  <si>
    <t>ELI Loan &amp; NHTF Loan Amounts Per Bedroom Count for each County.</t>
  </si>
  <si>
    <t>&lt;Enter %&gt;</t>
  </si>
  <si>
    <t>ELI Loan cap</t>
  </si>
  <si>
    <t>Non-Self Sourced</t>
  </si>
  <si>
    <t>Self Sourced</t>
  </si>
  <si>
    <t>Avg Inc Test</t>
  </si>
  <si>
    <t>40% @ 60%</t>
  </si>
  <si>
    <t>20% @ 50%</t>
  </si>
  <si>
    <r>
      <rPr>
        <b/>
        <sz val="10"/>
        <color theme="1"/>
        <rFont val="Arial"/>
        <family val="2"/>
      </rPr>
      <t>1.</t>
    </r>
    <r>
      <rPr>
        <sz val="10"/>
        <color theme="1"/>
        <rFont val="Arial"/>
        <family val="2"/>
      </rPr>
      <t xml:space="preserve"> Select the County in which your proposed Development is located…...........................................................................</t>
    </r>
  </si>
  <si>
    <r>
      <rPr>
        <b/>
        <sz val="10"/>
        <color theme="1"/>
        <rFont val="Arial"/>
        <family val="2"/>
      </rPr>
      <t>2.</t>
    </r>
    <r>
      <rPr>
        <sz val="10"/>
        <color theme="1"/>
        <rFont val="Arial"/>
        <family val="2"/>
      </rPr>
      <t xml:space="preserve"> County size designation….......................................................................................................................................................</t>
    </r>
  </si>
  <si>
    <r>
      <rPr>
        <b/>
        <sz val="10"/>
        <color theme="1"/>
        <rFont val="Arial"/>
        <family val="2"/>
      </rPr>
      <t xml:space="preserve">3. </t>
    </r>
    <r>
      <rPr>
        <sz val="10"/>
        <color theme="1"/>
        <rFont val="Arial"/>
        <family val="2"/>
      </rPr>
      <t>Indicate the applicable Applicant type…...............................................................................................................................</t>
    </r>
  </si>
  <si>
    <r>
      <rPr>
        <b/>
        <sz val="10"/>
        <color theme="1"/>
        <rFont val="Arial"/>
        <family val="2"/>
      </rPr>
      <t>4.</t>
    </r>
    <r>
      <rPr>
        <sz val="10"/>
        <color theme="1"/>
        <rFont val="Arial"/>
        <family val="2"/>
      </rPr>
      <t xml:space="preserve"> Indicate the IRS Minimum Set-Aside Commitment…........................................................................................................</t>
    </r>
  </si>
  <si>
    <r>
      <rPr>
        <b/>
        <sz val="10"/>
        <color theme="1"/>
        <rFont val="Arial"/>
        <family val="2"/>
      </rPr>
      <t xml:space="preserve">5. </t>
    </r>
    <r>
      <rPr>
        <sz val="10"/>
        <color theme="1"/>
        <rFont val="Arial"/>
        <family val="2"/>
      </rPr>
      <t>Is the proposed Development located in an LDA?............................................................................................................</t>
    </r>
  </si>
  <si>
    <t>NHTF $ per 0- or 1-Bedroom Unit</t>
  </si>
  <si>
    <t>RFA ELI AMI</t>
  </si>
  <si>
    <t>RFA 2020-205</t>
  </si>
  <si>
    <t>&lt;&gt;SS,&lt;&gt;AIT,&lt;&gt;LDA</t>
  </si>
  <si>
    <t>&lt;&gt;SS,AIT,&lt;&gt;LDA</t>
  </si>
  <si>
    <t>&lt;&gt;SS,LDA</t>
  </si>
  <si>
    <t>SS,LDA</t>
  </si>
  <si>
    <t>Small County</t>
  </si>
  <si>
    <t>Medium County</t>
  </si>
  <si>
    <t>Large County</t>
  </si>
  <si>
    <t>Proposed Development</t>
  </si>
  <si>
    <r>
      <rPr>
        <b/>
        <sz val="10"/>
        <color theme="1"/>
        <rFont val="Arial"/>
        <family val="2"/>
      </rPr>
      <t>7.</t>
    </r>
    <r>
      <rPr>
        <sz val="10"/>
        <color theme="1"/>
        <rFont val="Arial"/>
        <family val="2"/>
      </rPr>
      <t xml:space="preserve"> The maximum ELI Set-Aside Commitment to be funded (% of Total Units) is............................................................</t>
    </r>
  </si>
  <si>
    <r>
      <rPr>
        <b/>
        <sz val="10"/>
        <color theme="1"/>
        <rFont val="Arial"/>
        <family val="2"/>
      </rPr>
      <t xml:space="preserve">8. </t>
    </r>
    <r>
      <rPr>
        <sz val="10"/>
        <color theme="1"/>
        <rFont val="Arial"/>
        <family val="2"/>
      </rPr>
      <t>What is the Applicant's ELI Set-Aside Commitment?........................................................................................................</t>
    </r>
  </si>
  <si>
    <r>
      <rPr>
        <b/>
        <sz val="10"/>
        <color theme="1"/>
        <rFont val="Arial"/>
        <family val="2"/>
      </rPr>
      <t>9.</t>
    </r>
    <r>
      <rPr>
        <sz val="10"/>
        <color theme="1"/>
        <rFont val="Arial"/>
        <family val="2"/>
      </rPr>
      <t xml:space="preserve"> Is the proposed Development 100% New Construction or Redevelopment?..............................................................</t>
    </r>
  </si>
  <si>
    <r>
      <rPr>
        <b/>
        <sz val="10"/>
        <color theme="1"/>
        <rFont val="Arial"/>
        <family val="2"/>
      </rPr>
      <t>10.</t>
    </r>
    <r>
      <rPr>
        <sz val="10"/>
        <color theme="1"/>
        <rFont val="Arial"/>
        <family val="2"/>
      </rPr>
      <t xml:space="preserve"> Does the Applicant intend to request NHTF funding?.....................................................................................................</t>
    </r>
  </si>
  <si>
    <t>TBD</t>
  </si>
  <si>
    <r>
      <rPr>
        <b/>
        <u/>
        <sz val="10"/>
        <color theme="1"/>
        <rFont val="Arial"/>
        <family val="2"/>
      </rPr>
      <t>Instructions:</t>
    </r>
    <r>
      <rPr>
        <sz val="10"/>
        <color theme="1"/>
        <rFont val="Arial"/>
        <family val="2"/>
      </rPr>
      <t xml:space="preserve">  Please select the appropriate county at question 1 below from the drop-down menu.  This RFA provides ELI loan funding for up to 10% of the total units, rounded up to the next whole number.  Please input the proposed Development's ELI Set-Aside Commitment at question 8.  Indicate if the Applicant is a Self-Sourced Applicant or not at question 3 and select the minimum IRS Set-Aside Commitment at question 4.  Indicate if the propsosed Development is in an LDA or not at question 5 and then input the number of Units the proposed Development will have in Column B of the table below, separated by how many bedrooms are in each of the proposed Units.  The Column D formula is set-up to provide the correct overall ELI Unit distribution based on the Applicant's ELI Set-Aside commitment </t>
    </r>
    <r>
      <rPr>
        <i/>
        <sz val="10"/>
        <color theme="1"/>
        <rFont val="Arial"/>
        <family val="2"/>
      </rPr>
      <t>(the response to question 8)</t>
    </r>
    <r>
      <rPr>
        <sz val="10"/>
        <color theme="1"/>
        <rFont val="Arial"/>
        <family val="2"/>
      </rPr>
      <t xml:space="preserve"> while Column E will provide the correct number of the maximum ELI Unit distribution for those ELI Units being funded with the ELI loan funding (if qualifying).  The amount for the total in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t>
    </r>
  </si>
  <si>
    <t>NA</t>
  </si>
  <si>
    <t>Minimum ELI Set-Aside Commitment</t>
  </si>
  <si>
    <t>Distribution of Maximum FHFC Funded ELI Units</t>
  </si>
  <si>
    <r>
      <rPr>
        <b/>
        <sz val="10"/>
        <color theme="1"/>
        <rFont val="Arial"/>
        <family val="2"/>
      </rPr>
      <t>6.</t>
    </r>
    <r>
      <rPr>
        <sz val="10"/>
        <color theme="1"/>
        <rFont val="Arial"/>
        <family val="2"/>
      </rPr>
      <t xml:space="preserve"> The minimum ELI Set-Aside Commitment (% of Total Units) is….........................................................</t>
    </r>
  </si>
  <si>
    <t>Averages</t>
  </si>
  <si>
    <t>SS,&lt;&gt;AIT,&lt;&gt;LDA</t>
  </si>
  <si>
    <t>SS,AIT,&lt;&gt;LDA; max of 10% in addition to 5% below 50%</t>
  </si>
  <si>
    <r>
      <t xml:space="preserve">Eligible ELI Loan
</t>
    </r>
    <r>
      <rPr>
        <b/>
        <sz val="8"/>
        <color theme="1"/>
        <rFont val="Arial"/>
        <family val="2"/>
      </rPr>
      <t>(lesser of maximum or ELI commitment)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</si>
</sst>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4" x14ac:knownFonts="1">
    <font>
      <sz val="10"/>
      <color theme="1"/>
      <name val="Arial"/>
      <family val="2"/>
    </font>
    <font>
      <sz val="10"/>
      <color theme="1"/>
      <name val="Arial"/>
      <family val="2"/>
    </font>
    <font>
      <b/>
      <sz val="10"/>
      <color theme="1"/>
      <name val="Arial"/>
      <family val="2"/>
    </font>
    <font>
      <b/>
      <u/>
      <sz val="10"/>
      <color theme="1"/>
      <name val="Arial"/>
      <family val="2"/>
    </font>
    <font>
      <sz val="10"/>
      <color rgb="FF0000FF"/>
      <name val="Arial"/>
      <family val="2"/>
    </font>
    <font>
      <sz val="9"/>
      <color theme="1"/>
      <name val="Arial"/>
      <family val="2"/>
    </font>
    <font>
      <b/>
      <u/>
      <sz val="11"/>
      <color theme="1"/>
      <name val="Arial"/>
      <family val="2"/>
    </font>
    <font>
      <i/>
      <sz val="9"/>
      <color theme="1"/>
      <name val="Arial"/>
      <family val="2"/>
    </font>
    <font>
      <i/>
      <sz val="10"/>
      <color theme="1"/>
      <name val="Arial"/>
      <family val="2"/>
    </font>
    <font>
      <sz val="10"/>
      <color theme="0"/>
      <name val="Arial"/>
      <family val="2"/>
    </font>
    <font>
      <sz val="10"/>
      <name val="Arial"/>
      <family val="2"/>
    </font>
    <font>
      <b/>
      <i/>
      <sz val="12"/>
      <color theme="1"/>
      <name val="Arial"/>
      <family val="2"/>
    </font>
    <font>
      <b/>
      <sz val="10"/>
      <color rgb="FF7030A0"/>
      <name val="Arial"/>
      <family val="2"/>
    </font>
    <font>
      <b/>
      <sz val="8"/>
      <color theme="1"/>
      <name val="Arial"/>
      <family val="2"/>
    </font>
  </fonts>
  <fills count="9">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
      <patternFill patternType="solid">
        <fgColor theme="0"/>
        <bgColor auto="1"/>
      </patternFill>
    </fill>
  </fills>
  <borders count="52">
    <border>
      <left/>
      <right/>
      <top/>
      <bottom/>
      <diagonal/>
    </border>
    <border>
      <left/>
      <right/>
      <top/>
      <bottom style="thin">
        <color rgb="FF0000FF"/>
      </bottom>
      <diagonal/>
    </border>
    <border>
      <left/>
      <right/>
      <top style="thin">
        <color rgb="FF0000FF"/>
      </top>
      <bottom style="thin">
        <color theme="1"/>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thin">
        <color theme="1"/>
      </bottom>
      <diagonal/>
    </border>
    <border>
      <left style="medium">
        <color theme="1"/>
      </left>
      <right style="medium">
        <color theme="1"/>
      </right>
      <top/>
      <bottom style="medium">
        <color theme="1"/>
      </bottom>
      <diagonal/>
    </border>
    <border>
      <left/>
      <right style="double">
        <color theme="1"/>
      </right>
      <top style="medium">
        <color theme="1"/>
      </top>
      <bottom/>
      <diagonal/>
    </border>
    <border>
      <left/>
      <right style="double">
        <color theme="1"/>
      </right>
      <top/>
      <bottom/>
      <diagonal/>
    </border>
    <border>
      <left/>
      <right/>
      <top style="thin">
        <color theme="1"/>
      </top>
      <bottom style="thin">
        <color theme="1"/>
      </bottom>
      <diagonal/>
    </border>
  </borders>
  <cellStyleXfs count="2">
    <xf numFmtId="0" fontId="0" fillId="0" borderId="0"/>
    <xf numFmtId="9" fontId="1" fillId="0" borderId="0" applyFont="0" applyFill="0" applyBorder="0" applyAlignment="0" applyProtection="0"/>
  </cellStyleXfs>
  <cellXfs count="110">
    <xf numFmtId="0" fontId="0" fillId="0" borderId="0" xfId="0"/>
    <xf numFmtId="0" fontId="2" fillId="2" borderId="0" xfId="0" applyFont="1" applyFill="1" applyAlignment="1">
      <alignment horizontal="center" vertical="center"/>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4" borderId="4" xfId="0" applyFont="1" applyFill="1" applyBorder="1" applyAlignment="1">
      <alignment horizontal="center" wrapText="1"/>
    </xf>
    <xf numFmtId="0" fontId="4" fillId="2" borderId="7" xfId="0" applyFont="1" applyFill="1" applyBorder="1" applyAlignment="1">
      <alignment horizontal="right" vertical="center" indent="1"/>
    </xf>
    <xf numFmtId="0" fontId="4" fillId="0" borderId="15" xfId="0" applyFont="1" applyBorder="1" applyAlignment="1">
      <alignment horizontal="right" vertical="center" indent="1"/>
    </xf>
    <xf numFmtId="0" fontId="2" fillId="0" borderId="17" xfId="0" applyFont="1" applyBorder="1" applyAlignment="1">
      <alignment horizontal="center" vertical="center"/>
    </xf>
    <xf numFmtId="9" fontId="0" fillId="2" borderId="27" xfId="1" applyFont="1" applyFill="1" applyBorder="1" applyAlignment="1">
      <alignment horizontal="center" vertical="center"/>
    </xf>
    <xf numFmtId="9" fontId="0" fillId="2" borderId="33" xfId="1" applyFont="1" applyFill="1" applyBorder="1" applyAlignment="1">
      <alignment horizontal="center" vertical="center"/>
    </xf>
    <xf numFmtId="9" fontId="0" fillId="2" borderId="36" xfId="1" applyFont="1" applyFill="1" applyBorder="1" applyAlignment="1">
      <alignment horizontal="center" vertical="center"/>
    </xf>
    <xf numFmtId="9" fontId="0" fillId="2" borderId="39"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0" fontId="0" fillId="2" borderId="6" xfId="0" applyFont="1" applyFill="1" applyBorder="1" applyAlignment="1">
      <alignment horizontal="center" vertical="center"/>
    </xf>
    <xf numFmtId="0" fontId="0" fillId="2" borderId="7" xfId="0" applyFont="1" applyFill="1" applyBorder="1" applyAlignment="1">
      <alignment vertical="center"/>
    </xf>
    <xf numFmtId="0" fontId="0" fillId="2" borderId="7" xfId="0" applyFont="1" applyFill="1" applyBorder="1" applyAlignment="1">
      <alignment horizontal="right" vertical="center"/>
    </xf>
    <xf numFmtId="0" fontId="0" fillId="0" borderId="9" xfId="0" applyFont="1" applyBorder="1" applyAlignment="1">
      <alignment horizontal="center" vertical="center"/>
    </xf>
    <xf numFmtId="38" fontId="0" fillId="0" borderId="10" xfId="0" applyNumberFormat="1" applyFont="1" applyBorder="1" applyAlignment="1">
      <alignment horizontal="right" vertical="center" indent="2"/>
    </xf>
    <xf numFmtId="38" fontId="0" fillId="5" borderId="10" xfId="0" applyNumberFormat="1" applyFont="1" applyFill="1" applyBorder="1" applyAlignment="1">
      <alignment horizontal="right" vertical="center" indent="2"/>
    </xf>
    <xf numFmtId="6" fontId="0" fillId="0" borderId="10" xfId="0" applyNumberFormat="1" applyFont="1" applyBorder="1" applyAlignment="1">
      <alignment horizontal="right" vertical="center" indent="1"/>
    </xf>
    <xf numFmtId="0" fontId="0" fillId="0" borderId="12" xfId="0" applyFont="1" applyBorder="1" applyAlignment="1">
      <alignment horizontal="center" vertical="center"/>
    </xf>
    <xf numFmtId="38" fontId="0" fillId="0" borderId="13" xfId="0" applyNumberFormat="1" applyFont="1" applyBorder="1" applyAlignment="1">
      <alignment horizontal="right" vertical="center" indent="2"/>
    </xf>
    <xf numFmtId="6" fontId="0" fillId="0" borderId="13" xfId="0" applyNumberFormat="1" applyFont="1" applyBorder="1" applyAlignment="1">
      <alignment horizontal="right" vertical="center" indent="1"/>
    </xf>
    <xf numFmtId="0" fontId="0" fillId="0" borderId="14" xfId="0" applyFont="1" applyBorder="1" applyAlignment="1">
      <alignment horizontal="center" vertical="center"/>
    </xf>
    <xf numFmtId="0" fontId="0" fillId="0" borderId="15" xfId="0" applyFont="1" applyBorder="1" applyAlignment="1">
      <alignment horizontal="right" vertical="center" indent="2"/>
    </xf>
    <xf numFmtId="0" fontId="0" fillId="6" borderId="15" xfId="0" applyFont="1" applyFill="1" applyBorder="1" applyAlignment="1">
      <alignment horizontal="right" vertical="center" indent="2"/>
    </xf>
    <xf numFmtId="6" fontId="0" fillId="0" borderId="15" xfId="0" applyNumberFormat="1" applyFont="1" applyBorder="1" applyAlignment="1">
      <alignment horizontal="right" vertical="center" indent="1"/>
    </xf>
    <xf numFmtId="38" fontId="0" fillId="0" borderId="18" xfId="0" applyNumberFormat="1" applyFont="1" applyBorder="1" applyAlignment="1">
      <alignment horizontal="right" vertical="center" indent="2"/>
    </xf>
    <xf numFmtId="6" fontId="0" fillId="0" borderId="20" xfId="0" applyNumberFormat="1" applyFont="1" applyBorder="1" applyAlignment="1">
      <alignment horizontal="right" vertical="center" indent="1"/>
    </xf>
    <xf numFmtId="0" fontId="0" fillId="2" borderId="0" xfId="0" applyFont="1" applyFill="1" applyAlignment="1">
      <alignment vertical="center" wrapText="1"/>
    </xf>
    <xf numFmtId="0" fontId="2" fillId="2" borderId="29" xfId="0" applyFont="1" applyFill="1" applyBorder="1" applyAlignment="1">
      <alignment horizontal="left" inden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2" borderId="0" xfId="0" applyFont="1" applyFill="1" applyBorder="1" applyAlignment="1">
      <alignment horizontal="center" wrapText="1"/>
    </xf>
    <xf numFmtId="0" fontId="2" fillId="2" borderId="25" xfId="0" applyFont="1" applyFill="1" applyBorder="1" applyAlignment="1">
      <alignment horizontal="center" wrapText="1"/>
    </xf>
    <xf numFmtId="0" fontId="0" fillId="2" borderId="32" xfId="0" applyFont="1" applyFill="1" applyBorder="1" applyAlignment="1">
      <alignment horizontal="left" vertical="center" indent="1"/>
    </xf>
    <xf numFmtId="6" fontId="0" fillId="2" borderId="33" xfId="0" applyNumberFormat="1" applyFont="1" applyFill="1" applyBorder="1" applyAlignment="1">
      <alignment horizontal="center" vertical="center"/>
    </xf>
    <xf numFmtId="6" fontId="0" fillId="2" borderId="34" xfId="0" applyNumberFormat="1" applyFont="1" applyFill="1" applyBorder="1" applyAlignment="1">
      <alignment horizontal="center" vertical="center"/>
    </xf>
    <xf numFmtId="0" fontId="0" fillId="2" borderId="35" xfId="0" applyFont="1" applyFill="1" applyBorder="1" applyAlignment="1">
      <alignment horizontal="left" vertical="center" indent="1"/>
    </xf>
    <xf numFmtId="6" fontId="0" fillId="2" borderId="36" xfId="0" applyNumberFormat="1" applyFont="1" applyFill="1" applyBorder="1" applyAlignment="1">
      <alignment horizontal="center" vertical="center"/>
    </xf>
    <xf numFmtId="6" fontId="0" fillId="2" borderId="37" xfId="0" applyNumberFormat="1" applyFont="1" applyFill="1" applyBorder="1" applyAlignment="1">
      <alignment horizontal="center" vertical="center"/>
    </xf>
    <xf numFmtId="0" fontId="0" fillId="2" borderId="38" xfId="0" applyFont="1" applyFill="1" applyBorder="1" applyAlignment="1">
      <alignment horizontal="left" vertical="center" indent="1"/>
    </xf>
    <xf numFmtId="6" fontId="0" fillId="2" borderId="39" xfId="0" applyNumberFormat="1" applyFont="1" applyFill="1" applyBorder="1" applyAlignment="1">
      <alignment horizontal="center" vertical="center"/>
    </xf>
    <xf numFmtId="6" fontId="0" fillId="2" borderId="40" xfId="0" applyNumberFormat="1" applyFont="1" applyFill="1" applyBorder="1" applyAlignment="1">
      <alignment horizontal="center" vertical="center"/>
    </xf>
    <xf numFmtId="0" fontId="0" fillId="2" borderId="26" xfId="0" applyFont="1" applyFill="1" applyBorder="1" applyAlignment="1">
      <alignment horizontal="left" vertical="center" indent="1"/>
    </xf>
    <xf numFmtId="6" fontId="0" fillId="2" borderId="27" xfId="0" applyNumberFormat="1" applyFont="1" applyFill="1" applyBorder="1" applyAlignment="1">
      <alignment horizontal="center" vertical="center"/>
    </xf>
    <xf numFmtId="6" fontId="0" fillId="2" borderId="28" xfId="0" applyNumberFormat="1" applyFont="1" applyFill="1" applyBorder="1" applyAlignment="1">
      <alignment horizontal="center" vertical="center"/>
    </xf>
    <xf numFmtId="0" fontId="2" fillId="7" borderId="5" xfId="0" applyFont="1" applyFill="1" applyBorder="1" applyAlignment="1">
      <alignment horizontal="center" wrapText="1"/>
    </xf>
    <xf numFmtId="0" fontId="2" fillId="7" borderId="8" xfId="0" applyFont="1" applyFill="1" applyBorder="1" applyAlignment="1">
      <alignment vertical="center"/>
    </xf>
    <xf numFmtId="6" fontId="2" fillId="7" borderId="11" xfId="0" applyNumberFormat="1" applyFont="1" applyFill="1" applyBorder="1" applyAlignment="1">
      <alignment horizontal="right" vertical="center" indent="1"/>
    </xf>
    <xf numFmtId="6" fontId="2" fillId="7" borderId="16" xfId="0" applyNumberFormat="1" applyFont="1" applyFill="1" applyBorder="1" applyAlignment="1">
      <alignment horizontal="right" vertical="center" indent="1"/>
    </xf>
    <xf numFmtId="6" fontId="2" fillId="7" borderId="23" xfId="0" applyNumberFormat="1" applyFont="1" applyFill="1" applyBorder="1" applyAlignment="1">
      <alignment horizontal="right" vertical="center" indent="1"/>
    </xf>
    <xf numFmtId="38" fontId="2" fillId="0" borderId="18" xfId="0" applyNumberFormat="1" applyFont="1" applyBorder="1" applyAlignment="1">
      <alignment horizontal="right" vertical="center" indent="1"/>
    </xf>
    <xf numFmtId="0" fontId="9" fillId="2" borderId="24" xfId="0" applyFont="1" applyFill="1" applyBorder="1" applyAlignment="1">
      <alignment horizontal="left" indent="1"/>
    </xf>
    <xf numFmtId="0" fontId="4" fillId="3" borderId="1" xfId="0" applyFont="1" applyFill="1" applyBorder="1" applyAlignment="1" applyProtection="1">
      <alignment horizontal="center" vertical="center"/>
      <protection locked="0"/>
    </xf>
    <xf numFmtId="9" fontId="4" fillId="3" borderId="42" xfId="0" applyNumberFormat="1" applyFont="1" applyFill="1" applyBorder="1" applyAlignment="1" applyProtection="1">
      <alignment horizontal="center" vertical="center"/>
      <protection locked="0"/>
    </xf>
    <xf numFmtId="38" fontId="4" fillId="3" borderId="10" xfId="0" applyNumberFormat="1" applyFont="1" applyFill="1" applyBorder="1" applyAlignment="1" applyProtection="1">
      <alignment horizontal="right" vertical="center" indent="1"/>
      <protection locked="0"/>
    </xf>
    <xf numFmtId="38" fontId="4" fillId="3" borderId="13" xfId="0" applyNumberFormat="1" applyFont="1" applyFill="1" applyBorder="1" applyAlignment="1" applyProtection="1">
      <alignment horizontal="right" vertical="center" indent="1"/>
      <protection locked="0"/>
    </xf>
    <xf numFmtId="0" fontId="2" fillId="2" borderId="43" xfId="0" applyFont="1" applyFill="1" applyBorder="1" applyAlignment="1">
      <alignment horizontal="center" wrapText="1"/>
    </xf>
    <xf numFmtId="0" fontId="2" fillId="2" borderId="44" xfId="0" applyFont="1" applyFill="1" applyBorder="1" applyAlignment="1">
      <alignment horizontal="center" wrapText="1"/>
    </xf>
    <xf numFmtId="6" fontId="0" fillId="2" borderId="45" xfId="0" applyNumberFormat="1" applyFont="1" applyFill="1" applyBorder="1" applyAlignment="1">
      <alignment horizontal="center" vertical="center"/>
    </xf>
    <xf numFmtId="6" fontId="0" fillId="2" borderId="46" xfId="0" applyNumberFormat="1" applyFont="1" applyFill="1" applyBorder="1" applyAlignment="1">
      <alignment horizontal="center" vertical="center"/>
    </xf>
    <xf numFmtId="6" fontId="0" fillId="2" borderId="47" xfId="0" applyNumberFormat="1" applyFont="1" applyFill="1" applyBorder="1" applyAlignment="1">
      <alignment horizontal="center" vertical="center"/>
    </xf>
    <xf numFmtId="6" fontId="0" fillId="2" borderId="48"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9" fontId="0" fillId="0" borderId="0" xfId="0" applyNumberFormat="1" applyFont="1"/>
    <xf numFmtId="0" fontId="0" fillId="2" borderId="0" xfId="0" applyFont="1" applyFill="1" applyAlignment="1">
      <alignment horizontal="left"/>
    </xf>
    <xf numFmtId="0" fontId="0" fillId="0" borderId="0" xfId="0" applyFont="1" applyAlignment="1">
      <alignment horizontal="left" vertical="center"/>
    </xf>
    <xf numFmtId="0" fontId="0" fillId="0" borderId="0" xfId="0" applyFont="1" applyFill="1" applyBorder="1"/>
    <xf numFmtId="9" fontId="0" fillId="0" borderId="0" xfId="1" applyFont="1" applyFill="1" applyBorder="1" applyAlignment="1">
      <alignment horizontal="center"/>
    </xf>
    <xf numFmtId="0" fontId="0" fillId="0" borderId="0" xfId="0" applyFont="1" applyFill="1" applyBorder="1" applyAlignment="1">
      <alignment horizontal="center"/>
    </xf>
    <xf numFmtId="9" fontId="0" fillId="2" borderId="41" xfId="0" applyNumberFormat="1" applyFont="1" applyFill="1" applyBorder="1" applyAlignment="1">
      <alignment horizontal="center" vertical="center"/>
    </xf>
    <xf numFmtId="0" fontId="0" fillId="8" borderId="2" xfId="0" applyFont="1" applyFill="1" applyBorder="1" applyAlignment="1" applyProtection="1">
      <alignment horizontal="center" vertical="center"/>
    </xf>
    <xf numFmtId="6" fontId="10" fillId="8" borderId="2" xfId="0" applyNumberFormat="1" applyFont="1" applyFill="1" applyBorder="1" applyAlignment="1" applyProtection="1">
      <alignment horizontal="center" vertical="center"/>
    </xf>
    <xf numFmtId="0" fontId="4" fillId="0" borderId="41" xfId="0" applyFont="1" applyBorder="1" applyAlignment="1">
      <alignment horizontal="center"/>
    </xf>
    <xf numFmtId="0" fontId="4" fillId="0" borderId="51" xfId="0" applyFont="1" applyBorder="1" applyAlignment="1">
      <alignment horizontal="center"/>
    </xf>
    <xf numFmtId="9" fontId="4" fillId="0" borderId="41" xfId="0" applyNumberFormat="1" applyFont="1" applyBorder="1" applyAlignment="1">
      <alignment horizontal="center"/>
    </xf>
    <xf numFmtId="9" fontId="4" fillId="0" borderId="51" xfId="0" applyNumberFormat="1" applyFont="1" applyBorder="1" applyAlignment="1">
      <alignment horizontal="center"/>
    </xf>
    <xf numFmtId="0" fontId="10" fillId="2" borderId="0" xfId="0" applyFont="1" applyFill="1" applyAlignment="1">
      <alignment horizontal="left"/>
    </xf>
    <xf numFmtId="9" fontId="0" fillId="0" borderId="2" xfId="1" applyFont="1" applyBorder="1" applyAlignment="1">
      <alignment horizontal="center" vertical="center"/>
    </xf>
    <xf numFmtId="0" fontId="0" fillId="0" borderId="0" xfId="0" applyFont="1" applyAlignment="1">
      <alignment horizontal="right"/>
    </xf>
    <xf numFmtId="9" fontId="0" fillId="0" borderId="41" xfId="1" applyFont="1" applyBorder="1" applyAlignment="1">
      <alignment horizontal="center"/>
    </xf>
    <xf numFmtId="0" fontId="3" fillId="0" borderId="0" xfId="0" applyFont="1"/>
    <xf numFmtId="6" fontId="0" fillId="0" borderId="0" xfId="0" applyNumberFormat="1" applyFont="1" applyAlignment="1">
      <alignment horizontal="center"/>
    </xf>
    <xf numFmtId="40" fontId="0" fillId="0" borderId="0" xfId="0" applyNumberFormat="1" applyFont="1" applyAlignment="1">
      <alignment horizontal="center"/>
    </xf>
    <xf numFmtId="0" fontId="2" fillId="0" borderId="41" xfId="0" applyFont="1" applyBorder="1" applyAlignment="1">
      <alignment horizontal="center"/>
    </xf>
    <xf numFmtId="0" fontId="0" fillId="0" borderId="0" xfId="0" applyFont="1" applyFill="1" applyBorder="1" applyAlignment="1">
      <alignment horizontal="center" wrapText="1"/>
    </xf>
    <xf numFmtId="6" fontId="4" fillId="0" borderId="41" xfId="0" applyNumberFormat="1" applyFont="1" applyBorder="1" applyAlignment="1">
      <alignment horizontal="center"/>
    </xf>
    <xf numFmtId="0" fontId="0" fillId="2" borderId="0" xfId="0" quotePrefix="1" applyFont="1" applyFill="1" applyBorder="1" applyAlignment="1">
      <alignment horizontal="justify" vertical="center" wrapText="1"/>
    </xf>
    <xf numFmtId="0" fontId="7" fillId="2" borderId="24" xfId="0" applyFont="1" applyFill="1" applyBorder="1" applyAlignment="1">
      <alignment horizontal="center" vertical="top" wrapText="1"/>
    </xf>
    <xf numFmtId="0" fontId="7" fillId="2" borderId="0" xfId="0" applyFont="1" applyFill="1" applyAlignment="1">
      <alignment horizontal="center" vertical="top" wrapText="1"/>
    </xf>
    <xf numFmtId="0" fontId="6" fillId="2" borderId="41" xfId="0" applyFont="1" applyFill="1" applyBorder="1" applyAlignment="1">
      <alignment horizontal="center" vertical="center"/>
    </xf>
    <xf numFmtId="0" fontId="2" fillId="2" borderId="41" xfId="0" applyFont="1" applyFill="1" applyBorder="1" applyAlignment="1">
      <alignment horizontal="center" vertical="center" wrapText="1"/>
    </xf>
    <xf numFmtId="0" fontId="11" fillId="2" borderId="0" xfId="0" applyFont="1" applyFill="1" applyAlignment="1">
      <alignment horizontal="center" vertical="center" wrapText="1"/>
    </xf>
    <xf numFmtId="0" fontId="0" fillId="2" borderId="0" xfId="0" quotePrefix="1" applyFont="1" applyFill="1" applyAlignment="1">
      <alignment horizontal="justify" vertical="center" wrapText="1"/>
    </xf>
    <xf numFmtId="0" fontId="0" fillId="2" borderId="0" xfId="0" applyFont="1" applyFill="1" applyAlignment="1">
      <alignment horizontal="justify" vertical="center" wrapText="1"/>
    </xf>
    <xf numFmtId="0" fontId="0" fillId="2" borderId="0" xfId="0" applyFont="1" applyFill="1" applyBorder="1" applyAlignment="1">
      <alignment horizontal="justify" vertical="center" wrapText="1"/>
    </xf>
    <xf numFmtId="0" fontId="2" fillId="7" borderId="21" xfId="0" applyFont="1" applyFill="1" applyBorder="1" applyAlignment="1">
      <alignment horizontal="right" vertical="center" wrapText="1" indent="1"/>
    </xf>
    <xf numFmtId="0" fontId="2" fillId="7" borderId="22" xfId="0" applyFont="1" applyFill="1" applyBorder="1" applyAlignment="1">
      <alignment horizontal="right" vertical="center" wrapText="1" indent="1"/>
    </xf>
    <xf numFmtId="0" fontId="0" fillId="2" borderId="1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5" fillId="2" borderId="19" xfId="0" applyFont="1" applyFill="1" applyBorder="1" applyAlignment="1">
      <alignment horizontal="center" wrapText="1"/>
    </xf>
    <xf numFmtId="0" fontId="5" fillId="2" borderId="7" xfId="0" applyFont="1" applyFill="1" applyBorder="1" applyAlignment="1">
      <alignment horizontal="center" wrapText="1"/>
    </xf>
    <xf numFmtId="0" fontId="5" fillId="2" borderId="10" xfId="0" applyFont="1" applyFill="1" applyBorder="1" applyAlignment="1">
      <alignment horizontal="center" wrapText="1"/>
    </xf>
    <xf numFmtId="0" fontId="12" fillId="2" borderId="49" xfId="0" applyFont="1" applyFill="1" applyBorder="1" applyAlignment="1">
      <alignment horizontal="right" vertical="top" wrapText="1"/>
    </xf>
    <xf numFmtId="0" fontId="12" fillId="2" borderId="50" xfId="0" applyFont="1" applyFill="1" applyBorder="1" applyAlignment="1">
      <alignment horizontal="right" vertical="top" wrapText="1"/>
    </xf>
  </cellXfs>
  <cellStyles count="2">
    <cellStyle name="Normal" xfId="0" builtinId="0"/>
    <cellStyle name="Percent" xfId="1" builtinId="5"/>
  </cellStyles>
  <dxfs count="12">
    <dxf>
      <font>
        <b/>
        <i/>
        <color rgb="FFFF0000"/>
      </font>
    </dxf>
    <dxf>
      <font>
        <b/>
        <i val="0"/>
        <color rgb="FFFF0000"/>
      </font>
    </dxf>
    <dxf>
      <font>
        <b/>
        <i/>
        <color rgb="FFFF0000"/>
      </font>
    </dxf>
    <dxf>
      <font>
        <b/>
        <i val="0"/>
        <color rgb="FFFF0000"/>
      </font>
    </dxf>
    <dxf>
      <font>
        <b/>
        <i val="0"/>
        <color rgb="FFFF0000"/>
      </font>
    </dxf>
    <dxf>
      <font>
        <b/>
        <i val="0"/>
        <color rgb="FFFF0000"/>
      </font>
    </dxf>
    <dxf>
      <font>
        <b/>
        <i val="0"/>
        <color rgb="FFFF0000"/>
      </font>
    </dxf>
    <dxf>
      <font>
        <b/>
        <i val="0"/>
        <color rgb="FFFF0000"/>
      </font>
    </dxf>
    <dxf>
      <font>
        <b/>
        <i/>
        <color rgb="FFFF0000"/>
      </font>
    </dxf>
    <dxf>
      <fill>
        <patternFill patternType="lightUp">
          <fgColor theme="0" tint="-0.499984740745262"/>
        </patternFill>
      </fill>
    </dxf>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0000FF"/>
      <color rgb="FFFFFFCC"/>
      <color rgb="FFEFFFE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33"/>
  <sheetViews>
    <sheetView tabSelected="1" defaultGridColor="0" colorId="9" zoomScale="110" zoomScaleNormal="110" workbookViewId="0">
      <selection activeCell="G7" sqref="G7"/>
    </sheetView>
  </sheetViews>
  <sheetFormatPr defaultColWidth="9.1796875" defaultRowHeight="12.5" x14ac:dyDescent="0.25"/>
  <cols>
    <col min="1" max="1" width="13.26953125" style="13" customWidth="1"/>
    <col min="2" max="2" width="10.54296875" style="13" customWidth="1"/>
    <col min="3" max="5" width="13.7265625" style="13" customWidth="1"/>
    <col min="6" max="6" width="15.453125" style="13" customWidth="1"/>
    <col min="7" max="7" width="16.453125" style="13" customWidth="1"/>
    <col min="8" max="16384" width="9.1796875" style="13"/>
  </cols>
  <sheetData>
    <row r="1" spans="1:22" ht="36" customHeight="1" x14ac:dyDescent="0.25">
      <c r="A1" s="94" t="s">
        <v>111</v>
      </c>
      <c r="B1" s="94"/>
      <c r="C1" s="95" t="s">
        <v>94</v>
      </c>
      <c r="D1" s="95"/>
      <c r="E1" s="95"/>
      <c r="F1" s="95"/>
      <c r="G1" s="95"/>
    </row>
    <row r="2" spans="1:22" ht="24" customHeight="1" x14ac:dyDescent="0.25">
      <c r="A2" s="96" t="s">
        <v>95</v>
      </c>
      <c r="B2" s="96"/>
      <c r="C2" s="96"/>
      <c r="D2" s="96"/>
      <c r="E2" s="96"/>
      <c r="F2" s="96"/>
      <c r="G2" s="96"/>
    </row>
    <row r="3" spans="1:22" ht="120" customHeight="1" x14ac:dyDescent="0.25">
      <c r="A3" s="97" t="str">
        <f>"The table below is intended to assist an Applicant in RFA 2020-205 to determine the maximum amount of an ELI Loan that may be requested in its Application based on the proposed Unit mix as well as the estimated NHTF Loan Amount.  The ELI Loan amount"&amp;" is based on distributing the ELI Units pro-rata across the entire Unit mix, up to the specific maximum identified in the RFA, rounding up to a whole number of units, and then applying the relative per unit ELI Loan limitations to each ELI Unit.  If "&amp;"the Appllicant chooses to receive NHTF funding, the NHTF Loan amount is based on a proposed Development consisting of 100% new construction and having "&amp;TEXT(C114,"0")&amp;" NHTF units if located in a Large County and "&amp;TEXT(C113,"0")&amp;" NHTF units if located in a Medium County.  Developments in Small Counties are not required to have any NHTF units and are not eligible for NHTF funding."</f>
        <v>The table below is intended to assist an Applicant in RFA 2020-205 to determine the maximum amount of an ELI Loan that may be requested in its Application based on the proposed Unit mix as well as the estimated NHTF Loan Amount.  The ELI Loan amount is based on distributing the ELI Units pro-rata across the entire Unit mix, up to the specific maximum identified in the RFA, rounding up to a whole number of units, and then applying the relative per unit ELI Loan limitations to each ELI Unit.  If the Appllicant chooses to receive NHTF funding, the NHTF Loan amount is based on a proposed Development consisting of 100% new construction and having 5 NHTF units if located in a Large County and 3 NHTF units if located in a Medium County.  Developments in Small Counties are not required to have any NHTF units and are not eligible for NHTF funding.</v>
      </c>
      <c r="B3" s="98"/>
      <c r="C3" s="98"/>
      <c r="D3" s="98"/>
      <c r="E3" s="98"/>
      <c r="F3" s="98"/>
      <c r="G3" s="98"/>
    </row>
    <row r="4" spans="1:22" ht="160" customHeight="1" x14ac:dyDescent="0.25">
      <c r="A4" s="91" t="s">
        <v>125</v>
      </c>
      <c r="B4" s="99"/>
      <c r="C4" s="99"/>
      <c r="D4" s="99"/>
      <c r="E4" s="99"/>
      <c r="F4" s="99"/>
      <c r="G4" s="99"/>
    </row>
    <row r="5" spans="1:22" ht="85" customHeight="1" x14ac:dyDescent="0.25">
      <c r="A5" s="91" t="str">
        <f>"If the proposed Development qualifies for an NHTF Loan award and assuming the Applicant has indicated it wants NHTF funding, this worksheet will calculate an estimated minimum amount based on answers to questions 1 and 8 below.  If the "&amp;"proposed Development is 100% new construction, the template will calculate the estimated NHTF Loan Amount based on "&amp;TEXT(C114,"0")&amp;" NHTF units if located in a Large County and "&amp;TEXT(C113,"0")&amp;" NHTF units if located in a Medium County.  If the proposed Development is not 100% new construction or if the Development is located in a Small County, the template will indicate NHTF Loan funding is not applicable."</f>
        <v>If the proposed Development qualifies for an NHTF Loan award and assuming the Applicant has indicated it wants NHTF funding, this worksheet will calculate an estimated minimum amount based on answers to questions 1 and 8 below.  If the proposed Development is 100% new construction, the template will calculate the estimated NHTF Loan Amount based on 5 NHTF units if located in a Large County and 3 NHTF units if located in a Medium County.  If the proposed Development is not 100% new construction or if the Development is located in a Small County, the template will indicate NHTF Loan funding is not applicable.</v>
      </c>
      <c r="B5" s="91"/>
      <c r="C5" s="91"/>
      <c r="D5" s="91"/>
      <c r="E5" s="91"/>
      <c r="F5" s="91"/>
      <c r="G5" s="91"/>
    </row>
    <row r="6" spans="1:22" ht="6.75" customHeight="1" x14ac:dyDescent="0.25">
      <c r="A6" s="14"/>
      <c r="B6" s="14"/>
      <c r="C6" s="14"/>
      <c r="D6" s="14"/>
      <c r="E6" s="14"/>
      <c r="F6" s="14"/>
      <c r="G6" s="14"/>
    </row>
    <row r="7" spans="1:22" ht="20.149999999999999" customHeight="1" x14ac:dyDescent="0.3">
      <c r="A7" s="69" t="s">
        <v>104</v>
      </c>
      <c r="B7" s="14"/>
      <c r="C7" s="14"/>
      <c r="D7" s="14"/>
      <c r="E7" s="14"/>
      <c r="G7" s="57" t="s">
        <v>86</v>
      </c>
      <c r="J7" s="71"/>
      <c r="K7" s="89"/>
      <c r="L7" s="89"/>
      <c r="M7" s="71"/>
      <c r="N7" s="89"/>
      <c r="O7" s="89"/>
      <c r="P7" s="71"/>
      <c r="Q7" s="71"/>
      <c r="R7" s="89"/>
      <c r="S7" s="89"/>
      <c r="T7" s="71"/>
      <c r="U7" s="89"/>
      <c r="V7" s="89"/>
    </row>
    <row r="8" spans="1:22" ht="20.149999999999999" customHeight="1" x14ac:dyDescent="0.3">
      <c r="A8" s="69" t="s">
        <v>105</v>
      </c>
      <c r="B8" s="14"/>
      <c r="C8" s="14"/>
      <c r="D8" s="14"/>
      <c r="E8" s="14"/>
      <c r="G8" s="75" t="str">
        <f>IF(ISERROR(VLOOKUP(G$7,ELI_PU,7)),"TBD",VLOOKUP(G$7,ELI_PU,7))</f>
        <v>TBD</v>
      </c>
      <c r="J8" s="71"/>
      <c r="K8" s="73"/>
      <c r="L8" s="73"/>
      <c r="M8" s="71"/>
      <c r="N8" s="73"/>
      <c r="O8" s="73"/>
      <c r="P8" s="71"/>
      <c r="Q8" s="71"/>
      <c r="R8" s="73"/>
      <c r="S8" s="73"/>
      <c r="T8" s="71"/>
      <c r="U8" s="73"/>
      <c r="V8" s="73"/>
    </row>
    <row r="9" spans="1:22" ht="20.149999999999999" customHeight="1" x14ac:dyDescent="0.3">
      <c r="A9" s="69" t="s">
        <v>106</v>
      </c>
      <c r="B9" s="14"/>
      <c r="C9" s="14"/>
      <c r="D9" s="14"/>
      <c r="E9" s="14"/>
      <c r="G9" s="57" t="s">
        <v>93</v>
      </c>
      <c r="J9" s="71"/>
      <c r="K9" s="72"/>
      <c r="L9" s="72"/>
      <c r="M9" s="71"/>
      <c r="N9" s="72"/>
      <c r="O9" s="72"/>
      <c r="P9" s="71"/>
      <c r="Q9" s="71"/>
      <c r="R9" s="72"/>
      <c r="S9" s="72"/>
      <c r="T9" s="71"/>
      <c r="U9" s="72"/>
      <c r="V9" s="72"/>
    </row>
    <row r="10" spans="1:22" ht="20.149999999999999" customHeight="1" x14ac:dyDescent="0.3">
      <c r="A10" s="69" t="s">
        <v>107</v>
      </c>
      <c r="B10" s="14"/>
      <c r="C10" s="14"/>
      <c r="D10" s="14"/>
      <c r="E10" s="14"/>
      <c r="G10" s="57" t="s">
        <v>93</v>
      </c>
      <c r="J10" s="71"/>
      <c r="K10" s="72"/>
      <c r="L10" s="72"/>
      <c r="M10" s="71"/>
      <c r="N10" s="72"/>
      <c r="O10" s="72"/>
      <c r="P10" s="71"/>
      <c r="Q10" s="71"/>
      <c r="R10" s="72"/>
      <c r="S10" s="72"/>
      <c r="T10" s="71"/>
      <c r="U10" s="72"/>
      <c r="V10" s="72"/>
    </row>
    <row r="11" spans="1:22" ht="20.149999999999999" customHeight="1" x14ac:dyDescent="0.3">
      <c r="A11" s="69" t="s">
        <v>108</v>
      </c>
      <c r="B11" s="14"/>
      <c r="C11" s="14"/>
      <c r="D11" s="14"/>
      <c r="E11" s="14"/>
      <c r="G11" s="57" t="s">
        <v>93</v>
      </c>
      <c r="J11" s="71"/>
      <c r="K11" s="72"/>
      <c r="L11" s="72"/>
      <c r="M11" s="71"/>
      <c r="N11" s="71"/>
      <c r="O11" s="72"/>
      <c r="P11" s="71"/>
      <c r="Q11" s="71"/>
      <c r="R11" s="71"/>
      <c r="S11" s="71"/>
      <c r="T11" s="71"/>
      <c r="U11" s="71"/>
      <c r="V11" s="71"/>
    </row>
    <row r="12" spans="1:22" ht="20.149999999999999" customHeight="1" x14ac:dyDescent="0.3">
      <c r="A12" s="69" t="s">
        <v>129</v>
      </c>
      <c r="G12" s="82" t="str">
        <f>IF(AND(G9=A113,OR(G10=A119,G10=A120),G11=A108),C117,IF(AND(G9=A113,G10=A118,G11=A108),C118,IF(AND(G9=A113,G11=A107),C119,IF(AND(G9=A114,OR(G10=A119,G10=A120),G11=A108),C120,IF(AND(G9=A114,G10=A118,G11=A108),C121,IF(AND(G9=A114,G11=A107),C122,"TBD"))))))</f>
        <v>TBD</v>
      </c>
      <c r="J12" s="71"/>
      <c r="K12" s="71"/>
      <c r="L12" s="71"/>
      <c r="M12" s="71"/>
      <c r="N12" s="71"/>
      <c r="O12" s="71"/>
      <c r="P12" s="71"/>
      <c r="Q12" s="71"/>
      <c r="R12" s="71"/>
      <c r="S12" s="71"/>
      <c r="T12" s="71"/>
      <c r="U12" s="71"/>
      <c r="V12" s="71"/>
    </row>
    <row r="13" spans="1:22" ht="20.149999999999999" customHeight="1" x14ac:dyDescent="0.3">
      <c r="A13" s="69" t="s">
        <v>120</v>
      </c>
      <c r="B13" s="14"/>
      <c r="C13" s="14"/>
      <c r="D13" s="14"/>
      <c r="E13" s="14"/>
      <c r="G13" s="74" t="str">
        <f>IF(G9=A113,10%,IF(G9=A114,IF(G11=A107,"LDA Not Allowed",IF(OR(G10=A119,G10=G120),10%,10%)),"TBD"))</f>
        <v>TBD</v>
      </c>
      <c r="H13" s="13" t="str">
        <f>IF(AND(G9=A114,OR(G10=A119,G10=A120),G11=A108),"(ELI units can be part of the 5% below 50% AMI requirement)",IF(AND(G9=A114,G10=A118,G11=A108),"(ELI units are in addition to the 5% below 50% AMI requirement)",""))</f>
        <v/>
      </c>
      <c r="J13" s="71"/>
      <c r="K13" s="71"/>
      <c r="L13" s="71"/>
      <c r="M13" s="71"/>
      <c r="N13" s="71"/>
      <c r="O13" s="71"/>
      <c r="P13" s="71"/>
      <c r="Q13" s="71"/>
      <c r="R13" s="71"/>
      <c r="S13" s="71"/>
      <c r="T13" s="71"/>
      <c r="U13" s="71"/>
      <c r="V13" s="71"/>
    </row>
    <row r="14" spans="1:22" ht="20.149999999999999" customHeight="1" x14ac:dyDescent="0.3">
      <c r="A14" s="69" t="s">
        <v>121</v>
      </c>
      <c r="B14" s="14"/>
      <c r="C14" s="14"/>
      <c r="D14" s="14"/>
      <c r="E14" s="14"/>
      <c r="G14" s="58" t="s">
        <v>97</v>
      </c>
      <c r="H14" s="70"/>
      <c r="J14" s="71"/>
      <c r="K14" s="71"/>
      <c r="L14" s="71"/>
      <c r="M14" s="71"/>
      <c r="N14" s="71"/>
      <c r="O14" s="71"/>
      <c r="P14" s="71"/>
      <c r="Q14" s="71"/>
      <c r="R14" s="71"/>
      <c r="S14" s="71"/>
      <c r="T14" s="71"/>
      <c r="U14" s="71"/>
      <c r="V14" s="71"/>
    </row>
    <row r="15" spans="1:22" ht="20.149999999999999" customHeight="1" x14ac:dyDescent="0.3">
      <c r="A15" s="69" t="s">
        <v>122</v>
      </c>
      <c r="B15" s="14"/>
      <c r="C15" s="14"/>
      <c r="D15" s="14"/>
      <c r="E15" s="14"/>
      <c r="G15" s="57" t="s">
        <v>93</v>
      </c>
    </row>
    <row r="16" spans="1:22" ht="20.149999999999999" customHeight="1" x14ac:dyDescent="0.3">
      <c r="A16" s="69" t="s">
        <v>123</v>
      </c>
      <c r="B16" s="14"/>
      <c r="C16" s="14"/>
      <c r="D16" s="14"/>
      <c r="E16" s="14"/>
      <c r="G16" s="57" t="s">
        <v>93</v>
      </c>
    </row>
    <row r="17" spans="1:7" ht="20.149999999999999" customHeight="1" x14ac:dyDescent="0.25">
      <c r="A17" s="81" t="str">
        <f>IF(OR(ISERROR(VLOOKUP(G7,A38:G104,7)),G7=A37),"11. The amount of NHTF (based on RFA minimums without adjustments) is TBD.........................................................",IF(VLOOKUP(G7,A38:G104,7)="Small","11. NHTF Loan Funding is not available for Developments located in Small Counties....................................................",IF(OR(G15=A108,G15=A106,G16=A108,G16=A106),"11. NHTF is not available...................................................................................................................................................","11. The estimated minimum NHTF Loan Amount for the "&amp;TEXT(IF(IFERROR(VLOOKUP(G7,A38:G104,7),"TBD")="Large",C114,IF(IFERROR(VLOOKUP(G7,A38:G104,7),"TBD")="Medium",C113,IF(IFERROR(VLOOKUP(G7,A38:G104,7),"TBD")="TBD","TBD",0))),"0")&amp;" units, each at "&amp;IF(ISERROR(VLOOKUP(G7,A38:G104,6)),"TBD",TEXT(VLOOKUP(G7,A38:G104,6),"$0,000"))&amp;", is..................................................................")))</f>
        <v>11. The amount of NHTF (based on RFA minimums without adjustments) is TBD.........................................................</v>
      </c>
      <c r="B17" s="14"/>
      <c r="C17" s="14"/>
      <c r="D17" s="14"/>
      <c r="E17" s="14"/>
      <c r="G17" s="76" t="str">
        <f>IF(OR(ISERROR(VLOOKUP(G7,A37:G104,7)),ISERROR(VLOOKUP(G7,A37:G104,6)),G7=A37,G15=A106,G16=A106),"TBD",IF(G16=A108,"NA",IF(AND(VLOOKUP(G7,A37:G104,7)="Small",G15="Yes"),C112*VLOOKUP(G7,A37:G104,6),IF(AND(VLOOKUP(G7,A37:G104,7)="Medium",G15="Yes"),C113*VLOOKUP(G7,A37:G104,6),IF(AND(VLOOKUP(G7,A37:G104,7)="Large",G15="Yes"),C114*VLOOKUP(G7,A37:G104,6),"NA")))))</f>
        <v>TBD</v>
      </c>
    </row>
    <row r="18" spans="1:7" x14ac:dyDescent="0.25">
      <c r="A18" s="14"/>
      <c r="B18" s="14"/>
      <c r="C18" s="14"/>
      <c r="D18" s="14"/>
      <c r="E18" s="14"/>
      <c r="F18" s="15"/>
      <c r="G18" s="14"/>
    </row>
    <row r="19" spans="1:7" ht="13.5" thickBot="1" x14ac:dyDescent="0.3">
      <c r="A19" s="1" t="s">
        <v>0</v>
      </c>
      <c r="B19" s="1" t="s">
        <v>1</v>
      </c>
      <c r="C19" s="1" t="s">
        <v>2</v>
      </c>
      <c r="D19" s="1" t="s">
        <v>3</v>
      </c>
      <c r="E19" s="1" t="s">
        <v>4</v>
      </c>
      <c r="F19" s="1" t="s">
        <v>5</v>
      </c>
      <c r="G19" s="1" t="s">
        <v>6</v>
      </c>
    </row>
    <row r="20" spans="1:7" ht="53.25" customHeight="1" x14ac:dyDescent="0.3">
      <c r="A20" s="2" t="s">
        <v>7</v>
      </c>
      <c r="B20" s="3" t="s">
        <v>8</v>
      </c>
      <c r="C20" s="3" t="s">
        <v>9</v>
      </c>
      <c r="D20" s="3" t="s">
        <v>83</v>
      </c>
      <c r="E20" s="4" t="s">
        <v>128</v>
      </c>
      <c r="F20" s="3" t="s">
        <v>10</v>
      </c>
      <c r="G20" s="50" t="s">
        <v>133</v>
      </c>
    </row>
    <row r="21" spans="1:7" ht="4" customHeight="1" x14ac:dyDescent="0.25">
      <c r="A21" s="16"/>
      <c r="B21" s="5"/>
      <c r="C21" s="17"/>
      <c r="D21" s="17"/>
      <c r="E21" s="17"/>
      <c r="F21" s="18"/>
      <c r="G21" s="51"/>
    </row>
    <row r="22" spans="1:7" ht="13" x14ac:dyDescent="0.25">
      <c r="A22" s="19">
        <v>0</v>
      </c>
      <c r="B22" s="59">
        <v>0</v>
      </c>
      <c r="C22" s="20">
        <f>SUM(B$21:B22)</f>
        <v>0</v>
      </c>
      <c r="D22" s="20">
        <f>ROUNDUP(C22*N(G$14),0)-SUM(D$21:D21)</f>
        <v>0</v>
      </c>
      <c r="E22" s="21">
        <f>IF(G$13="LDA Not Allowed",0,ROUNDUP(C22*N(G$13),0)-SUM(E$21:E21))</f>
        <v>0</v>
      </c>
      <c r="F22" s="22">
        <f>IF(ISERROR(VLOOKUP(G$7,ELI_PU,3)),"",VLOOKUP(G$7,ELI_PU,3))</f>
        <v>0</v>
      </c>
      <c r="G22" s="52">
        <f>IF(ISERROR(F22*E22),0,F22*MIN(D22,E22))</f>
        <v>0</v>
      </c>
    </row>
    <row r="23" spans="1:7" ht="13" x14ac:dyDescent="0.25">
      <c r="A23" s="23">
        <v>1</v>
      </c>
      <c r="B23" s="60">
        <v>0</v>
      </c>
      <c r="C23" s="24">
        <f>SUM(B$21:B23)</f>
        <v>0</v>
      </c>
      <c r="D23" s="24">
        <f>ROUNDUP(C23*N(G$14),0)-SUM(D$21:D22)</f>
        <v>0</v>
      </c>
      <c r="E23" s="21">
        <f>IF(G$13="LDA Not Allowed",0,ROUNDUP(C23*N(G$13),0)-SUM(E$21:E22))</f>
        <v>0</v>
      </c>
      <c r="F23" s="25">
        <f>IF(ISERROR(VLOOKUP(G$7,ELI_PU,3)),"",VLOOKUP(G$7,ELI_PU,3))</f>
        <v>0</v>
      </c>
      <c r="G23" s="52">
        <f>IF(ISERROR(F23*E23),0,F23*MIN(D23,E23))</f>
        <v>0</v>
      </c>
    </row>
    <row r="24" spans="1:7" ht="13" x14ac:dyDescent="0.25">
      <c r="A24" s="23">
        <v>2</v>
      </c>
      <c r="B24" s="60">
        <v>0</v>
      </c>
      <c r="C24" s="24">
        <f>SUM(B$21:B24)</f>
        <v>0</v>
      </c>
      <c r="D24" s="24">
        <f>ROUNDUP(C24*N(G$14),0)-SUM(D$21:D23)</f>
        <v>0</v>
      </c>
      <c r="E24" s="21">
        <f>IF(G$13="LDA Not Allowed",0,ROUNDUP(C24*N(G$13),0)-SUM(E$21:E23))</f>
        <v>0</v>
      </c>
      <c r="F24" s="25">
        <f>IF(ISERROR(VLOOKUP(G$7,ELI_PU,4)),"",VLOOKUP(G$7,ELI_PU,4))</f>
        <v>0</v>
      </c>
      <c r="G24" s="52">
        <f>IF(ISERROR(F24*E24),0,F24*MIN(D24,E24))</f>
        <v>0</v>
      </c>
    </row>
    <row r="25" spans="1:7" ht="13" x14ac:dyDescent="0.25">
      <c r="A25" s="23">
        <v>3</v>
      </c>
      <c r="B25" s="60">
        <v>0</v>
      </c>
      <c r="C25" s="24">
        <f>SUM(B$21:B25)</f>
        <v>0</v>
      </c>
      <c r="D25" s="24">
        <f>ROUNDUP(C25*N(G$14),0)-SUM(D$21:D24)</f>
        <v>0</v>
      </c>
      <c r="E25" s="21">
        <f>IF(G$13="LDA Not Allowed",0,ROUNDUP(C25*N(G$13),0)-SUM(E$21:E24))</f>
        <v>0</v>
      </c>
      <c r="F25" s="25">
        <f>IF(ISERROR(VLOOKUP(G$7,ELI_PU,5)),"",VLOOKUP(G$7,ELI_PU,5))</f>
        <v>0</v>
      </c>
      <c r="G25" s="52">
        <f>IF(ISERROR(F25*E25),0,F25*MIN(D25,E25))</f>
        <v>0</v>
      </c>
    </row>
    <row r="26" spans="1:7" ht="13" x14ac:dyDescent="0.25">
      <c r="A26" s="23">
        <v>4</v>
      </c>
      <c r="B26" s="60">
        <v>0</v>
      </c>
      <c r="C26" s="24">
        <f>SUM(B$21:B26)</f>
        <v>0</v>
      </c>
      <c r="D26" s="24">
        <f>ROUNDUP(C26*N(G$14),0)-SUM(D$21:D25)</f>
        <v>0</v>
      </c>
      <c r="E26" s="21">
        <f>IF(G$13="LDA Not Allowed",0,ROUNDUP(C26*N(G$13),0)-SUM(E$21:E25))</f>
        <v>0</v>
      </c>
      <c r="F26" s="25">
        <f>IF(ISERROR(VLOOKUP(G$7,ELI_PU,5)),"",VLOOKUP(G$7,ELI_PU,5))</f>
        <v>0</v>
      </c>
      <c r="G26" s="52">
        <f>IF(ISERROR(F26*E26),0,F26*MIN(D26,E26))</f>
        <v>0</v>
      </c>
    </row>
    <row r="27" spans="1:7" ht="4" customHeight="1" thickBot="1" x14ac:dyDescent="0.3">
      <c r="A27" s="26"/>
      <c r="B27" s="6"/>
      <c r="C27" s="27"/>
      <c r="D27" s="27"/>
      <c r="E27" s="28"/>
      <c r="F27" s="29"/>
      <c r="G27" s="53"/>
    </row>
    <row r="28" spans="1:7" ht="14" thickTop="1" thickBot="1" x14ac:dyDescent="0.3">
      <c r="A28" s="7" t="s">
        <v>11</v>
      </c>
      <c r="B28" s="55">
        <f>SUM(B21:B27)</f>
        <v>0</v>
      </c>
      <c r="C28" s="30"/>
      <c r="D28" s="30">
        <f>SUM(D21:D27)</f>
        <v>0</v>
      </c>
      <c r="E28" s="30">
        <f>SUM(E21:E27)</f>
        <v>0</v>
      </c>
      <c r="F28" s="31" t="str">
        <f>IF(E28=0,"",SUMPRODUCT(F22:F26,E22:E26)/E28)</f>
        <v/>
      </c>
      <c r="G28" s="54">
        <f>MIN($B$110,SUM(G21:G27))</f>
        <v>0</v>
      </c>
    </row>
    <row r="29" spans="1:7" ht="12.75" customHeight="1" x14ac:dyDescent="0.25">
      <c r="A29" s="14"/>
      <c r="B29" s="102" t="s">
        <v>84</v>
      </c>
      <c r="C29" s="14"/>
      <c r="D29" s="105" t="str">
        <f>TEXT(D28,"0")&amp;" ELI units is "&amp;TEXT(IF($B28=0,0,D28/$B28),"0.00%")&amp;" of "&amp;TEXT(N($B28),"0")&amp;" total units."</f>
        <v>0 ELI units is 0.00% of 0 total units.</v>
      </c>
      <c r="E29" s="105" t="str">
        <f>TEXT(E28,"0")&amp;" ELI units is "&amp;TEXT(IF($B28=0,0,E28/$B28),"0.00%")&amp;" of "&amp;TEXT(N($B28),"0")&amp;" total units."</f>
        <v>0 ELI units is 0.00% of 0 total units.</v>
      </c>
      <c r="F29" s="108" t="str">
        <f>IF(SUM(G21:G27)&gt;G28,"The ELI Loan is capped at "&amp;TEXT($B$110,"$#,##0")&amp;".","")</f>
        <v/>
      </c>
      <c r="G29" s="100" t="s">
        <v>85</v>
      </c>
    </row>
    <row r="30" spans="1:7" x14ac:dyDescent="0.25">
      <c r="A30" s="14"/>
      <c r="B30" s="103"/>
      <c r="C30" s="14"/>
      <c r="D30" s="106"/>
      <c r="E30" s="106"/>
      <c r="F30" s="109"/>
      <c r="G30" s="100"/>
    </row>
    <row r="31" spans="1:7" x14ac:dyDescent="0.25">
      <c r="A31" s="14"/>
      <c r="B31" s="103"/>
      <c r="C31" s="14"/>
      <c r="D31" s="107"/>
      <c r="E31" s="107"/>
      <c r="F31" s="109"/>
      <c r="G31" s="100"/>
    </row>
    <row r="32" spans="1:7" ht="13" thickBot="1" x14ac:dyDescent="0.3">
      <c r="A32" s="14"/>
      <c r="B32" s="104"/>
      <c r="C32" s="14"/>
      <c r="D32" s="14"/>
      <c r="E32" s="14"/>
      <c r="F32" s="109"/>
      <c r="G32" s="101"/>
    </row>
    <row r="33" spans="1:9" ht="13" thickTop="1" x14ac:dyDescent="0.25">
      <c r="A33" s="14"/>
      <c r="B33" s="32"/>
      <c r="C33" s="14"/>
      <c r="D33" s="14"/>
      <c r="E33" s="14"/>
      <c r="F33" s="14"/>
      <c r="G33" s="14"/>
    </row>
    <row r="34" spans="1:9" ht="6" customHeight="1" x14ac:dyDescent="0.25">
      <c r="A34" s="14"/>
      <c r="B34" s="14"/>
      <c r="C34" s="14"/>
      <c r="D34" s="14"/>
      <c r="E34" s="14"/>
      <c r="F34" s="14"/>
      <c r="G34" s="14"/>
    </row>
    <row r="35" spans="1:9" ht="13.5" hidden="1" thickBot="1" x14ac:dyDescent="0.35">
      <c r="A35" s="12" t="s">
        <v>96</v>
      </c>
      <c r="B35" s="14"/>
      <c r="C35" s="14"/>
      <c r="D35" s="14"/>
      <c r="E35" s="14"/>
      <c r="F35" s="14"/>
      <c r="G35" s="14"/>
    </row>
    <row r="36" spans="1:9" ht="48.75" hidden="1" customHeight="1" thickBot="1" x14ac:dyDescent="0.35">
      <c r="A36" s="33" t="s">
        <v>12</v>
      </c>
      <c r="B36" s="34" t="s">
        <v>110</v>
      </c>
      <c r="C36" s="34" t="s">
        <v>13</v>
      </c>
      <c r="D36" s="34" t="s">
        <v>14</v>
      </c>
      <c r="E36" s="35" t="s">
        <v>15</v>
      </c>
      <c r="F36" s="34" t="s">
        <v>109</v>
      </c>
      <c r="G36" s="61" t="s">
        <v>90</v>
      </c>
      <c r="H36" s="92" t="str">
        <f>"
As a note, one (1) less Funded ELI unit (column ""E"", "&amp;TEXT(IF(E28-1&lt;0,0,E28-1),"0")&amp;" total ELI units) is "&amp;TEXT(IF($B28=0,0,(E28-1)/$B28),"0.00%")&amp;" of "&amp;TEXT(N($B28),"0")&amp;" total units.  
"&amp;IF(OR(G13=G14,N(G14)=0),"","In addition, one (1) less ELI Unit Commitment (column ""D"", "&amp;TEXT(IF(D28-1&lt;0,0,D28-1),"0")&amp;" total ELI Committed units) is "&amp;TEXT(IF($B28=0,0,(D28-1)/$B28),"0.00%")&amp;" of "&amp;TEXT(N($B28),"0")&amp;" total units.")</f>
        <v xml:space="preserve">
As a note, one (1) less Funded ELI unit (column "E", 0 total ELI units) is 0.00% of 0 total units.  
</v>
      </c>
      <c r="I36" s="93"/>
    </row>
    <row r="37" spans="1:9" ht="4.5" hidden="1" customHeight="1" x14ac:dyDescent="0.3">
      <c r="A37" s="56" t="s">
        <v>86</v>
      </c>
      <c r="B37" s="36"/>
      <c r="C37" s="36"/>
      <c r="D37" s="36"/>
      <c r="E37" s="37"/>
      <c r="F37" s="36"/>
      <c r="G37" s="62" t="s">
        <v>124</v>
      </c>
      <c r="H37" s="92"/>
      <c r="I37" s="93"/>
    </row>
    <row r="38" spans="1:9" hidden="1" x14ac:dyDescent="0.25">
      <c r="A38" s="38" t="s">
        <v>16</v>
      </c>
      <c r="B38" s="9">
        <v>0.33</v>
      </c>
      <c r="C38" s="39">
        <v>67700</v>
      </c>
      <c r="D38" s="39">
        <v>79400</v>
      </c>
      <c r="E38" s="40">
        <v>89500</v>
      </c>
      <c r="F38" s="63">
        <v>190200</v>
      </c>
      <c r="G38" s="63" t="s">
        <v>87</v>
      </c>
      <c r="H38" s="92"/>
      <c r="I38" s="93"/>
    </row>
    <row r="39" spans="1:9" hidden="1" x14ac:dyDescent="0.25">
      <c r="A39" s="41" t="s">
        <v>17</v>
      </c>
      <c r="B39" s="10">
        <v>0.33</v>
      </c>
      <c r="C39" s="42">
        <v>68800</v>
      </c>
      <c r="D39" s="42">
        <v>80700</v>
      </c>
      <c r="E39" s="43">
        <v>91000</v>
      </c>
      <c r="F39" s="64">
        <v>193600</v>
      </c>
      <c r="G39" s="64" t="s">
        <v>88</v>
      </c>
      <c r="H39" s="92"/>
      <c r="I39" s="93"/>
    </row>
    <row r="40" spans="1:9" hidden="1" x14ac:dyDescent="0.25">
      <c r="A40" s="44" t="s">
        <v>18</v>
      </c>
      <c r="B40" s="11">
        <v>0.33</v>
      </c>
      <c r="C40" s="45">
        <v>67300</v>
      </c>
      <c r="D40" s="45">
        <v>78800</v>
      </c>
      <c r="E40" s="46">
        <v>89000</v>
      </c>
      <c r="F40" s="65">
        <v>189000</v>
      </c>
      <c r="G40" s="65" t="s">
        <v>87</v>
      </c>
      <c r="H40" s="92"/>
      <c r="I40" s="93"/>
    </row>
    <row r="41" spans="1:9" hidden="1" x14ac:dyDescent="0.25">
      <c r="A41" s="38" t="s">
        <v>19</v>
      </c>
      <c r="B41" s="9">
        <v>0.4</v>
      </c>
      <c r="C41" s="39">
        <v>42600</v>
      </c>
      <c r="D41" s="39">
        <v>50000</v>
      </c>
      <c r="E41" s="40">
        <v>56300</v>
      </c>
      <c r="F41" s="64">
        <v>161900</v>
      </c>
      <c r="G41" s="63" t="s">
        <v>88</v>
      </c>
      <c r="H41" s="92"/>
      <c r="I41" s="93"/>
    </row>
    <row r="42" spans="1:9" hidden="1" x14ac:dyDescent="0.25">
      <c r="A42" s="41" t="s">
        <v>20</v>
      </c>
      <c r="B42" s="10">
        <v>0.33</v>
      </c>
      <c r="C42" s="42">
        <v>67100</v>
      </c>
      <c r="D42" s="42">
        <v>78600</v>
      </c>
      <c r="E42" s="43">
        <v>88600</v>
      </c>
      <c r="F42" s="64">
        <v>188600</v>
      </c>
      <c r="G42" s="64" t="s">
        <v>87</v>
      </c>
      <c r="H42" s="92"/>
      <c r="I42" s="93"/>
    </row>
    <row r="43" spans="1:9" hidden="1" x14ac:dyDescent="0.25">
      <c r="A43" s="44" t="s">
        <v>21</v>
      </c>
      <c r="B43" s="11">
        <v>0.25</v>
      </c>
      <c r="C43" s="45">
        <v>111800</v>
      </c>
      <c r="D43" s="45">
        <v>131100</v>
      </c>
      <c r="E43" s="46">
        <v>147800</v>
      </c>
      <c r="F43" s="65">
        <v>242500</v>
      </c>
      <c r="G43" s="65" t="s">
        <v>89</v>
      </c>
      <c r="H43" s="92"/>
      <c r="I43" s="93"/>
    </row>
    <row r="44" spans="1:9" hidden="1" x14ac:dyDescent="0.25">
      <c r="A44" s="41" t="s">
        <v>22</v>
      </c>
      <c r="B44" s="10">
        <v>0.4</v>
      </c>
      <c r="C44" s="42">
        <v>37900</v>
      </c>
      <c r="D44" s="42">
        <v>44400</v>
      </c>
      <c r="E44" s="43">
        <v>50100</v>
      </c>
      <c r="F44" s="64">
        <v>143600</v>
      </c>
      <c r="G44" s="64" t="s">
        <v>88</v>
      </c>
      <c r="H44" s="92"/>
      <c r="I44" s="93"/>
    </row>
    <row r="45" spans="1:9" hidden="1" x14ac:dyDescent="0.25">
      <c r="A45" s="41" t="s">
        <v>23</v>
      </c>
      <c r="B45" s="10">
        <v>0.4</v>
      </c>
      <c r="C45" s="42">
        <v>44400</v>
      </c>
      <c r="D45" s="42">
        <v>51900</v>
      </c>
      <c r="E45" s="43">
        <v>58500</v>
      </c>
      <c r="F45" s="64">
        <v>168400</v>
      </c>
      <c r="G45" s="64" t="s">
        <v>87</v>
      </c>
      <c r="H45" s="92"/>
      <c r="I45" s="93"/>
    </row>
    <row r="46" spans="1:9" hidden="1" x14ac:dyDescent="0.25">
      <c r="A46" s="44" t="s">
        <v>24</v>
      </c>
      <c r="B46" s="11">
        <v>0.4</v>
      </c>
      <c r="C46" s="45">
        <v>40100</v>
      </c>
      <c r="D46" s="45">
        <v>47100</v>
      </c>
      <c r="E46" s="46">
        <v>53000</v>
      </c>
      <c r="F46" s="65">
        <v>152400</v>
      </c>
      <c r="G46" s="65" t="s">
        <v>87</v>
      </c>
      <c r="H46" s="92"/>
      <c r="I46" s="93"/>
    </row>
    <row r="47" spans="1:9" hidden="1" x14ac:dyDescent="0.25">
      <c r="A47" s="41" t="s">
        <v>25</v>
      </c>
      <c r="B47" s="10">
        <v>0.3</v>
      </c>
      <c r="C47" s="42">
        <v>80700</v>
      </c>
      <c r="D47" s="42">
        <v>94500</v>
      </c>
      <c r="E47" s="43">
        <v>106600</v>
      </c>
      <c r="F47" s="64">
        <v>203900</v>
      </c>
      <c r="G47" s="64" t="s">
        <v>87</v>
      </c>
    </row>
    <row r="48" spans="1:9" hidden="1" x14ac:dyDescent="0.25">
      <c r="A48" s="41" t="s">
        <v>26</v>
      </c>
      <c r="B48" s="10">
        <v>0.28000000000000003</v>
      </c>
      <c r="C48" s="42">
        <v>94600</v>
      </c>
      <c r="D48" s="42">
        <v>110700</v>
      </c>
      <c r="E48" s="43">
        <v>124900</v>
      </c>
      <c r="F48" s="64">
        <v>224500</v>
      </c>
      <c r="G48" s="64" t="s">
        <v>87</v>
      </c>
    </row>
    <row r="49" spans="1:7" hidden="1" x14ac:dyDescent="0.25">
      <c r="A49" s="44" t="s">
        <v>27</v>
      </c>
      <c r="B49" s="11">
        <v>0.4</v>
      </c>
      <c r="C49" s="45">
        <v>40100</v>
      </c>
      <c r="D49" s="45">
        <v>47100</v>
      </c>
      <c r="E49" s="46">
        <v>53000</v>
      </c>
      <c r="F49" s="65">
        <v>152400</v>
      </c>
      <c r="G49" s="65" t="s">
        <v>88</v>
      </c>
    </row>
    <row r="50" spans="1:7" hidden="1" x14ac:dyDescent="0.25">
      <c r="A50" s="41" t="s">
        <v>28</v>
      </c>
      <c r="B50" s="10">
        <v>0.4</v>
      </c>
      <c r="C50" s="42">
        <v>37900</v>
      </c>
      <c r="D50" s="42">
        <v>44400</v>
      </c>
      <c r="E50" s="43">
        <v>50100</v>
      </c>
      <c r="F50" s="63">
        <v>143600</v>
      </c>
      <c r="G50" s="64" t="s">
        <v>88</v>
      </c>
    </row>
    <row r="51" spans="1:7" hidden="1" x14ac:dyDescent="0.25">
      <c r="A51" s="41" t="s">
        <v>29</v>
      </c>
      <c r="B51" s="10">
        <v>0.4</v>
      </c>
      <c r="C51" s="42">
        <v>37900</v>
      </c>
      <c r="D51" s="42">
        <v>44400</v>
      </c>
      <c r="E51" s="43">
        <v>50100</v>
      </c>
      <c r="F51" s="64">
        <v>143600</v>
      </c>
      <c r="G51" s="64" t="s">
        <v>88</v>
      </c>
    </row>
    <row r="52" spans="1:7" hidden="1" x14ac:dyDescent="0.25">
      <c r="A52" s="44" t="s">
        <v>30</v>
      </c>
      <c r="B52" s="11">
        <v>0.3</v>
      </c>
      <c r="C52" s="45">
        <v>80700</v>
      </c>
      <c r="D52" s="45">
        <v>94500</v>
      </c>
      <c r="E52" s="46">
        <v>106600</v>
      </c>
      <c r="F52" s="65">
        <v>203900</v>
      </c>
      <c r="G52" s="65" t="s">
        <v>89</v>
      </c>
    </row>
    <row r="53" spans="1:7" hidden="1" x14ac:dyDescent="0.25">
      <c r="A53" s="41" t="s">
        <v>31</v>
      </c>
      <c r="B53" s="10">
        <v>0.35</v>
      </c>
      <c r="C53" s="42">
        <v>59100</v>
      </c>
      <c r="D53" s="42">
        <v>69500</v>
      </c>
      <c r="E53" s="43">
        <v>78200</v>
      </c>
      <c r="F53" s="64">
        <v>179500</v>
      </c>
      <c r="G53" s="64" t="s">
        <v>87</v>
      </c>
    </row>
    <row r="54" spans="1:7" hidden="1" x14ac:dyDescent="0.25">
      <c r="A54" s="41" t="s">
        <v>32</v>
      </c>
      <c r="B54" s="10">
        <v>0.35</v>
      </c>
      <c r="C54" s="42">
        <v>58900</v>
      </c>
      <c r="D54" s="42">
        <v>68900</v>
      </c>
      <c r="E54" s="43">
        <v>77700</v>
      </c>
      <c r="F54" s="64">
        <v>178700</v>
      </c>
      <c r="G54" s="64" t="s">
        <v>87</v>
      </c>
    </row>
    <row r="55" spans="1:7" hidden="1" x14ac:dyDescent="0.25">
      <c r="A55" s="44" t="s">
        <v>33</v>
      </c>
      <c r="B55" s="11">
        <v>0.4</v>
      </c>
      <c r="C55" s="45">
        <v>39800</v>
      </c>
      <c r="D55" s="45">
        <v>46500</v>
      </c>
      <c r="E55" s="46">
        <v>52500</v>
      </c>
      <c r="F55" s="65">
        <v>151200</v>
      </c>
      <c r="G55" s="65" t="s">
        <v>88</v>
      </c>
    </row>
    <row r="56" spans="1:7" hidden="1" x14ac:dyDescent="0.25">
      <c r="A56" s="41" t="s">
        <v>34</v>
      </c>
      <c r="B56" s="10">
        <v>0.33</v>
      </c>
      <c r="C56" s="42">
        <v>70400</v>
      </c>
      <c r="D56" s="42">
        <v>82500</v>
      </c>
      <c r="E56" s="43">
        <v>93000</v>
      </c>
      <c r="F56" s="63">
        <v>197800</v>
      </c>
      <c r="G56" s="64" t="s">
        <v>88</v>
      </c>
    </row>
    <row r="57" spans="1:7" hidden="1" x14ac:dyDescent="0.25">
      <c r="A57" s="41" t="s">
        <v>35</v>
      </c>
      <c r="B57" s="10">
        <v>0.33</v>
      </c>
      <c r="C57" s="42">
        <v>67700</v>
      </c>
      <c r="D57" s="42">
        <v>79400</v>
      </c>
      <c r="E57" s="43">
        <v>89500</v>
      </c>
      <c r="F57" s="64">
        <v>190200</v>
      </c>
      <c r="G57" s="64" t="s">
        <v>88</v>
      </c>
    </row>
    <row r="58" spans="1:7" hidden="1" x14ac:dyDescent="0.25">
      <c r="A58" s="44" t="s">
        <v>36</v>
      </c>
      <c r="B58" s="11">
        <v>0.4</v>
      </c>
      <c r="C58" s="45">
        <v>37900</v>
      </c>
      <c r="D58" s="45">
        <v>44400</v>
      </c>
      <c r="E58" s="46">
        <v>50100</v>
      </c>
      <c r="F58" s="65">
        <v>143600</v>
      </c>
      <c r="G58" s="65" t="s">
        <v>88</v>
      </c>
    </row>
    <row r="59" spans="1:7" hidden="1" x14ac:dyDescent="0.25">
      <c r="A59" s="41" t="s">
        <v>37</v>
      </c>
      <c r="B59" s="10">
        <v>0.4</v>
      </c>
      <c r="C59" s="42">
        <v>42100</v>
      </c>
      <c r="D59" s="42">
        <v>49300</v>
      </c>
      <c r="E59" s="43">
        <v>55600</v>
      </c>
      <c r="F59" s="63">
        <v>159600</v>
      </c>
      <c r="G59" s="64" t="s">
        <v>88</v>
      </c>
    </row>
    <row r="60" spans="1:7" hidden="1" x14ac:dyDescent="0.25">
      <c r="A60" s="41" t="s">
        <v>38</v>
      </c>
      <c r="B60" s="10">
        <v>0.4</v>
      </c>
      <c r="C60" s="42">
        <v>37900</v>
      </c>
      <c r="D60" s="42">
        <v>44400</v>
      </c>
      <c r="E60" s="43">
        <v>50100</v>
      </c>
      <c r="F60" s="64">
        <v>143600</v>
      </c>
      <c r="G60" s="64" t="s">
        <v>88</v>
      </c>
    </row>
    <row r="61" spans="1:7" hidden="1" x14ac:dyDescent="0.25">
      <c r="A61" s="44" t="s">
        <v>39</v>
      </c>
      <c r="B61" s="11">
        <v>0.4</v>
      </c>
      <c r="C61" s="45">
        <v>37900</v>
      </c>
      <c r="D61" s="45">
        <v>44400</v>
      </c>
      <c r="E61" s="46">
        <v>50100</v>
      </c>
      <c r="F61" s="65">
        <v>143600</v>
      </c>
      <c r="G61" s="65" t="s">
        <v>88</v>
      </c>
    </row>
    <row r="62" spans="1:7" hidden="1" x14ac:dyDescent="0.25">
      <c r="A62" s="41" t="s">
        <v>40</v>
      </c>
      <c r="B62" s="10">
        <v>0.4</v>
      </c>
      <c r="C62" s="42">
        <v>37900</v>
      </c>
      <c r="D62" s="42">
        <v>44400</v>
      </c>
      <c r="E62" s="43">
        <v>50100</v>
      </c>
      <c r="F62" s="63">
        <v>143600</v>
      </c>
      <c r="G62" s="64" t="s">
        <v>88</v>
      </c>
    </row>
    <row r="63" spans="1:7" hidden="1" x14ac:dyDescent="0.25">
      <c r="A63" s="41" t="s">
        <v>41</v>
      </c>
      <c r="B63" s="10">
        <v>0.33</v>
      </c>
      <c r="C63" s="42">
        <v>68300</v>
      </c>
      <c r="D63" s="42">
        <v>79700</v>
      </c>
      <c r="E63" s="43">
        <v>90000</v>
      </c>
      <c r="F63" s="64">
        <v>191700</v>
      </c>
      <c r="G63" s="64" t="s">
        <v>87</v>
      </c>
    </row>
    <row r="64" spans="1:7" hidden="1" x14ac:dyDescent="0.25">
      <c r="A64" s="44" t="s">
        <v>42</v>
      </c>
      <c r="B64" s="11">
        <v>0.4</v>
      </c>
      <c r="C64" s="45">
        <v>37900</v>
      </c>
      <c r="D64" s="45">
        <v>44400</v>
      </c>
      <c r="E64" s="46">
        <v>50100</v>
      </c>
      <c r="F64" s="65">
        <v>143600</v>
      </c>
      <c r="G64" s="65" t="s">
        <v>87</v>
      </c>
    </row>
    <row r="65" spans="1:7" hidden="1" x14ac:dyDescent="0.25">
      <c r="A65" s="41" t="s">
        <v>43</v>
      </c>
      <c r="B65" s="10">
        <v>0.33</v>
      </c>
      <c r="C65" s="42">
        <v>68300</v>
      </c>
      <c r="D65" s="42">
        <v>79700</v>
      </c>
      <c r="E65" s="43">
        <v>90000</v>
      </c>
      <c r="F65" s="64">
        <v>191700</v>
      </c>
      <c r="G65" s="64" t="s">
        <v>89</v>
      </c>
    </row>
    <row r="66" spans="1:7" hidden="1" x14ac:dyDescent="0.25">
      <c r="A66" s="41" t="s">
        <v>44</v>
      </c>
      <c r="B66" s="10">
        <v>0.4</v>
      </c>
      <c r="C66" s="42">
        <v>37900</v>
      </c>
      <c r="D66" s="42">
        <v>44400</v>
      </c>
      <c r="E66" s="43">
        <v>50100</v>
      </c>
      <c r="F66" s="64">
        <v>143600</v>
      </c>
      <c r="G66" s="64" t="s">
        <v>88</v>
      </c>
    </row>
    <row r="67" spans="1:7" hidden="1" x14ac:dyDescent="0.25">
      <c r="A67" s="44" t="s">
        <v>45</v>
      </c>
      <c r="B67" s="11">
        <v>0.33</v>
      </c>
      <c r="C67" s="45">
        <v>67300</v>
      </c>
      <c r="D67" s="45">
        <v>79000</v>
      </c>
      <c r="E67" s="46">
        <v>89100</v>
      </c>
      <c r="F67" s="65">
        <v>189400</v>
      </c>
      <c r="G67" s="65" t="s">
        <v>87</v>
      </c>
    </row>
    <row r="68" spans="1:7" hidden="1" x14ac:dyDescent="0.25">
      <c r="A68" s="41" t="s">
        <v>46</v>
      </c>
      <c r="B68" s="10">
        <v>0.4</v>
      </c>
      <c r="C68" s="42">
        <v>37900</v>
      </c>
      <c r="D68" s="42">
        <v>44400</v>
      </c>
      <c r="E68" s="43">
        <v>50100</v>
      </c>
      <c r="F68" s="64">
        <v>143600</v>
      </c>
      <c r="G68" s="64" t="s">
        <v>88</v>
      </c>
    </row>
    <row r="69" spans="1:7" hidden="1" x14ac:dyDescent="0.25">
      <c r="A69" s="41" t="s">
        <v>47</v>
      </c>
      <c r="B69" s="10">
        <v>0.33</v>
      </c>
      <c r="C69" s="42">
        <v>70400</v>
      </c>
      <c r="D69" s="42">
        <v>82500</v>
      </c>
      <c r="E69" s="43">
        <v>93000</v>
      </c>
      <c r="F69" s="64">
        <v>197800</v>
      </c>
      <c r="G69" s="64" t="s">
        <v>88</v>
      </c>
    </row>
    <row r="70" spans="1:7" hidden="1" x14ac:dyDescent="0.25">
      <c r="A70" s="44" t="s">
        <v>48</v>
      </c>
      <c r="B70" s="11">
        <v>0.4</v>
      </c>
      <c r="C70" s="45">
        <v>40000</v>
      </c>
      <c r="D70" s="45">
        <v>46900</v>
      </c>
      <c r="E70" s="46">
        <v>52900</v>
      </c>
      <c r="F70" s="65">
        <v>152000</v>
      </c>
      <c r="G70" s="65" t="s">
        <v>88</v>
      </c>
    </row>
    <row r="71" spans="1:7" hidden="1" x14ac:dyDescent="0.25">
      <c r="A71" s="41" t="s">
        <v>49</v>
      </c>
      <c r="B71" s="10">
        <v>0.33</v>
      </c>
      <c r="C71" s="42">
        <v>70400</v>
      </c>
      <c r="D71" s="42">
        <v>82500</v>
      </c>
      <c r="E71" s="43">
        <v>93000</v>
      </c>
      <c r="F71" s="63">
        <v>197800</v>
      </c>
      <c r="G71" s="64" t="s">
        <v>87</v>
      </c>
    </row>
    <row r="72" spans="1:7" hidden="1" x14ac:dyDescent="0.25">
      <c r="A72" s="41" t="s">
        <v>50</v>
      </c>
      <c r="B72" s="10">
        <v>0.33</v>
      </c>
      <c r="C72" s="42">
        <v>66900</v>
      </c>
      <c r="D72" s="42">
        <v>78200</v>
      </c>
      <c r="E72" s="43">
        <v>88200</v>
      </c>
      <c r="F72" s="64">
        <v>187900</v>
      </c>
      <c r="G72" s="64" t="s">
        <v>87</v>
      </c>
    </row>
    <row r="73" spans="1:7" hidden="1" x14ac:dyDescent="0.25">
      <c r="A73" s="44" t="s">
        <v>51</v>
      </c>
      <c r="B73" s="11">
        <v>0.33</v>
      </c>
      <c r="C73" s="45">
        <v>70400</v>
      </c>
      <c r="D73" s="45">
        <v>82500</v>
      </c>
      <c r="E73" s="46">
        <v>93000</v>
      </c>
      <c r="F73" s="65">
        <v>197800</v>
      </c>
      <c r="G73" s="65" t="s">
        <v>87</v>
      </c>
    </row>
    <row r="74" spans="1:7" hidden="1" x14ac:dyDescent="0.25">
      <c r="A74" s="41" t="s">
        <v>52</v>
      </c>
      <c r="B74" s="10">
        <v>0.4</v>
      </c>
      <c r="C74" s="42">
        <v>37900</v>
      </c>
      <c r="D74" s="42">
        <v>44400</v>
      </c>
      <c r="E74" s="43">
        <v>50100</v>
      </c>
      <c r="F74" s="64">
        <v>143600</v>
      </c>
      <c r="G74" s="64" t="s">
        <v>88</v>
      </c>
    </row>
    <row r="75" spans="1:7" hidden="1" x14ac:dyDescent="0.25">
      <c r="A75" s="41" t="s">
        <v>53</v>
      </c>
      <c r="B75" s="10">
        <v>0.4</v>
      </c>
      <c r="C75" s="42">
        <v>37900</v>
      </c>
      <c r="D75" s="42">
        <v>44400</v>
      </c>
      <c r="E75" s="43">
        <v>50100</v>
      </c>
      <c r="F75" s="64">
        <v>143600</v>
      </c>
      <c r="G75" s="64" t="s">
        <v>88</v>
      </c>
    </row>
    <row r="76" spans="1:7" hidden="1" x14ac:dyDescent="0.25">
      <c r="A76" s="44" t="s">
        <v>54</v>
      </c>
      <c r="B76" s="11">
        <v>0.4</v>
      </c>
      <c r="C76" s="45">
        <v>37900</v>
      </c>
      <c r="D76" s="45">
        <v>44400</v>
      </c>
      <c r="E76" s="46">
        <v>50100</v>
      </c>
      <c r="F76" s="65">
        <v>143600</v>
      </c>
      <c r="G76" s="65" t="s">
        <v>88</v>
      </c>
    </row>
    <row r="77" spans="1:7" hidden="1" x14ac:dyDescent="0.25">
      <c r="A77" s="41" t="s">
        <v>55</v>
      </c>
      <c r="B77" s="10">
        <v>0.3</v>
      </c>
      <c r="C77" s="42">
        <v>82400</v>
      </c>
      <c r="D77" s="42">
        <v>96500</v>
      </c>
      <c r="E77" s="43">
        <v>108800</v>
      </c>
      <c r="F77" s="63">
        <v>208500</v>
      </c>
      <c r="G77" s="64" t="s">
        <v>87</v>
      </c>
    </row>
    <row r="78" spans="1:7" hidden="1" x14ac:dyDescent="0.25">
      <c r="A78" s="41" t="s">
        <v>56</v>
      </c>
      <c r="B78" s="10">
        <v>0.4</v>
      </c>
      <c r="C78" s="42">
        <v>39400</v>
      </c>
      <c r="D78" s="42">
        <v>46100</v>
      </c>
      <c r="E78" s="43">
        <v>52100</v>
      </c>
      <c r="F78" s="64">
        <v>149700</v>
      </c>
      <c r="G78" s="64" t="s">
        <v>87</v>
      </c>
    </row>
    <row r="79" spans="1:7" hidden="1" x14ac:dyDescent="0.25">
      <c r="A79" s="44" t="s">
        <v>57</v>
      </c>
      <c r="B79" s="11">
        <v>0.33</v>
      </c>
      <c r="C79" s="45">
        <v>67300</v>
      </c>
      <c r="D79" s="45">
        <v>79000</v>
      </c>
      <c r="E79" s="46">
        <v>89000</v>
      </c>
      <c r="F79" s="65">
        <v>189400</v>
      </c>
      <c r="G79" s="65" t="s">
        <v>87</v>
      </c>
    </row>
    <row r="80" spans="1:7" hidden="1" x14ac:dyDescent="0.25">
      <c r="A80" s="41" t="s">
        <v>58</v>
      </c>
      <c r="B80" s="10">
        <v>0.25</v>
      </c>
      <c r="C80" s="42">
        <v>114900</v>
      </c>
      <c r="D80" s="42">
        <v>134400</v>
      </c>
      <c r="E80" s="43">
        <v>151700</v>
      </c>
      <c r="F80" s="64">
        <v>249000</v>
      </c>
      <c r="G80" s="64" t="s">
        <v>89</v>
      </c>
    </row>
    <row r="81" spans="1:7" hidden="1" x14ac:dyDescent="0.25">
      <c r="A81" s="41" t="s">
        <v>59</v>
      </c>
      <c r="B81" s="10">
        <v>0.25</v>
      </c>
      <c r="C81" s="42">
        <v>126400</v>
      </c>
      <c r="D81" s="42">
        <v>148300</v>
      </c>
      <c r="E81" s="43">
        <v>167200</v>
      </c>
      <c r="F81" s="64">
        <v>274200</v>
      </c>
      <c r="G81" s="64" t="s">
        <v>88</v>
      </c>
    </row>
    <row r="82" spans="1:7" hidden="1" x14ac:dyDescent="0.25">
      <c r="A82" s="44" t="s">
        <v>60</v>
      </c>
      <c r="B82" s="11">
        <v>0.3</v>
      </c>
      <c r="C82" s="45">
        <v>80700</v>
      </c>
      <c r="D82" s="45">
        <v>94500</v>
      </c>
      <c r="E82" s="46">
        <v>106600</v>
      </c>
      <c r="F82" s="65">
        <v>203900</v>
      </c>
      <c r="G82" s="65" t="s">
        <v>88</v>
      </c>
    </row>
    <row r="83" spans="1:7" hidden="1" x14ac:dyDescent="0.25">
      <c r="A83" s="41" t="s">
        <v>61</v>
      </c>
      <c r="B83" s="10">
        <v>0.3</v>
      </c>
      <c r="C83" s="42">
        <v>83900</v>
      </c>
      <c r="D83" s="42">
        <v>98400</v>
      </c>
      <c r="E83" s="43">
        <v>110800</v>
      </c>
      <c r="F83" s="63">
        <v>212300</v>
      </c>
      <c r="G83" s="64" t="s">
        <v>87</v>
      </c>
    </row>
    <row r="84" spans="1:7" hidden="1" x14ac:dyDescent="0.25">
      <c r="A84" s="41" t="s">
        <v>62</v>
      </c>
      <c r="B84" s="10">
        <v>0.4</v>
      </c>
      <c r="C84" s="42">
        <v>37900</v>
      </c>
      <c r="D84" s="42">
        <v>44400</v>
      </c>
      <c r="E84" s="43">
        <v>50100</v>
      </c>
      <c r="F84" s="64">
        <v>143600</v>
      </c>
      <c r="G84" s="64" t="s">
        <v>88</v>
      </c>
    </row>
    <row r="85" spans="1:7" hidden="1" x14ac:dyDescent="0.25">
      <c r="A85" s="44" t="s">
        <v>63</v>
      </c>
      <c r="B85" s="11">
        <v>0.33</v>
      </c>
      <c r="C85" s="45">
        <v>70400</v>
      </c>
      <c r="D85" s="45">
        <v>82500</v>
      </c>
      <c r="E85" s="46">
        <v>93000</v>
      </c>
      <c r="F85" s="65">
        <v>197800</v>
      </c>
      <c r="G85" s="65" t="s">
        <v>89</v>
      </c>
    </row>
    <row r="86" spans="1:7" hidden="1" x14ac:dyDescent="0.25">
      <c r="A86" s="41" t="s">
        <v>64</v>
      </c>
      <c r="B86" s="10">
        <v>0.33</v>
      </c>
      <c r="C86" s="42">
        <v>70400</v>
      </c>
      <c r="D86" s="42">
        <v>82500</v>
      </c>
      <c r="E86" s="43">
        <v>92900</v>
      </c>
      <c r="F86" s="64">
        <v>197800</v>
      </c>
      <c r="G86" s="64" t="s">
        <v>87</v>
      </c>
    </row>
    <row r="87" spans="1:7" hidden="1" x14ac:dyDescent="0.25">
      <c r="A87" s="41" t="s">
        <v>65</v>
      </c>
      <c r="B87" s="10">
        <v>0.28000000000000003</v>
      </c>
      <c r="C87" s="42">
        <v>100800</v>
      </c>
      <c r="D87" s="42">
        <v>118200</v>
      </c>
      <c r="E87" s="43">
        <v>133300</v>
      </c>
      <c r="F87" s="64">
        <v>239000</v>
      </c>
      <c r="G87" s="64" t="s">
        <v>89</v>
      </c>
    </row>
    <row r="88" spans="1:7" hidden="1" x14ac:dyDescent="0.25">
      <c r="A88" s="44" t="s">
        <v>66</v>
      </c>
      <c r="B88" s="11">
        <v>0.33</v>
      </c>
      <c r="C88" s="45">
        <v>68300</v>
      </c>
      <c r="D88" s="45">
        <v>79700</v>
      </c>
      <c r="E88" s="46">
        <v>90000</v>
      </c>
      <c r="F88" s="65">
        <v>191700</v>
      </c>
      <c r="G88" s="65" t="s">
        <v>87</v>
      </c>
    </row>
    <row r="89" spans="1:7" hidden="1" x14ac:dyDescent="0.25">
      <c r="A89" s="41" t="s">
        <v>67</v>
      </c>
      <c r="B89" s="10">
        <v>0.33</v>
      </c>
      <c r="C89" s="42">
        <v>68300</v>
      </c>
      <c r="D89" s="42">
        <v>79700</v>
      </c>
      <c r="E89" s="43">
        <v>90000</v>
      </c>
      <c r="F89" s="64">
        <v>191700</v>
      </c>
      <c r="G89" s="64" t="s">
        <v>89</v>
      </c>
    </row>
    <row r="90" spans="1:7" hidden="1" x14ac:dyDescent="0.25">
      <c r="A90" s="41" t="s">
        <v>68</v>
      </c>
      <c r="B90" s="10">
        <v>0.4</v>
      </c>
      <c r="C90" s="42">
        <v>42300</v>
      </c>
      <c r="D90" s="42">
        <v>49500</v>
      </c>
      <c r="E90" s="43">
        <v>55800</v>
      </c>
      <c r="F90" s="64">
        <v>160400</v>
      </c>
      <c r="G90" s="64" t="s">
        <v>87</v>
      </c>
    </row>
    <row r="91" spans="1:7" hidden="1" x14ac:dyDescent="0.25">
      <c r="A91" s="44" t="s">
        <v>69</v>
      </c>
      <c r="B91" s="11">
        <v>0.4</v>
      </c>
      <c r="C91" s="45">
        <v>37900</v>
      </c>
      <c r="D91" s="45">
        <v>44400</v>
      </c>
      <c r="E91" s="46">
        <v>50100</v>
      </c>
      <c r="F91" s="65">
        <v>143600</v>
      </c>
      <c r="G91" s="65" t="s">
        <v>88</v>
      </c>
    </row>
    <row r="92" spans="1:7" hidden="1" x14ac:dyDescent="0.25">
      <c r="A92" s="41" t="s">
        <v>70</v>
      </c>
      <c r="B92" s="10">
        <v>0.3</v>
      </c>
      <c r="C92" s="42">
        <v>80700</v>
      </c>
      <c r="D92" s="42">
        <v>94500</v>
      </c>
      <c r="E92" s="43">
        <v>106600</v>
      </c>
      <c r="F92" s="63">
        <v>203900</v>
      </c>
      <c r="G92" s="64" t="s">
        <v>87</v>
      </c>
    </row>
    <row r="93" spans="1:7" hidden="1" x14ac:dyDescent="0.25">
      <c r="A93" s="41" t="s">
        <v>71</v>
      </c>
      <c r="B93" s="10">
        <v>0.33</v>
      </c>
      <c r="C93" s="42">
        <v>67300</v>
      </c>
      <c r="D93" s="42">
        <v>79000</v>
      </c>
      <c r="E93" s="43">
        <v>89000</v>
      </c>
      <c r="F93" s="64">
        <v>189400</v>
      </c>
      <c r="G93" s="64" t="s">
        <v>87</v>
      </c>
    </row>
    <row r="94" spans="1:7" hidden="1" x14ac:dyDescent="0.25">
      <c r="A94" s="44" t="s">
        <v>72</v>
      </c>
      <c r="B94" s="11">
        <v>0.35</v>
      </c>
      <c r="C94" s="45">
        <v>59100</v>
      </c>
      <c r="D94" s="45">
        <v>69500</v>
      </c>
      <c r="E94" s="46">
        <v>78200</v>
      </c>
      <c r="F94" s="65">
        <v>179500</v>
      </c>
      <c r="G94" s="65" t="s">
        <v>87</v>
      </c>
    </row>
    <row r="95" spans="1:7" hidden="1" x14ac:dyDescent="0.25">
      <c r="A95" s="41" t="s">
        <v>73</v>
      </c>
      <c r="B95" s="10">
        <v>0.3</v>
      </c>
      <c r="C95" s="42">
        <v>82400</v>
      </c>
      <c r="D95" s="42">
        <v>96500</v>
      </c>
      <c r="E95" s="43">
        <v>108800</v>
      </c>
      <c r="F95" s="64">
        <v>208500</v>
      </c>
      <c r="G95" s="64" t="s">
        <v>87</v>
      </c>
    </row>
    <row r="96" spans="1:7" hidden="1" x14ac:dyDescent="0.25">
      <c r="A96" s="41" t="s">
        <v>74</v>
      </c>
      <c r="B96" s="10">
        <v>0.33</v>
      </c>
      <c r="C96" s="42">
        <v>70400</v>
      </c>
      <c r="D96" s="42">
        <v>82500</v>
      </c>
      <c r="E96" s="43">
        <v>93000</v>
      </c>
      <c r="F96" s="64">
        <v>197800</v>
      </c>
      <c r="G96" s="64" t="s">
        <v>87</v>
      </c>
    </row>
    <row r="97" spans="1:7" hidden="1" x14ac:dyDescent="0.25">
      <c r="A97" s="44" t="s">
        <v>75</v>
      </c>
      <c r="B97" s="11">
        <v>0.33</v>
      </c>
      <c r="C97" s="45">
        <v>65800</v>
      </c>
      <c r="D97" s="45">
        <v>76900</v>
      </c>
      <c r="E97" s="46">
        <v>86800</v>
      </c>
      <c r="F97" s="65">
        <v>184800</v>
      </c>
      <c r="G97" s="65" t="s">
        <v>87</v>
      </c>
    </row>
    <row r="98" spans="1:7" hidden="1" x14ac:dyDescent="0.25">
      <c r="A98" s="41" t="s">
        <v>76</v>
      </c>
      <c r="B98" s="10">
        <v>0.4</v>
      </c>
      <c r="C98" s="42">
        <v>37900</v>
      </c>
      <c r="D98" s="42">
        <v>44400</v>
      </c>
      <c r="E98" s="43">
        <v>50100</v>
      </c>
      <c r="F98" s="64">
        <v>143600</v>
      </c>
      <c r="G98" s="64" t="s">
        <v>88</v>
      </c>
    </row>
    <row r="99" spans="1:7" hidden="1" x14ac:dyDescent="0.25">
      <c r="A99" s="41" t="s">
        <v>77</v>
      </c>
      <c r="B99" s="10">
        <v>0.4</v>
      </c>
      <c r="C99" s="42">
        <v>37900</v>
      </c>
      <c r="D99" s="42">
        <v>44400</v>
      </c>
      <c r="E99" s="43">
        <v>50100</v>
      </c>
      <c r="F99" s="64">
        <v>143600</v>
      </c>
      <c r="G99" s="64" t="s">
        <v>88</v>
      </c>
    </row>
    <row r="100" spans="1:7" hidden="1" x14ac:dyDescent="0.25">
      <c r="A100" s="44" t="s">
        <v>78</v>
      </c>
      <c r="B100" s="11">
        <v>0.4</v>
      </c>
      <c r="C100" s="45">
        <v>37900</v>
      </c>
      <c r="D100" s="45">
        <v>44400</v>
      </c>
      <c r="E100" s="46">
        <v>50100</v>
      </c>
      <c r="F100" s="65">
        <v>143600</v>
      </c>
      <c r="G100" s="65" t="s">
        <v>88</v>
      </c>
    </row>
    <row r="101" spans="1:7" hidden="1" x14ac:dyDescent="0.25">
      <c r="A101" s="41" t="s">
        <v>79</v>
      </c>
      <c r="B101" s="10">
        <v>0.35</v>
      </c>
      <c r="C101" s="42">
        <v>58300</v>
      </c>
      <c r="D101" s="42">
        <v>68300</v>
      </c>
      <c r="E101" s="43">
        <v>76900</v>
      </c>
      <c r="F101" s="63">
        <v>176800</v>
      </c>
      <c r="G101" s="64" t="s">
        <v>87</v>
      </c>
    </row>
    <row r="102" spans="1:7" hidden="1" x14ac:dyDescent="0.25">
      <c r="A102" s="41" t="s">
        <v>80</v>
      </c>
      <c r="B102" s="10">
        <v>0.33</v>
      </c>
      <c r="C102" s="42">
        <v>67700</v>
      </c>
      <c r="D102" s="42">
        <v>79400</v>
      </c>
      <c r="E102" s="43">
        <v>89500</v>
      </c>
      <c r="F102" s="64">
        <v>190200</v>
      </c>
      <c r="G102" s="64" t="s">
        <v>88</v>
      </c>
    </row>
    <row r="103" spans="1:7" hidden="1" x14ac:dyDescent="0.25">
      <c r="A103" s="44" t="s">
        <v>81</v>
      </c>
      <c r="B103" s="11">
        <v>0.35</v>
      </c>
      <c r="C103" s="45">
        <v>59600</v>
      </c>
      <c r="D103" s="45">
        <v>69700</v>
      </c>
      <c r="E103" s="46">
        <v>78700</v>
      </c>
      <c r="F103" s="65">
        <v>181000</v>
      </c>
      <c r="G103" s="65" t="s">
        <v>88</v>
      </c>
    </row>
    <row r="104" spans="1:7" ht="13" hidden="1" thickBot="1" x14ac:dyDescent="0.3">
      <c r="A104" s="47" t="s">
        <v>82</v>
      </c>
      <c r="B104" s="8">
        <v>0.4</v>
      </c>
      <c r="C104" s="48">
        <v>37900</v>
      </c>
      <c r="D104" s="48">
        <v>44400</v>
      </c>
      <c r="E104" s="49">
        <v>50100</v>
      </c>
      <c r="F104" s="66">
        <v>143600</v>
      </c>
      <c r="G104" s="66" t="s">
        <v>88</v>
      </c>
    </row>
    <row r="105" spans="1:7" hidden="1" x14ac:dyDescent="0.25">
      <c r="A105" s="14"/>
      <c r="B105" s="14"/>
      <c r="C105" s="14"/>
      <c r="D105" s="14"/>
      <c r="E105" s="14"/>
      <c r="F105" s="14"/>
      <c r="G105" s="14"/>
    </row>
    <row r="106" spans="1:7" hidden="1" x14ac:dyDescent="0.25">
      <c r="A106" s="67" t="s">
        <v>93</v>
      </c>
    </row>
    <row r="107" spans="1:7" hidden="1" x14ac:dyDescent="0.25">
      <c r="A107" s="67" t="s">
        <v>91</v>
      </c>
    </row>
    <row r="108" spans="1:7" hidden="1" x14ac:dyDescent="0.25">
      <c r="A108" s="67" t="s">
        <v>92</v>
      </c>
    </row>
    <row r="109" spans="1:7" hidden="1" x14ac:dyDescent="0.25"/>
    <row r="110" spans="1:7" hidden="1" x14ac:dyDescent="0.25">
      <c r="A110" s="13" t="s">
        <v>98</v>
      </c>
      <c r="B110" s="90">
        <v>600000</v>
      </c>
      <c r="C110" s="90"/>
    </row>
    <row r="111" spans="1:7" hidden="1" x14ac:dyDescent="0.25">
      <c r="F111" s="83"/>
    </row>
    <row r="112" spans="1:7" hidden="1" x14ac:dyDescent="0.25">
      <c r="A112" s="67" t="s">
        <v>93</v>
      </c>
      <c r="C112" s="77">
        <v>0</v>
      </c>
      <c r="D112" s="13" t="s">
        <v>116</v>
      </c>
      <c r="F112" s="83"/>
    </row>
    <row r="113" spans="1:6" hidden="1" x14ac:dyDescent="0.25">
      <c r="A113" s="13" t="s">
        <v>99</v>
      </c>
      <c r="C113" s="78">
        <v>3</v>
      </c>
      <c r="D113" s="13" t="s">
        <v>117</v>
      </c>
      <c r="F113" s="83"/>
    </row>
    <row r="114" spans="1:6" hidden="1" x14ac:dyDescent="0.25">
      <c r="A114" s="13" t="s">
        <v>100</v>
      </c>
      <c r="C114" s="78">
        <v>5</v>
      </c>
      <c r="D114" s="13" t="s">
        <v>118</v>
      </c>
    </row>
    <row r="115" spans="1:6" hidden="1" x14ac:dyDescent="0.25"/>
    <row r="116" spans="1:6" ht="13" hidden="1" x14ac:dyDescent="0.3">
      <c r="C116" s="88" t="s">
        <v>127</v>
      </c>
      <c r="D116" s="88"/>
      <c r="E116" s="88"/>
    </row>
    <row r="117" spans="1:6" hidden="1" x14ac:dyDescent="0.25">
      <c r="A117" s="67" t="s">
        <v>93</v>
      </c>
      <c r="C117" s="79">
        <v>0.1</v>
      </c>
      <c r="D117" s="13" t="s">
        <v>112</v>
      </c>
    </row>
    <row r="118" spans="1:6" hidden="1" x14ac:dyDescent="0.25">
      <c r="A118" s="13" t="s">
        <v>101</v>
      </c>
      <c r="C118" s="80">
        <v>0.15</v>
      </c>
      <c r="D118" s="13" t="s">
        <v>113</v>
      </c>
    </row>
    <row r="119" spans="1:6" hidden="1" x14ac:dyDescent="0.25">
      <c r="A119" s="68" t="s">
        <v>102</v>
      </c>
      <c r="C119" s="80">
        <v>0.3</v>
      </c>
      <c r="D119" s="13" t="s">
        <v>114</v>
      </c>
    </row>
    <row r="120" spans="1:6" hidden="1" x14ac:dyDescent="0.25">
      <c r="A120" s="13" t="s">
        <v>103</v>
      </c>
      <c r="C120" s="80">
        <v>0</v>
      </c>
      <c r="D120" s="13" t="s">
        <v>131</v>
      </c>
    </row>
    <row r="121" spans="1:6" hidden="1" x14ac:dyDescent="0.25">
      <c r="C121" s="80">
        <v>0</v>
      </c>
      <c r="D121" s="13" t="s">
        <v>132</v>
      </c>
    </row>
    <row r="122" spans="1:6" hidden="1" x14ac:dyDescent="0.25">
      <c r="A122" s="58" t="s">
        <v>97</v>
      </c>
      <c r="C122" s="80" t="s">
        <v>126</v>
      </c>
      <c r="D122" s="13" t="s">
        <v>115</v>
      </c>
    </row>
    <row r="123" spans="1:6" hidden="1" x14ac:dyDescent="0.25">
      <c r="C123" s="84" t="str">
        <f>IF(AND(G9=A113,OR(G10=A119,G10=A120),G11=A108),10%,IF(AND(G9=A113,G10=A118,G11=A108),15%,IF(AND(G9=A113,G11=A107),30%,IF(AND(G9=A114,G11=A108),0%,IF(AND(G9=A114,G11=A107),30%,"TBD")))))</f>
        <v>TBD</v>
      </c>
      <c r="D123" s="13" t="s">
        <v>119</v>
      </c>
    </row>
    <row r="124" spans="1:6" hidden="1" x14ac:dyDescent="0.25"/>
    <row r="125" spans="1:6" hidden="1" x14ac:dyDescent="0.25"/>
    <row r="126" spans="1:6" ht="13" hidden="1" x14ac:dyDescent="0.3">
      <c r="A126" s="85" t="s">
        <v>130</v>
      </c>
    </row>
    <row r="127" spans="1:6" hidden="1" x14ac:dyDescent="0.25">
      <c r="A127" s="13" t="s">
        <v>88</v>
      </c>
      <c r="C127" s="86">
        <f>AVERAGEIF($G$38:$G$104,$A127,C$38:C$104)</f>
        <v>48338.709677419356</v>
      </c>
      <c r="D127" s="86">
        <f t="shared" ref="D127:F129" si="0">AVERAGEIF($G$38:$G$104,$A127,D$38:D$104)</f>
        <v>56645.161290322583</v>
      </c>
      <c r="E127" s="86">
        <f t="shared" si="0"/>
        <v>63890.322580645159</v>
      </c>
      <c r="F127" s="86">
        <f t="shared" si="0"/>
        <v>160987.09677419355</v>
      </c>
    </row>
    <row r="128" spans="1:6" hidden="1" x14ac:dyDescent="0.25">
      <c r="A128" s="13" t="s">
        <v>87</v>
      </c>
      <c r="C128" s="86">
        <f t="shared" ref="C128:C129" si="1">AVERAGEIF($G$38:$G$104,$A128,C$38:C$104)</f>
        <v>65486.206896551725</v>
      </c>
      <c r="D128" s="86">
        <f t="shared" si="0"/>
        <v>76710.344827586203</v>
      </c>
      <c r="E128" s="86">
        <f t="shared" si="0"/>
        <v>86486.206896551725</v>
      </c>
      <c r="F128" s="86">
        <f t="shared" si="0"/>
        <v>187375.86206896551</v>
      </c>
    </row>
    <row r="129" spans="1:6" hidden="1" x14ac:dyDescent="0.25">
      <c r="A129" s="13" t="s">
        <v>89</v>
      </c>
      <c r="C129" s="86">
        <f t="shared" si="1"/>
        <v>87885.71428571429</v>
      </c>
      <c r="D129" s="86">
        <f t="shared" si="0"/>
        <v>102871.42857142857</v>
      </c>
      <c r="E129" s="86">
        <f t="shared" si="0"/>
        <v>116057.14285714286</v>
      </c>
      <c r="F129" s="86">
        <f t="shared" si="0"/>
        <v>216514.28571428571</v>
      </c>
    </row>
    <row r="130" spans="1:6" ht="13" hidden="1" x14ac:dyDescent="0.3">
      <c r="A130" s="85" t="str">
        <f>"# of Average Units needed to reach ELI limit of "&amp;TEXT(B110,"$#,##0")</f>
        <v># of Average Units needed to reach ELI limit of $600,000</v>
      </c>
    </row>
    <row r="131" spans="1:6" hidden="1" x14ac:dyDescent="0.25">
      <c r="A131" s="13" t="s">
        <v>88</v>
      </c>
      <c r="C131" s="87">
        <f>$B$110/C127</f>
        <v>12.412412412412412</v>
      </c>
      <c r="D131" s="87">
        <f t="shared" ref="D131:E131" si="2">$B$110/D127</f>
        <v>10.592255125284737</v>
      </c>
      <c r="E131" s="87">
        <f t="shared" si="2"/>
        <v>9.3910936079975773</v>
      </c>
      <c r="F131" s="87"/>
    </row>
    <row r="132" spans="1:6" hidden="1" x14ac:dyDescent="0.25">
      <c r="A132" s="13" t="s">
        <v>87</v>
      </c>
      <c r="C132" s="87">
        <f t="shared" ref="C132:E132" si="3">$B$110/C128</f>
        <v>9.1622347427728918</v>
      </c>
      <c r="D132" s="87">
        <f t="shared" si="3"/>
        <v>7.8216308549851661</v>
      </c>
      <c r="E132" s="87">
        <f t="shared" si="3"/>
        <v>6.9375224273354332</v>
      </c>
      <c r="F132" s="87"/>
    </row>
    <row r="133" spans="1:6" hidden="1" x14ac:dyDescent="0.25">
      <c r="A133" s="13" t="s">
        <v>89</v>
      </c>
      <c r="C133" s="87">
        <f t="shared" ref="C133:E133" si="4">$B$110/C129</f>
        <v>6.82704811443433</v>
      </c>
      <c r="D133" s="87">
        <f t="shared" si="4"/>
        <v>5.8325232606582427</v>
      </c>
      <c r="E133" s="87">
        <f t="shared" si="4"/>
        <v>5.1698670605613</v>
      </c>
      <c r="F133" s="87"/>
    </row>
  </sheetData>
  <sheetProtection algorithmName="SHA-512" hashValue="x0WFrF2EKp2OG+T8BFXALWAheXnjs3WzcjRv7P8q3zx1zx+waVj+6Surj/uGZrCNWmXXxJKuRN++ItmJa8b9Qw==" saltValue="lbZejKzvb6nCkEQdbVD11w==" spinCount="100000" sheet="1" selectLockedCells="1"/>
  <mergeCells count="18">
    <mergeCell ref="A5:G5"/>
    <mergeCell ref="H36:I46"/>
    <mergeCell ref="A1:B1"/>
    <mergeCell ref="C1:G1"/>
    <mergeCell ref="A2:G2"/>
    <mergeCell ref="A3:G3"/>
    <mergeCell ref="A4:G4"/>
    <mergeCell ref="G29:G32"/>
    <mergeCell ref="B29:B32"/>
    <mergeCell ref="D29:D31"/>
    <mergeCell ref="E29:E31"/>
    <mergeCell ref="F29:F32"/>
    <mergeCell ref="C116:E116"/>
    <mergeCell ref="K7:L7"/>
    <mergeCell ref="R7:S7"/>
    <mergeCell ref="N7:O7"/>
    <mergeCell ref="U7:V7"/>
    <mergeCell ref="B110:C110"/>
  </mergeCells>
  <conditionalFormatting sqref="G28">
    <cfRule type="expression" dxfId="11" priority="18">
      <formula>SUM(G21:G27)&gt;G28</formula>
    </cfRule>
  </conditionalFormatting>
  <conditionalFormatting sqref="F29:F32">
    <cfRule type="expression" dxfId="10" priority="17">
      <formula>SUM(G21:G27)&gt;G28</formula>
    </cfRule>
  </conditionalFormatting>
  <conditionalFormatting sqref="F38:G103">
    <cfRule type="expression" dxfId="9" priority="11">
      <formula>$G38="Small"</formula>
    </cfRule>
  </conditionalFormatting>
  <conditionalFormatting sqref="H13:H14">
    <cfRule type="expression" dxfId="8" priority="23">
      <formula>AND($G$14&lt;#REF!,#REF!&lt;&gt;"TBD")</formula>
    </cfRule>
  </conditionalFormatting>
  <conditionalFormatting sqref="G7">
    <cfRule type="cellIs" dxfId="7" priority="9" operator="equal">
      <formula>$A$37</formula>
    </cfRule>
  </conditionalFormatting>
  <conditionalFormatting sqref="G9">
    <cfRule type="cellIs" dxfId="6" priority="8" operator="equal">
      <formula>$A$112</formula>
    </cfRule>
  </conditionalFormatting>
  <conditionalFormatting sqref="G10">
    <cfRule type="cellIs" dxfId="5" priority="7" operator="equal">
      <formula>$A$117</formula>
    </cfRule>
  </conditionalFormatting>
  <conditionalFormatting sqref="G11 G15 G16">
    <cfRule type="cellIs" dxfId="4" priority="6" operator="equal">
      <formula>$A$106</formula>
    </cfRule>
  </conditionalFormatting>
  <conditionalFormatting sqref="A122">
    <cfRule type="cellIs" dxfId="3" priority="3" operator="equal">
      <formula>$A$122</formula>
    </cfRule>
    <cfRule type="expression" dxfId="2" priority="4">
      <formula>AND($G$14&lt;XFA231,XFA231&lt;&gt;"TBD")</formula>
    </cfRule>
  </conditionalFormatting>
  <conditionalFormatting sqref="G14">
    <cfRule type="cellIs" dxfId="1" priority="1" operator="equal">
      <formula>$A$122</formula>
    </cfRule>
    <cfRule type="expression" dxfId="0" priority="2">
      <formula>AND($G$14&lt;C123,C123&lt;&gt;"TBD")</formula>
    </cfRule>
  </conditionalFormatting>
  <dataValidations xWindow="531" yWindow="472" count="4">
    <dataValidation type="list" allowBlank="1" showInputMessage="1" showErrorMessage="1" sqref="G7" xr:uid="{00000000-0002-0000-0000-000000000000}">
      <formula1>$A$37:$A$104</formula1>
    </dataValidation>
    <dataValidation type="list" allowBlank="1" showInputMessage="1" showErrorMessage="1" sqref="G11 G15:G16" xr:uid="{22A46BD2-A9B7-43B9-83F5-62EFF7A0AFC7}">
      <formula1>$A$106:$A$108</formula1>
    </dataValidation>
    <dataValidation type="list" allowBlank="1" showInputMessage="1" showErrorMessage="1" sqref="G9" xr:uid="{6BED0E39-88C6-4BC4-B192-CC2919FC9C1D}">
      <formula1>$A$112:$A$114</formula1>
    </dataValidation>
    <dataValidation type="list" allowBlank="1" showInputMessage="1" showErrorMessage="1" sqref="G10" xr:uid="{D348BC0F-E15E-43B9-A33E-F8E0F31D7DDB}">
      <formula1>$A$117:$A$120</formula1>
    </dataValidation>
  </dataValidations>
  <printOptions horizontalCentered="1"/>
  <pageMargins left="0.25" right="0.25" top="0.75" bottom="0.75" header="0.3" footer="0.3"/>
  <pageSetup scale="84" orientation="portrait" r:id="rId1"/>
  <rowBreaks count="1" manualBreakCount="1">
    <brk id="32" max="16383" man="1"/>
  </rowBreaks>
  <colBreaks count="1" manualBreakCount="1">
    <brk id="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E0585C-696A-4E1C-837F-4071351B2343}">
  <ds:schemaRefs>
    <ds:schemaRef ds:uri="http://schemas.microsoft.com/sharepoint/v3/contenttype/forms"/>
  </ds:schemaRefs>
</ds:datastoreItem>
</file>

<file path=customXml/itemProps2.xml><?xml version="1.0" encoding="utf-8"?>
<ds:datastoreItem xmlns:ds="http://schemas.openxmlformats.org/officeDocument/2006/customXml" ds:itemID="{C6CB79A7-AAA4-4F15-BC3F-566DCF15C10A}">
  <ds:schemaRefs>
    <ds:schemaRef ds:uri="http://schemas.microsoft.com/office/2006/metadata/properties"/>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68dfe011-c19e-4dbd-a5cd-00e4d25ab099"/>
    <ds:schemaRef ds:uri="a84349eb-4374-47bc-83f0-36d288636098"/>
    <ds:schemaRef ds:uri="http://www.w3.org/XML/1998/namespace"/>
  </ds:schemaRefs>
</ds:datastoreItem>
</file>

<file path=customXml/itemProps3.xml><?xml version="1.0" encoding="utf-8"?>
<ds:datastoreItem xmlns:ds="http://schemas.openxmlformats.org/officeDocument/2006/customXml" ds:itemID="{C71DD10A-A608-40E8-8222-F48CA4238E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ELI_PU</vt:lpstr>
      <vt:lpstr>Sheet1!Print_Area</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2019-11-04T20:05:14Z</cp:lastPrinted>
  <dcterms:created xsi:type="dcterms:W3CDTF">2015-07-20T21:55:29Z</dcterms:created>
  <dcterms:modified xsi:type="dcterms:W3CDTF">2020-10-21T15:38:30Z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