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floridahousing.sharepoint.com/sites/MF/allocations/Combined Cycle/2021 Rules and RFAs/2021-102 SAIL for PSN/"/>
    </mc:Choice>
  </mc:AlternateContent>
  <xr:revisionPtr revIDLastSave="0" documentId="8_{4D54C302-E4A1-4C0D-BA75-5038CE9B799A}" xr6:coauthVersionLast="45" xr6:coauthVersionMax="45"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120" yWindow="-120" windowWidth="29040" windowHeight="15840" xr2:uid="{00000000-000D-0000-FFFF-FFFF00000000}"/>
  </bookViews>
  <sheets>
    <sheet name="Sheet1" sheetId="1" r:id="rId1"/>
  </sheets>
  <definedNames>
    <definedName name="ELI_PU">Sheet1!$A$35:$H$102</definedName>
    <definedName name="_xlnm.Print_Area" localSheetId="0">Sheet1!$A$1:$G$30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F24" i="1" l="1"/>
  <c r="F23" i="1"/>
  <c r="F22" i="1"/>
  <c r="F21" i="1"/>
  <c r="F20" i="1"/>
  <c r="G15" i="1" l="1"/>
  <c r="A15" i="1" l="1"/>
  <c r="H15" i="1"/>
  <c r="A123" i="1"/>
  <c r="G8" i="1" l="1"/>
  <c r="C24" i="1" l="1"/>
  <c r="C23" i="1"/>
  <c r="C22" i="1"/>
  <c r="C21" i="1"/>
  <c r="C20" i="1"/>
  <c r="E20" i="1" s="1"/>
  <c r="B26" i="1"/>
  <c r="I18" i="1" s="1"/>
  <c r="I20" i="1" l="1"/>
  <c r="I23" i="1"/>
  <c r="H24" i="1"/>
  <c r="H23" i="1"/>
  <c r="H22" i="1"/>
  <c r="H20" i="1"/>
  <c r="H21" i="1"/>
  <c r="E21" i="1"/>
  <c r="E22" i="1" s="1"/>
  <c r="D20" i="1"/>
  <c r="D21" i="1" s="1"/>
  <c r="D22" i="1" s="1"/>
  <c r="H26" i="1" l="1"/>
  <c r="E23" i="1"/>
  <c r="E24" i="1" s="1"/>
  <c r="G20" i="1"/>
  <c r="D23" i="1"/>
  <c r="D24" i="1" s="1"/>
  <c r="G22" i="1" l="1"/>
  <c r="G21" i="1"/>
  <c r="G23" i="1" l="1"/>
  <c r="E26" i="1" l="1"/>
  <c r="D26" i="1"/>
  <c r="I34" i="1" l="1"/>
  <c r="F26" i="1"/>
  <c r="D27" i="1"/>
  <c r="G24" i="1"/>
  <c r="E27" i="1"/>
  <c r="G26" i="1" l="1"/>
  <c r="F27" i="1" s="1"/>
</calcChain>
</file>

<file path=xl/sharedStrings.xml><?xml version="1.0" encoding="utf-8"?>
<sst xmlns="http://schemas.openxmlformats.org/spreadsheetml/2006/main" count="201" uniqueCount="128">
  <si>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</si>
  <si>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</si>
  <si>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</si>
  <si>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</si>
  <si>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</si>
  <si>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</si>
  <si>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</si>
  <si>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</si>
  <si>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</si>
  <si>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</si>
  <si>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</si>
  <si>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</si>
  <si>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</si>
  <si>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</si>
  <si>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</si>
  <si>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</si>
  <si>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</si>
  <si>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</si>
  <si>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</si>
  <si>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</si>
  <si>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</si>
  <si>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</si>
  <si>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</si>
  <si>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</si>
  <si>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</si>
  <si>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</si>
  <si>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</si>
  <si>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</si>
  <si>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</si>
  <si>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</si>
  <si>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</si>
  <si>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</si>
  <si>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</si>
  <si>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</si>
  <si>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</si>
  <si>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</si>
  <si>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</si>
  <si>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</si>
  <si>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</si>
  <si>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</si>
  <si>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</si>
  <si>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</si>
  <si>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</si>
  <si>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</si>
  <si>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</si>
  <si>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</si>
  <si>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</si>
  <si>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</si>
  <si>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</si>
  <si>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</si>
  <si>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</si>
  <si>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</si>
  <si>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</si>
  <si>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</si>
  <si>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</si>
  <si>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</si>
  <si>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</si>
  <si>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</si>
  <si>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</si>
  <si>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</si>
  <si>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</si>
  <si>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</si>
  <si>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</si>
  <si>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</si>
  <si>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</si>
  <si>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</si>
  <si>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</si>
  <si>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</si>
  <si>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</si>
  <si>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</si>
  <si>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</si>
  <si>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</si>
  <si>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</si>
  <si>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</si>
  <si>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</si>
  <si>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</si>
  <si>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</si>
  <si>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</si>
  <si>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</si>
  <si>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</si>
  <si>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</si>
  <si>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</si>
  <si>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</si>
  <si>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</si>
  <si>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</si>
  <si>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</si>
  <si>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</si>
  <si>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</si>
  <si>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&lt;Select a County&gt;</t>
  </si>
  <si>
    <t>Medium</t>
  </si>
  <si>
    <t>Small</t>
  </si>
  <si>
    <t>Large</t>
  </si>
  <si>
    <t>County Size</t>
  </si>
  <si>
    <t>Yes</t>
  </si>
  <si>
    <t>No</t>
  </si>
  <si>
    <t>&lt;Select&gt;</t>
  </si>
  <si>
    <t>&lt;Enter %&gt;</t>
  </si>
  <si>
    <t>ELI Loan cap</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</si>
  <si>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</si>
  <si>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</si>
  <si>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</si>
  <si>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</si>
  <si>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</si>
  <si>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</si>
  <si>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</si>
  <si>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RFA ELI AMI</t>
  </si>
  <si>
    <t>Garden (Not ESSC)</t>
  </si>
  <si>
    <t>Garden (ESSC)</t>
  </si>
  <si>
    <t>Mid-Rise (not ESSC)</t>
  </si>
  <si>
    <t>Mid-Rise (ESSC)</t>
  </si>
  <si>
    <t>High-Rise</t>
  </si>
  <si>
    <r>
      <rPr>
        <b/>
        <sz val="10"/>
        <color theme="1"/>
        <rFont val="Arial"/>
        <family val="2"/>
      </rPr>
      <t xml:space="preserve">3. </t>
    </r>
    <r>
      <rPr>
        <sz val="10"/>
        <color theme="1"/>
        <rFont val="Arial"/>
        <family val="2"/>
      </rPr>
      <t>Indicate the Construction Type &amp; ESSC status…...............................................................................................................................</t>
    </r>
  </si>
  <si>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</si>
  <si>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</si>
  <si>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</si>
  <si>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</si>
  <si>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</si>
  <si>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r>
      <rPr>
        <b/>
        <sz val="10"/>
        <color theme="1"/>
        <rFont val="Arial"/>
        <family val="2"/>
      </rPr>
      <t>7.</t>
    </r>
    <r>
      <rPr>
        <sz val="10"/>
        <color theme="1"/>
        <rFont val="Arial"/>
        <family val="2"/>
      </rPr>
      <t xml:space="preserve"> Is the proposed Development 100% New Construction?....................................................................................................</t>
    </r>
  </si>
  <si>
    <t>A Tool to Assist Applicants in Determining their Pro-rata Distribution of ELI Units &amp; Maximum ELI Loan Amount</t>
  </si>
  <si>
    <t>Maximum ELI Loan Determination Worksheet</t>
  </si>
  <si>
    <r>
      <t>(</t>
    </r>
    <r>
      <rPr>
        <i/>
        <sz val="10"/>
        <color theme="2" tint="-0.499984740745262"/>
        <rFont val="Calibri"/>
        <family val="2"/>
      </rPr>
      <t>§</t>
    </r>
    <r>
      <rPr>
        <i/>
        <sz val="9"/>
        <color theme="2" tint="-0.499984740745262"/>
        <rFont val="Arial"/>
        <family val="2"/>
      </rPr>
      <t xml:space="preserve"> Four, A, 6. d. (2))</t>
    </r>
  </si>
  <si>
    <t>ELI Loan Amounts Per Bedroom Count for each County.</t>
  </si>
  <si>
    <t>Intentionally left blank</t>
  </si>
  <si>
    <r>
      <rPr>
        <b/>
        <sz val="10"/>
        <color theme="1"/>
        <rFont val="Arial"/>
        <family val="2"/>
      </rPr>
      <t xml:space="preserve">2. </t>
    </r>
    <r>
      <rPr>
        <sz val="10"/>
        <color theme="1"/>
        <rFont val="Arial"/>
        <family val="2"/>
      </rPr>
      <t>What is the Applicant's ELI Set-Aside Commitment?........................................................................................................</t>
    </r>
  </si>
  <si>
    <r>
      <rPr>
        <b/>
        <sz val="10"/>
        <color theme="1"/>
        <rFont val="Arial"/>
        <family val="2"/>
      </rPr>
      <t>3.</t>
    </r>
    <r>
      <rPr>
        <sz val="10"/>
        <color theme="1"/>
        <rFont val="Arial"/>
        <family val="2"/>
      </rPr>
      <t xml:space="preserve"> What is the maximum ELI Set-Aside to be funded with SAIL-ELI (% of Total Units)?.................................................</t>
    </r>
  </si>
  <si>
    <r>
      <t xml:space="preserve">This RFA provides ELI loan funding for up to 20% of the total units, rounded up to the next whole number.  
Please identify the county in which the propsed Development will be located at question 1.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2)</t>
    </r>
    <r>
      <rPr>
        <sz val="10"/>
        <color theme="1"/>
        <rFont val="Arial"/>
        <family val="2"/>
      </rPr>
      <t xml:space="preserve"> while Column E will provide the correct number of ELI Unit distribution for those ELI Units being funded with the ELI loan funding (based on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</si>
  <si>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RFA 2021-102</t>
  </si>
  <si>
    <t>The table below is intended to assist an Applicant in RFA 2021-102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</si>
</sst>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5">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style="medium">
        <color theme="1"/>
      </left>
      <right style="medium">
        <color theme="1"/>
      </right>
      <top style="hair">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style="medium">
        <color theme="1"/>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3" fillId="2" borderId="7" xfId="0" applyFont="1" applyFill="1" applyBorder="1" applyAlignment="1">
      <alignment horizontal="right" vertical="center" indent="1"/>
    </xf>
    <xf numFmtId="0" fontId="3"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30" xfId="1" applyFont="1" applyFill="1" applyBorder="1" applyAlignment="1">
      <alignment horizontal="center" vertical="center"/>
    </xf>
    <xf numFmtId="9" fontId="0" fillId="2" borderId="33"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6" xfId="0" applyFont="1" applyFill="1" applyBorder="1" applyAlignment="1">
      <alignment horizontal="left" inden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8" fillId="2" borderId="24" xfId="0" applyFont="1" applyFill="1" applyBorder="1" applyAlignment="1">
      <alignment horizontal="left" indent="1"/>
    </xf>
    <xf numFmtId="0" fontId="3" fillId="3" borderId="1" xfId="0" applyFont="1" applyFill="1" applyBorder="1" applyAlignment="1" applyProtection="1">
      <alignment horizontal="center" vertical="center"/>
      <protection locked="0"/>
    </xf>
    <xf numFmtId="9" fontId="3" fillId="3" borderId="36" xfId="0" applyNumberFormat="1" applyFont="1" applyFill="1" applyBorder="1" applyAlignment="1" applyProtection="1">
      <alignment horizontal="center" vertical="center"/>
      <protection locked="0"/>
    </xf>
    <xf numFmtId="38" fontId="3" fillId="3" borderId="10" xfId="0" applyNumberFormat="1" applyFont="1" applyFill="1" applyBorder="1" applyAlignment="1" applyProtection="1">
      <alignment horizontal="right" vertical="center" indent="1"/>
      <protection locked="0"/>
    </xf>
    <xf numFmtId="38" fontId="3" fillId="3" borderId="13" xfId="0" applyNumberFormat="1" applyFont="1" applyFill="1" applyBorder="1" applyAlignment="1" applyProtection="1">
      <alignment horizontal="right" vertical="center" indent="1"/>
      <protection locked="0"/>
    </xf>
    <xf numFmtId="0" fontId="2" fillId="2" borderId="37" xfId="0" applyFont="1" applyFill="1" applyBorder="1" applyAlignment="1">
      <alignment horizontal="center" wrapText="1"/>
    </xf>
    <xf numFmtId="0" fontId="2" fillId="2" borderId="38" xfId="0" applyFont="1" applyFill="1" applyBorder="1" applyAlignment="1">
      <alignment horizontal="center" wrapTex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35" xfId="0" applyNumberFormat="1" applyFont="1" applyFill="1" applyBorder="1" applyAlignment="1">
      <alignment horizontal="center" vertical="center"/>
    </xf>
    <xf numFmtId="6" fontId="0" fillId="2" borderId="43"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9" fillId="8" borderId="2" xfId="0" applyNumberFormat="1" applyFont="1" applyFill="1" applyBorder="1" applyAlignment="1" applyProtection="1">
      <alignment horizontal="center" vertical="center"/>
    </xf>
    <xf numFmtId="0" fontId="0" fillId="2" borderId="0" xfId="0" applyFont="1" applyFill="1" applyBorder="1" applyAlignment="1">
      <alignment horizontal="left" vertical="center"/>
    </xf>
    <xf numFmtId="0" fontId="0" fillId="0" borderId="44" xfId="0" applyFont="1" applyBorder="1"/>
    <xf numFmtId="0" fontId="0" fillId="0" borderId="38" xfId="0" applyFont="1" applyBorder="1"/>
    <xf numFmtId="0" fontId="2" fillId="0" borderId="45" xfId="0" applyFont="1" applyBorder="1" applyAlignment="1">
      <alignment horizontal="center"/>
    </xf>
    <xf numFmtId="10" fontId="0" fillId="0" borderId="39" xfId="1" applyNumberFormat="1" applyFont="1" applyBorder="1" applyAlignment="1">
      <alignment horizontal="right" vertical="center" indent="1"/>
    </xf>
    <xf numFmtId="10" fontId="0" fillId="0" borderId="46" xfId="1" applyNumberFormat="1" applyFont="1" applyBorder="1" applyAlignment="1">
      <alignment horizontal="right" vertical="center" indent="1"/>
    </xf>
    <xf numFmtId="0" fontId="12" fillId="0" borderId="0" xfId="0" applyFont="1" applyAlignment="1">
      <alignment horizontal="left" vertical="center"/>
    </xf>
    <xf numFmtId="0" fontId="12" fillId="0" borderId="0" xfId="0" applyFont="1" applyAlignment="1">
      <alignment horizontal="left"/>
    </xf>
    <xf numFmtId="0" fontId="12" fillId="0" borderId="0" xfId="0" quotePrefix="1" applyFont="1" applyAlignment="1">
      <alignment horizontal="left" vertical="center"/>
    </xf>
    <xf numFmtId="0" fontId="0" fillId="2" borderId="0" xfId="0" applyFont="1" applyFill="1" applyBorder="1"/>
    <xf numFmtId="0" fontId="3" fillId="3" borderId="0" xfId="0" applyFont="1" applyFill="1" applyBorder="1" applyAlignment="1" applyProtection="1">
      <alignment horizontal="center" vertical="center"/>
      <protection locked="0"/>
    </xf>
    <xf numFmtId="9" fontId="3" fillId="3" borderId="1" xfId="0" applyNumberFormat="1" applyFont="1" applyFill="1" applyBorder="1" applyAlignment="1" applyProtection="1">
      <alignment horizontal="center" vertical="center"/>
      <protection locked="0"/>
    </xf>
    <xf numFmtId="0" fontId="0" fillId="2" borderId="29" xfId="0" applyFill="1" applyBorder="1" applyAlignment="1">
      <alignment horizontal="left" vertical="center" indent="1"/>
    </xf>
    <xf numFmtId="6" fontId="0" fillId="2" borderId="30" xfId="0" applyNumberFormat="1" applyFill="1" applyBorder="1" applyAlignment="1">
      <alignment horizontal="center" vertical="center"/>
    </xf>
    <xf numFmtId="6" fontId="0" fillId="2" borderId="31" xfId="0" applyNumberFormat="1" applyFill="1" applyBorder="1" applyAlignment="1">
      <alignment horizontal="center" vertical="center"/>
    </xf>
    <xf numFmtId="6" fontId="0" fillId="2" borderId="39" xfId="0" applyNumberFormat="1" applyFill="1" applyBorder="1" applyAlignment="1">
      <alignment horizontal="center" vertical="center"/>
    </xf>
    <xf numFmtId="0" fontId="0" fillId="2" borderId="32" xfId="0" applyFill="1" applyBorder="1" applyAlignment="1">
      <alignment horizontal="left" vertical="center" indent="1"/>
    </xf>
    <xf numFmtId="6" fontId="0" fillId="2" borderId="33" xfId="0" applyNumberFormat="1" applyFill="1" applyBorder="1" applyAlignment="1">
      <alignment horizontal="center" vertical="center"/>
    </xf>
    <xf numFmtId="6" fontId="0" fillId="2" borderId="34" xfId="0" applyNumberFormat="1" applyFill="1" applyBorder="1" applyAlignment="1">
      <alignment horizontal="center" vertical="center"/>
    </xf>
    <xf numFmtId="6" fontId="0" fillId="2" borderId="40" xfId="0" applyNumberFormat="1" applyFill="1" applyBorder="1" applyAlignment="1">
      <alignment horizontal="center" vertical="center"/>
    </xf>
    <xf numFmtId="0" fontId="0" fillId="2" borderId="47" xfId="0" applyFill="1" applyBorder="1" applyAlignment="1">
      <alignment horizontal="left" vertical="center" indent="1"/>
    </xf>
    <xf numFmtId="9" fontId="0" fillId="2" borderId="48" xfId="1" applyFont="1" applyFill="1" applyBorder="1" applyAlignment="1">
      <alignment horizontal="center" vertical="center"/>
    </xf>
    <xf numFmtId="6" fontId="0" fillId="2" borderId="48" xfId="0" applyNumberFormat="1" applyFill="1" applyBorder="1" applyAlignment="1">
      <alignment horizontal="center" vertical="center"/>
    </xf>
    <xf numFmtId="6" fontId="0" fillId="2" borderId="49" xfId="0" applyNumberFormat="1" applyFill="1" applyBorder="1" applyAlignment="1">
      <alignment horizontal="center" vertical="center"/>
    </xf>
    <xf numFmtId="6" fontId="0" fillId="2" borderId="50" xfId="0" applyNumberFormat="1" applyFill="1" applyBorder="1" applyAlignment="1">
      <alignment horizontal="center" vertical="center"/>
    </xf>
    <xf numFmtId="0" fontId="0" fillId="2" borderId="51" xfId="0" applyFill="1" applyBorder="1" applyAlignment="1">
      <alignment horizontal="left" vertical="center" indent="1"/>
    </xf>
    <xf numFmtId="9" fontId="0" fillId="2" borderId="52" xfId="1" applyFont="1" applyFill="1" applyBorder="1" applyAlignment="1">
      <alignment horizontal="center" vertical="center"/>
    </xf>
    <xf numFmtId="6" fontId="0" fillId="2" borderId="52" xfId="0" applyNumberFormat="1" applyFill="1" applyBorder="1" applyAlignment="1">
      <alignment horizontal="center" vertical="center"/>
    </xf>
    <xf numFmtId="6" fontId="0" fillId="2" borderId="53" xfId="0" applyNumberFormat="1" applyFill="1" applyBorder="1" applyAlignment="1">
      <alignment horizontal="center" vertical="center"/>
    </xf>
    <xf numFmtId="6" fontId="0" fillId="2" borderId="54" xfId="0" applyNumberFormat="1" applyFill="1" applyBorder="1" applyAlignment="1">
      <alignment horizontal="center" vertical="center"/>
    </xf>
    <xf numFmtId="0" fontId="0" fillId="0" borderId="0" xfId="0" applyFont="1" applyFill="1" applyBorder="1" applyAlignment="1">
      <alignment horizontal="center" wrapText="1"/>
    </xf>
    <xf numFmtId="6" fontId="0" fillId="0" borderId="35" xfId="0" applyNumberFormat="1" applyFont="1" applyBorder="1" applyAlignment="1">
      <alignment horizontal="center"/>
    </xf>
    <xf numFmtId="0" fontId="12" fillId="0" borderId="24" xfId="0" applyFont="1" applyBorder="1" applyAlignment="1">
      <alignment horizontal="left" vertical="center"/>
    </xf>
    <xf numFmtId="0" fontId="12" fillId="0" borderId="0" xfId="0" applyFont="1" applyAlignment="1">
      <alignment horizontal="left" vertical="center"/>
    </xf>
    <xf numFmtId="0" fontId="0" fillId="2" borderId="0" xfId="0" quotePrefix="1" applyFont="1" applyFill="1" applyBorder="1" applyAlignment="1">
      <alignment horizontal="left" vertical="center" wrapText="1"/>
    </xf>
    <xf numFmtId="0" fontId="6" fillId="2" borderId="24" xfId="0" applyFont="1" applyFill="1" applyBorder="1" applyAlignment="1">
      <alignment horizontal="center" vertical="top" wrapText="1"/>
    </xf>
    <xf numFmtId="0" fontId="6" fillId="2" borderId="0" xfId="0" applyFont="1" applyFill="1" applyAlignment="1">
      <alignment horizontal="center" vertical="top" wrapText="1"/>
    </xf>
    <xf numFmtId="0" fontId="5" fillId="2" borderId="35" xfId="0" applyFont="1" applyFill="1" applyBorder="1" applyAlignment="1">
      <alignment horizontal="center" vertical="center"/>
    </xf>
    <xf numFmtId="0" fontId="2" fillId="2" borderId="35"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2" borderId="19" xfId="0" applyFont="1" applyFill="1" applyBorder="1" applyAlignment="1">
      <alignment horizontal="center" wrapText="1"/>
    </xf>
    <xf numFmtId="0" fontId="4" fillId="2" borderId="7" xfId="0" applyFont="1" applyFill="1" applyBorder="1" applyAlignment="1">
      <alignment horizontal="center" wrapText="1"/>
    </xf>
    <xf numFmtId="0" fontId="4" fillId="2" borderId="10" xfId="0" applyFont="1" applyFill="1" applyBorder="1" applyAlignment="1">
      <alignment horizontal="center" wrapText="1"/>
    </xf>
    <xf numFmtId="0" fontId="11" fillId="2" borderId="41" xfId="0" applyFont="1" applyFill="1" applyBorder="1" applyAlignment="1">
      <alignment horizontal="right" vertical="top" wrapText="1"/>
    </xf>
    <xf numFmtId="0" fontId="11" fillId="2" borderId="42" xfId="0" applyFont="1" applyFill="1" applyBorder="1" applyAlignment="1">
      <alignment horizontal="right" vertical="top" wrapText="1"/>
    </xf>
    <xf numFmtId="0" fontId="12" fillId="0" borderId="24" xfId="0" applyFont="1" applyBorder="1" applyAlignment="1">
      <alignment horizontal="left" wrapText="1"/>
    </xf>
    <xf numFmtId="0" fontId="12" fillId="0" borderId="0" xfId="0" applyFont="1" applyBorder="1" applyAlignment="1">
      <alignment horizontal="left" wrapText="1"/>
    </xf>
  </cellXfs>
  <cellStyles count="2">
    <cellStyle name="Normal" xfId="0" builtinId="0"/>
    <cellStyle name="Percent" xfId="1" builtinId="5"/>
  </cellStyles>
  <dxfs count="6">
    <dxf>
      <font>
        <b/>
        <i/>
        <color rgb="FFFF0000"/>
      </font>
    </dxf>
    <dxf>
      <font>
        <b/>
        <i/>
        <color rgb="FFFF0000"/>
      </font>
    </dxf>
    <dxf>
      <font>
        <b/>
        <i/>
        <color rgb="FFFF0000"/>
      </font>
    </dxf>
    <dxf>
      <border>
        <bottom style="thin">
          <color theme="1"/>
        </bottom>
        <vertical/>
        <horizontal/>
      </border>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3"/>
  <sheetViews>
    <sheetView tabSelected="1" defaultGridColor="0" colorId="9" zoomScale="90" zoomScaleNormal="90" zoomScaleSheetLayoutView="100" workbookViewId="0">
      <selection activeCell="U4" sqref="U4"/>
    </sheetView>
  </sheetViews>
  <sheetFormatPr defaultColWidth="9.140625" defaultRowHeight="12.75" x14ac:dyDescent="0.2"/>
  <cols>
    <col min="1" max="1" width="13.28515625" style="11" customWidth="1"/>
    <col min="2" max="2" width="10.5703125" style="11" customWidth="1"/>
    <col min="3" max="5" width="13.7109375" style="11" customWidth="1"/>
    <col min="6" max="6" width="15.42578125" style="11" customWidth="1"/>
    <col min="7" max="7" width="18.42578125" style="11" customWidth="1"/>
    <col min="8" max="8" width="20.5703125" style="11" customWidth="1"/>
    <col min="9" max="16384" width="9.140625" style="11"/>
  </cols>
  <sheetData>
    <row r="1" spans="1:22" ht="36" customHeight="1" x14ac:dyDescent="0.2">
      <c r="A1" s="99" t="s">
        <v>126</v>
      </c>
      <c r="B1" s="99"/>
      <c r="C1" s="100" t="s">
        <v>118</v>
      </c>
      <c r="D1" s="100"/>
      <c r="E1" s="100"/>
      <c r="F1" s="100"/>
      <c r="G1" s="100"/>
    </row>
    <row r="2" spans="1:22" ht="24" customHeight="1" x14ac:dyDescent="0.2">
      <c r="A2" s="101" t="s">
        <v>119</v>
      </c>
      <c r="B2" s="101"/>
      <c r="C2" s="101"/>
      <c r="D2" s="101"/>
      <c r="E2" s="101"/>
      <c r="F2" s="101"/>
      <c r="G2" s="101"/>
    </row>
    <row r="3" spans="1:22" ht="75" customHeight="1" x14ac:dyDescent="0.2">
      <c r="A3" s="102" t="s">
        <v>127</v>
      </c>
      <c r="B3" s="103"/>
      <c r="C3" s="103"/>
      <c r="D3" s="103"/>
      <c r="E3" s="103"/>
      <c r="F3" s="103"/>
      <c r="G3" s="103"/>
    </row>
    <row r="4" spans="1:22" ht="134.25" customHeight="1" x14ac:dyDescent="0.2">
      <c r="A4" s="96" t="s">
        <v>125</v>
      </c>
      <c r="B4" s="104"/>
      <c r="C4" s="104"/>
      <c r="D4" s="104"/>
      <c r="E4" s="104"/>
      <c r="F4" s="104"/>
      <c r="G4" s="104"/>
    </row>
    <row r="5" spans="1:22" ht="84.95" hidden="1" customHeight="1" x14ac:dyDescent="0.2">
      <c r="A5" s="96"/>
      <c r="B5" s="96"/>
      <c r="C5" s="96"/>
      <c r="D5" s="96"/>
      <c r="E5" s="96"/>
      <c r="F5" s="96"/>
      <c r="G5" s="96"/>
    </row>
    <row r="6" spans="1:22" ht="6.75" customHeight="1" x14ac:dyDescent="0.2">
      <c r="A6" s="12"/>
      <c r="B6" s="12"/>
      <c r="C6" s="12"/>
      <c r="D6" s="12"/>
      <c r="E6" s="12"/>
      <c r="F6" s="12"/>
      <c r="G6" s="71"/>
    </row>
    <row r="7" spans="1:22" ht="20.100000000000001" customHeight="1" x14ac:dyDescent="0.2">
      <c r="A7" s="54" t="s">
        <v>101</v>
      </c>
      <c r="B7" s="12"/>
      <c r="C7" s="12"/>
      <c r="D7" s="12"/>
      <c r="E7" s="12"/>
      <c r="G7" s="43" t="s">
        <v>88</v>
      </c>
      <c r="H7" s="68" t="s">
        <v>114</v>
      </c>
      <c r="J7" s="55"/>
      <c r="K7" s="92"/>
      <c r="L7" s="92"/>
      <c r="M7" s="55"/>
      <c r="N7" s="92"/>
      <c r="O7" s="92"/>
      <c r="P7" s="55"/>
      <c r="Q7" s="55"/>
      <c r="R7" s="92"/>
      <c r="S7" s="92"/>
      <c r="T7" s="55"/>
      <c r="U7" s="92"/>
      <c r="V7" s="92"/>
    </row>
    <row r="8" spans="1:22" ht="20.100000000000001" hidden="1" customHeight="1" x14ac:dyDescent="0.2">
      <c r="A8" s="54" t="s">
        <v>102</v>
      </c>
      <c r="B8" s="12"/>
      <c r="C8" s="12"/>
      <c r="D8" s="12"/>
      <c r="E8" s="12"/>
      <c r="G8" s="60">
        <f>IF(ISERROR(VLOOKUP(G$7,ELI_PU,7)),"TBD",VLOOKUP(G$7,ELI_PU,7))</f>
        <v>0</v>
      </c>
      <c r="H8" s="68" t="s">
        <v>114</v>
      </c>
      <c r="J8" s="55"/>
      <c r="K8" s="57"/>
      <c r="L8" s="57"/>
      <c r="M8" s="55"/>
      <c r="N8" s="57"/>
      <c r="O8" s="57"/>
      <c r="P8" s="55"/>
      <c r="Q8" s="55"/>
      <c r="R8" s="57"/>
      <c r="S8" s="57"/>
      <c r="T8" s="55"/>
      <c r="U8" s="57"/>
      <c r="V8" s="57"/>
    </row>
    <row r="9" spans="1:22" ht="20.100000000000001" hidden="1" customHeight="1" x14ac:dyDescent="0.2">
      <c r="A9" s="54" t="s">
        <v>111</v>
      </c>
      <c r="B9" s="12"/>
      <c r="C9" s="12"/>
      <c r="D9" s="12"/>
      <c r="E9" s="12"/>
      <c r="G9" s="43" t="s">
        <v>95</v>
      </c>
      <c r="H9" s="68" t="s">
        <v>115</v>
      </c>
      <c r="J9" s="55"/>
      <c r="K9" s="56"/>
      <c r="L9" s="56"/>
      <c r="M9" s="55"/>
      <c r="N9" s="56"/>
      <c r="O9" s="56"/>
      <c r="P9" s="55"/>
      <c r="Q9" s="55"/>
      <c r="R9" s="56"/>
      <c r="S9" s="56"/>
      <c r="T9" s="55"/>
      <c r="U9" s="56"/>
      <c r="V9" s="56"/>
    </row>
    <row r="10" spans="1:22" ht="20.100000000000001" hidden="1" customHeight="1" x14ac:dyDescent="0.2">
      <c r="A10" s="54" t="s">
        <v>103</v>
      </c>
      <c r="B10" s="12"/>
      <c r="C10" s="12"/>
      <c r="D10" s="12"/>
      <c r="E10" s="12"/>
      <c r="G10" s="43" t="s">
        <v>95</v>
      </c>
      <c r="H10" s="68" t="s">
        <v>116</v>
      </c>
      <c r="J10" s="55"/>
      <c r="K10" s="56"/>
      <c r="L10" s="56"/>
      <c r="M10" s="55"/>
      <c r="N10" s="56"/>
      <c r="O10" s="56"/>
      <c r="P10" s="55"/>
      <c r="Q10" s="55"/>
      <c r="R10" s="56"/>
      <c r="S10" s="56"/>
      <c r="T10" s="55"/>
      <c r="U10" s="56"/>
      <c r="V10" s="56"/>
    </row>
    <row r="11" spans="1:22" ht="20.100000000000001" hidden="1" customHeight="1" x14ac:dyDescent="0.2">
      <c r="A11" s="54" t="s">
        <v>104</v>
      </c>
      <c r="B11" s="12"/>
      <c r="C11" s="12"/>
      <c r="D11" s="12"/>
      <c r="E11" s="12"/>
      <c r="G11" s="72" t="s">
        <v>94</v>
      </c>
      <c r="H11" s="69"/>
      <c r="J11" s="55"/>
      <c r="K11" s="56"/>
      <c r="L11" s="56"/>
      <c r="M11" s="55"/>
      <c r="N11" s="55"/>
      <c r="O11" s="56"/>
      <c r="P11" s="55"/>
      <c r="Q11" s="55"/>
      <c r="R11" s="55"/>
      <c r="S11" s="55"/>
      <c r="T11" s="55"/>
      <c r="U11" s="55"/>
      <c r="V11" s="55"/>
    </row>
    <row r="12" spans="1:22" ht="20.100000000000001" customHeight="1" x14ac:dyDescent="0.2">
      <c r="A12" s="54" t="s">
        <v>123</v>
      </c>
      <c r="B12" s="12"/>
      <c r="C12" s="12"/>
      <c r="D12" s="12"/>
      <c r="E12" s="12"/>
      <c r="G12" s="73">
        <v>0.2</v>
      </c>
      <c r="H12" s="68" t="str">
        <f>"(RFA Minimum ELI Set-Aside Commitment is 20%)"</f>
        <v>(RFA Minimum ELI Set-Aside Commitment is 20%)</v>
      </c>
      <c r="J12" s="55"/>
      <c r="K12" s="55"/>
      <c r="L12" s="55"/>
      <c r="M12" s="55"/>
      <c r="N12" s="55"/>
      <c r="O12" s="55"/>
      <c r="P12" s="55"/>
      <c r="Q12" s="55"/>
      <c r="R12" s="55"/>
      <c r="S12" s="55"/>
      <c r="T12" s="55"/>
      <c r="U12" s="55"/>
      <c r="V12" s="55"/>
    </row>
    <row r="13" spans="1:22" ht="20.100000000000001" customHeight="1" x14ac:dyDescent="0.2">
      <c r="A13" s="54" t="s">
        <v>124</v>
      </c>
      <c r="B13" s="12"/>
      <c r="C13" s="12"/>
      <c r="D13" s="12"/>
      <c r="E13" s="12"/>
      <c r="G13" s="58">
        <v>0.2</v>
      </c>
      <c r="H13" s="68" t="s">
        <v>120</v>
      </c>
    </row>
    <row r="14" spans="1:22" ht="20.100000000000001" hidden="1" customHeight="1" x14ac:dyDescent="0.2">
      <c r="A14" s="54" t="s">
        <v>117</v>
      </c>
      <c r="B14" s="12"/>
      <c r="C14" s="12"/>
      <c r="D14" s="12"/>
      <c r="E14" s="12"/>
      <c r="G14" s="43" t="s">
        <v>93</v>
      </c>
      <c r="H14" s="69"/>
    </row>
    <row r="15" spans="1:22" ht="20.100000000000001" hidden="1" customHeight="1" x14ac:dyDescent="0.2">
      <c r="A15" s="54" t="str">
        <f>IF(AND(G14&lt;&gt;A106,OR(ISERROR(VLOOKUP(G7,ELI_PU,7)),G7=A35)),"8. NHTF Funding Amount is TBD ....................................................................................................................................................................................................",IF(OR(VLOOKUP(G7,ELI_PU,7)="Small",G14=A106),"8. No NHTF Funds are available for the proposed Development.................................................................................................................................................","8. The estimated minimum NHTF Loan Amount for the "&amp;TEXT(IF(IFERROR(VLOOKUP(G7,ELI_PU,7),"TBD")="Large",4,IF(IFERROR(VLOOKUP(G7,ELI_PU,7),"TBD")="Medium",3,IF(IFERROR(VLOOKUP(G7,ELI_PU,7),"TBD")="TBD","TBD",0))),"0")&amp;" units, each at "&amp;IF(ISERROR(VLOOKUP(G7,ELI_PU,6)),"TBD",TEXT(MIN(VLOOKUP(G7,ELI_PU,6),N(VLOOKUP(G7,ELI_PU,8))),"$0,000"))&amp;", is........................................................................................................................"))</f>
        <v>8. NHTF Funding Amount is TBD ....................................................................................................................................................................................................</v>
      </c>
      <c r="B15" s="12"/>
      <c r="C15" s="12"/>
      <c r="D15" s="12"/>
      <c r="E15" s="12"/>
      <c r="G15" s="61" t="str">
        <f>IF(AND(G14&lt;&gt;A106,OR(ISERROR(VLOOKUP(G7,ELI_PU,7)),ISERROR(VLOOKUP(G7,ELI_PU,6)),G7=A35)),"TBD",IF(AND(VLOOKUP(G7,ELI_PU,7)="Medium",G14="Yes"),3*MIN(VLOOKUP(G7,ELI_PU,6),N(VLOOKUP(G7,ELI_PU,8))),IF(AND(VLOOKUP(G7,ELI_PU,7)="Large",G14="Yes"),4*MIN(VLOOKUP(G7,ELI_PU,6),N(VLOOKUP(G7,ELI_PU,8))),"NA")))</f>
        <v>TBD</v>
      </c>
      <c r="H15" s="70" t="str">
        <f>"(§ Four, A, 10. a. (3); "&amp;IF(G14="No","NHTF funds are not available to proposed Developments that are not 100% new construction","The limiting funding criteria is the "&amp;IF(MIN(VLOOKUP(G7,ELI_PU,6),N(VLOOKUP(G7,ELI_PU,8)))=VLOOKUP(G7,ELI_PU,6),"NHTF Set-Aside per unit minimums at Exhibit I, 1.f.(1)","maximum subsidy limits based on Construction Type &amp; ESSC status at Exhibit I, 1.f.(2)"))&amp;")"</f>
        <v>(§ Four, A, 10. a. (3); The limiting funding criteria is the NHTF Set-Aside per unit minimums at Exhibit I, 1.f.(1))</v>
      </c>
    </row>
    <row r="16" spans="1:22" x14ac:dyDescent="0.2">
      <c r="A16" s="12"/>
      <c r="B16" s="12"/>
      <c r="C16" s="12"/>
      <c r="D16" s="12"/>
      <c r="E16" s="12"/>
      <c r="F16" s="13"/>
      <c r="G16" s="12"/>
    </row>
    <row r="17" spans="1:15" ht="13.5" thickBot="1" x14ac:dyDescent="0.25">
      <c r="A17" s="1" t="s">
        <v>0</v>
      </c>
      <c r="B17" s="1" t="s">
        <v>1</v>
      </c>
      <c r="C17" s="1" t="s">
        <v>2</v>
      </c>
      <c r="D17" s="1" t="s">
        <v>3</v>
      </c>
      <c r="E17" s="1" t="s">
        <v>4</v>
      </c>
      <c r="F17" s="1" t="s">
        <v>5</v>
      </c>
      <c r="G17" s="1" t="s">
        <v>6</v>
      </c>
    </row>
    <row r="18" spans="1:15" ht="53.25" customHeight="1" x14ac:dyDescent="0.2">
      <c r="A18" s="2" t="s">
        <v>7</v>
      </c>
      <c r="B18" s="3" t="s">
        <v>8</v>
      </c>
      <c r="C18" s="3" t="s">
        <v>9</v>
      </c>
      <c r="D18" s="3" t="s">
        <v>84</v>
      </c>
      <c r="E18" s="4" t="s">
        <v>85</v>
      </c>
      <c r="F18" s="3" t="s">
        <v>10</v>
      </c>
      <c r="G18" s="36" t="s">
        <v>11</v>
      </c>
      <c r="H18" s="65" t="s">
        <v>112</v>
      </c>
      <c r="I18" s="115" t="str">
        <f>IF(G7=A35,"","(The selected county of "&amp;G7&amp;" is a "&amp;VLOOKUP(G7,A35:G102,7)&amp;" County which has a minium unit count of "&amp;IF(VLOOKUP(G7,A35:G102,7)="Small",4,10)&amp;" units and a maximum of "&amp;IF(VLOOKUP(G7,A35:G102,7)="Small",15,30)&amp;" units. The proposed Development has "&amp;B26&amp;" units which "&amp;IF(OR(AND(VLOOKUP(G7,A35:G102,7)="Small",B26&gt;=4,B26&lt;=15),AND(OR(VLOOKUP(G7,A35:G102,7)="Medium",VLOOKUP(G7,A35:G102,7)="Large"),B26&gt;=10,B26&lt;=30)),"meets","does NOT meet")&amp;" the requirements.)")</f>
        <v/>
      </c>
      <c r="J18" s="116"/>
      <c r="K18" s="116"/>
      <c r="L18" s="116"/>
      <c r="M18" s="116"/>
      <c r="N18" s="116"/>
      <c r="O18" s="116"/>
    </row>
    <row r="19" spans="1:15" ht="3.95" customHeight="1" x14ac:dyDescent="0.2">
      <c r="A19" s="14"/>
      <c r="B19" s="5"/>
      <c r="C19" s="15"/>
      <c r="D19" s="15"/>
      <c r="E19" s="15"/>
      <c r="F19" s="16"/>
      <c r="G19" s="37"/>
      <c r="H19" s="64"/>
      <c r="I19" s="68"/>
    </row>
    <row r="20" spans="1:15" x14ac:dyDescent="0.2">
      <c r="A20" s="17">
        <v>0</v>
      </c>
      <c r="B20" s="45">
        <v>0</v>
      </c>
      <c r="C20" s="18">
        <f>SUM(B$19:B20)</f>
        <v>0</v>
      </c>
      <c r="D20" s="18">
        <f>ROUNDUP(C20*N(G$12),0)-SUM(D$19:D19)</f>
        <v>0</v>
      </c>
      <c r="E20" s="19">
        <f>IF(G$13="LDA Not Allowed",0,ROUNDUP(C20*N(G$13),0)-SUM(E$19:E19))</f>
        <v>0</v>
      </c>
      <c r="F20" s="20">
        <f>IF(ISERROR(VLOOKUP(G$7,ELI_PU,3)),"",IF(G$10=A$118,0,VLOOKUP(G$7,ELI_PU,3)))</f>
        <v>0</v>
      </c>
      <c r="G20" s="38">
        <f>IF(ISERROR(F20*E20),0,F20*E20)</f>
        <v>0</v>
      </c>
      <c r="H20" s="66">
        <f>IF(B$26=0,0,B20/B$26)</f>
        <v>0</v>
      </c>
      <c r="I20" s="94" t="str">
        <f>"(Minimum 0 &amp; 1 Bedrooms is 30%, rounded up, or "&amp;TEXT(ROUNDUP(30%*B$26,0),"#,##0")&amp;" units)"</f>
        <v>(Minimum 0 &amp; 1 Bedrooms is 30%, rounded up, or 0 units)</v>
      </c>
      <c r="J20" s="95"/>
      <c r="K20" s="95"/>
      <c r="L20" s="95"/>
      <c r="M20" s="95"/>
      <c r="N20" s="95"/>
    </row>
    <row r="21" spans="1:15" x14ac:dyDescent="0.2">
      <c r="A21" s="21">
        <v>1</v>
      </c>
      <c r="B21" s="46">
        <v>0</v>
      </c>
      <c r="C21" s="22">
        <f>SUM(B$19:B21)</f>
        <v>0</v>
      </c>
      <c r="D21" s="22">
        <f>ROUNDUP(C21*N(G$12),0)-SUM(D$19:D20)</f>
        <v>0</v>
      </c>
      <c r="E21" s="19">
        <f>IF(G$13="LDA Not Allowed",0,ROUNDUP(C21*N(G$13),0)-SUM(E$19:E20))</f>
        <v>0</v>
      </c>
      <c r="F21" s="23">
        <f>IF(ISERROR(VLOOKUP(G$7,ELI_PU,3)),"",IF(G$10=A$118,0,VLOOKUP(G$7,ELI_PU,3)))</f>
        <v>0</v>
      </c>
      <c r="G21" s="38">
        <f t="shared" ref="G21:G24" si="0">IF(ISERROR(F21*E21),0,F21*E21)</f>
        <v>0</v>
      </c>
      <c r="H21" s="66">
        <f t="shared" ref="H21:H24" si="1">IF(B$26=0,0,B21/B$26)</f>
        <v>0</v>
      </c>
      <c r="I21" s="94"/>
      <c r="J21" s="95"/>
      <c r="K21" s="95"/>
      <c r="L21" s="95"/>
      <c r="M21" s="95"/>
      <c r="N21" s="95"/>
    </row>
    <row r="22" spans="1:15" x14ac:dyDescent="0.2">
      <c r="A22" s="21">
        <v>2</v>
      </c>
      <c r="B22" s="46">
        <v>0</v>
      </c>
      <c r="C22" s="22">
        <f>SUM(B$19:B22)</f>
        <v>0</v>
      </c>
      <c r="D22" s="22">
        <f>ROUNDUP(C22*N(G$12),0)-SUM(D$19:D21)</f>
        <v>0</v>
      </c>
      <c r="E22" s="19">
        <f>IF(G$13="LDA Not Allowed",0,ROUNDUP(C22*N(G$13),0)-SUM(E$19:E21))</f>
        <v>0</v>
      </c>
      <c r="F22" s="23">
        <f>IF(ISERROR(VLOOKUP(G$7,ELI_PU,4)),"",IF(G$10=A$118,0,VLOOKUP(G$7,ELI_PU,4)))</f>
        <v>0</v>
      </c>
      <c r="G22" s="38">
        <f t="shared" si="0"/>
        <v>0</v>
      </c>
      <c r="H22" s="66">
        <f t="shared" si="1"/>
        <v>0</v>
      </c>
      <c r="I22" s="68"/>
    </row>
    <row r="23" spans="1:15" x14ac:dyDescent="0.2">
      <c r="A23" s="21">
        <v>3</v>
      </c>
      <c r="B23" s="46">
        <v>0</v>
      </c>
      <c r="C23" s="22">
        <f>SUM(B$19:B23)</f>
        <v>0</v>
      </c>
      <c r="D23" s="22">
        <f>ROUNDUP(C23*N(G$12),0)-SUM(D$19:D22)</f>
        <v>0</v>
      </c>
      <c r="E23" s="19">
        <f>IF(G$13="LDA Not Allowed",0,ROUNDUP(C23*N(G$13),0)-SUM(E$19:E22))</f>
        <v>0</v>
      </c>
      <c r="F23" s="23">
        <f>IF(ISERROR(VLOOKUP(G$7,ELI_PU,5)),"",IF(G$10=A$118,0,VLOOKUP(G$7,ELI_PU,5)))</f>
        <v>0</v>
      </c>
      <c r="G23" s="38">
        <f t="shared" si="0"/>
        <v>0</v>
      </c>
      <c r="H23" s="66">
        <f t="shared" si="1"/>
        <v>0</v>
      </c>
      <c r="I23" s="68" t="str">
        <f>"(Maximum is 25%, rounded up, or "&amp;TEXT(ROUNDUP(25%*B$26,0),"#,##0")&amp;" units)"</f>
        <v>(Maximum is 25%, rounded up, or 0 units)</v>
      </c>
    </row>
    <row r="24" spans="1:15" hidden="1" x14ac:dyDescent="0.2">
      <c r="A24" s="21">
        <v>4</v>
      </c>
      <c r="B24" s="46">
        <v>0</v>
      </c>
      <c r="C24" s="22">
        <f>SUM(B$19:B24)</f>
        <v>0</v>
      </c>
      <c r="D24" s="22">
        <f>ROUNDUP(C24*N(G$12),0)-SUM(D$19:D23)</f>
        <v>0</v>
      </c>
      <c r="E24" s="19">
        <f>IF(G$13="LDA Not Allowed",0,ROUNDUP(C24*N(G$13),0)-SUM(E$19:E23))</f>
        <v>0</v>
      </c>
      <c r="F24" s="23">
        <f>IF(ISERROR(VLOOKUP(G$7,ELI_PU,5)),"",IF(G$10=A$118,0,VLOOKUP(G$7,ELI_PU,5)))</f>
        <v>0</v>
      </c>
      <c r="G24" s="38">
        <f t="shared" si="0"/>
        <v>0</v>
      </c>
      <c r="H24" s="66">
        <f t="shared" si="1"/>
        <v>0</v>
      </c>
      <c r="I24" s="68" t="s">
        <v>113</v>
      </c>
    </row>
    <row r="25" spans="1:15" ht="3.95" customHeight="1" thickBot="1" x14ac:dyDescent="0.25">
      <c r="A25" s="24"/>
      <c r="B25" s="6"/>
      <c r="C25" s="25"/>
      <c r="D25" s="25"/>
      <c r="E25" s="26"/>
      <c r="F25" s="27"/>
      <c r="G25" s="39"/>
      <c r="H25" s="63"/>
    </row>
    <row r="26" spans="1:15" ht="14.25" thickTop="1" thickBot="1" x14ac:dyDescent="0.25">
      <c r="A26" s="7" t="s">
        <v>12</v>
      </c>
      <c r="B26" s="41">
        <f>SUM(B19:B25)</f>
        <v>0</v>
      </c>
      <c r="C26" s="28"/>
      <c r="D26" s="28">
        <f>SUM(D19:D25)</f>
        <v>0</v>
      </c>
      <c r="E26" s="28">
        <f>SUM(E19:E25)</f>
        <v>0</v>
      </c>
      <c r="F26" s="29" t="str">
        <f>IF(E26=0,"",SUMPRODUCT(F20:F24,E20:E24)/E26)</f>
        <v/>
      </c>
      <c r="G26" s="40">
        <f>MIN($B$108,SUM(G19:G25))</f>
        <v>0</v>
      </c>
      <c r="H26" s="67">
        <f>SUM(H20:H25)</f>
        <v>0</v>
      </c>
    </row>
    <row r="27" spans="1:15" ht="12.75" customHeight="1" x14ac:dyDescent="0.2">
      <c r="A27" s="12"/>
      <c r="B27" s="107" t="s">
        <v>86</v>
      </c>
      <c r="C27" s="12"/>
      <c r="D27" s="110" t="str">
        <f>TEXT(D26,"0")&amp;" ELI units is "&amp;TEXT(IF($B26=0,0,D26/$B26),"0.00%")&amp;" of "&amp;TEXT(N($B26),"0")&amp;" total units."</f>
        <v>0 ELI units is 0.00% of 0 total units.</v>
      </c>
      <c r="E27" s="110" t="str">
        <f>TEXT(E26,"0")&amp;" ELI units is "&amp;TEXT(IF($B26=0,0,E26/$B26),"0.00%")&amp;" of "&amp;TEXT(N($B26),"0")&amp;" total units."</f>
        <v>0 ELI units is 0.00% of 0 total units.</v>
      </c>
      <c r="F27" s="113" t="str">
        <f>IF(SUM(G19:G25)&gt;G26,"The ELI Loan is capped at "&amp;TEXT($B$108,"$#,##0")&amp;".","")</f>
        <v/>
      </c>
      <c r="G27" s="105" t="s">
        <v>87</v>
      </c>
    </row>
    <row r="28" spans="1:15" x14ac:dyDescent="0.2">
      <c r="A28" s="12"/>
      <c r="B28" s="108"/>
      <c r="C28" s="12"/>
      <c r="D28" s="111"/>
      <c r="E28" s="111"/>
      <c r="F28" s="114"/>
      <c r="G28" s="105"/>
    </row>
    <row r="29" spans="1:15" x14ac:dyDescent="0.2">
      <c r="A29" s="12"/>
      <c r="B29" s="108"/>
      <c r="C29" s="12"/>
      <c r="D29" s="112"/>
      <c r="E29" s="112"/>
      <c r="F29" s="114"/>
      <c r="G29" s="105"/>
    </row>
    <row r="30" spans="1:15" ht="13.5" thickBot="1" x14ac:dyDescent="0.25">
      <c r="A30" s="12"/>
      <c r="B30" s="109"/>
      <c r="C30" s="12"/>
      <c r="D30" s="12"/>
      <c r="E30" s="12"/>
      <c r="F30" s="114"/>
      <c r="G30" s="106"/>
    </row>
    <row r="31" spans="1:15" ht="13.5" thickTop="1" x14ac:dyDescent="0.2">
      <c r="A31" s="12"/>
      <c r="B31" s="30"/>
      <c r="C31" s="12"/>
      <c r="D31" s="12"/>
      <c r="E31" s="12"/>
      <c r="F31" s="12"/>
      <c r="G31" s="12"/>
    </row>
    <row r="32" spans="1:15" ht="6" customHeight="1" x14ac:dyDescent="0.2">
      <c r="A32" s="12"/>
      <c r="B32" s="12"/>
      <c r="C32" s="12"/>
      <c r="D32" s="12"/>
      <c r="E32" s="12"/>
      <c r="F32" s="12"/>
      <c r="G32" s="12"/>
    </row>
    <row r="33" spans="1:10" ht="13.5" hidden="1" thickBot="1" x14ac:dyDescent="0.25">
      <c r="A33" s="10" t="s">
        <v>121</v>
      </c>
      <c r="B33" s="12"/>
      <c r="C33" s="12"/>
      <c r="D33" s="12"/>
      <c r="E33" s="12"/>
      <c r="F33" s="12"/>
      <c r="G33" s="12"/>
    </row>
    <row r="34" spans="1:10" ht="48.75" hidden="1" customHeight="1" thickBot="1" x14ac:dyDescent="0.25">
      <c r="A34" s="31" t="s">
        <v>13</v>
      </c>
      <c r="B34" s="32" t="s">
        <v>105</v>
      </c>
      <c r="C34" s="32" t="s">
        <v>14</v>
      </c>
      <c r="D34" s="32" t="s">
        <v>15</v>
      </c>
      <c r="E34" s="33" t="s">
        <v>16</v>
      </c>
      <c r="F34" s="32" t="s">
        <v>122</v>
      </c>
      <c r="G34" s="47" t="s">
        <v>92</v>
      </c>
      <c r="H34" s="47" t="s">
        <v>122</v>
      </c>
      <c r="I34" s="97" t="str">
        <f>"
As a note, one (1) less Funded ELI unit (column ""E"", "&amp;TEXT(IF(E26-1&lt;0,0,E26-1),"0")&amp;" total ELI units) is "&amp;TEXT(IF($B26=0,0,(E26-1)/$B26),"0.00%")&amp;" of "&amp;TEXT(N($B26),"0")&amp;" total units.  
"&amp;IF(OR(G13=G12,N(G12)=0),"","In addition, one (1) less ELI Unit Commitment (column ""D"", "&amp;TEXT(IF(D26-1&lt;0,0,D26-1),"0")&amp;" total ELI Committed units) is "&amp;TEXT(IF($B26=0,0,(D26-1)/$B26),"0.00%")&amp;" of "&amp;TEXT(N($B26),"0")&amp;" total units.")</f>
        <v xml:space="preserve">
As a note, one (1) less Funded ELI unit (column "E", 0 total ELI units) is 0.00% of 0 total units.  
</v>
      </c>
      <c r="J34" s="98"/>
    </row>
    <row r="35" spans="1:10" ht="4.5" hidden="1" customHeight="1" x14ac:dyDescent="0.2">
      <c r="A35" s="42" t="s">
        <v>88</v>
      </c>
      <c r="B35" s="34"/>
      <c r="C35" s="34"/>
      <c r="D35" s="34"/>
      <c r="E35" s="35"/>
      <c r="F35" s="34"/>
      <c r="G35" s="48"/>
      <c r="H35" s="48"/>
      <c r="I35" s="97"/>
      <c r="J35" s="98"/>
    </row>
    <row r="36" spans="1:10" hidden="1" x14ac:dyDescent="0.2">
      <c r="A36" s="74" t="s">
        <v>17</v>
      </c>
      <c r="B36" s="8">
        <v>0.33</v>
      </c>
      <c r="C36" s="75">
        <v>67700</v>
      </c>
      <c r="D36" s="75">
        <v>79400</v>
      </c>
      <c r="E36" s="76">
        <v>89500</v>
      </c>
      <c r="F36" s="77"/>
      <c r="G36" s="77" t="s">
        <v>89</v>
      </c>
      <c r="H36" s="49"/>
      <c r="I36" s="97"/>
      <c r="J36" s="98"/>
    </row>
    <row r="37" spans="1:10" hidden="1" x14ac:dyDescent="0.2">
      <c r="A37" s="78" t="s">
        <v>18</v>
      </c>
      <c r="B37" s="9">
        <v>0.33</v>
      </c>
      <c r="C37" s="79">
        <v>68800</v>
      </c>
      <c r="D37" s="79">
        <v>80700</v>
      </c>
      <c r="E37" s="80">
        <v>91000</v>
      </c>
      <c r="F37" s="81"/>
      <c r="G37" s="81" t="s">
        <v>90</v>
      </c>
      <c r="H37" s="50"/>
      <c r="I37" s="97"/>
      <c r="J37" s="98"/>
    </row>
    <row r="38" spans="1:10" hidden="1" x14ac:dyDescent="0.2">
      <c r="A38" s="82" t="s">
        <v>19</v>
      </c>
      <c r="B38" s="83">
        <v>0.33</v>
      </c>
      <c r="C38" s="84">
        <v>67300</v>
      </c>
      <c r="D38" s="84">
        <v>78800</v>
      </c>
      <c r="E38" s="85">
        <v>89000</v>
      </c>
      <c r="F38" s="86"/>
      <c r="G38" s="86" t="s">
        <v>89</v>
      </c>
      <c r="H38" s="50"/>
      <c r="I38" s="97"/>
      <c r="J38" s="98"/>
    </row>
    <row r="39" spans="1:10" hidden="1" x14ac:dyDescent="0.2">
      <c r="A39" s="74" t="s">
        <v>20</v>
      </c>
      <c r="B39" s="8">
        <v>0.4</v>
      </c>
      <c r="C39" s="75">
        <v>42600</v>
      </c>
      <c r="D39" s="75">
        <v>50000</v>
      </c>
      <c r="E39" s="76">
        <v>56300</v>
      </c>
      <c r="F39" s="81"/>
      <c r="G39" s="77" t="s">
        <v>90</v>
      </c>
      <c r="H39" s="50"/>
      <c r="I39" s="97"/>
      <c r="J39" s="98"/>
    </row>
    <row r="40" spans="1:10" hidden="1" x14ac:dyDescent="0.2">
      <c r="A40" s="78" t="s">
        <v>21</v>
      </c>
      <c r="B40" s="9">
        <v>0.33</v>
      </c>
      <c r="C40" s="79">
        <v>67100</v>
      </c>
      <c r="D40" s="79">
        <v>78600</v>
      </c>
      <c r="E40" s="80">
        <v>88600</v>
      </c>
      <c r="F40" s="81"/>
      <c r="G40" s="81" t="s">
        <v>89</v>
      </c>
      <c r="H40" s="50"/>
      <c r="I40" s="97"/>
      <c r="J40" s="98"/>
    </row>
    <row r="41" spans="1:10" hidden="1" x14ac:dyDescent="0.2">
      <c r="A41" s="82" t="s">
        <v>22</v>
      </c>
      <c r="B41" s="83">
        <v>0.25</v>
      </c>
      <c r="C41" s="84">
        <v>111800</v>
      </c>
      <c r="D41" s="84">
        <v>131100</v>
      </c>
      <c r="E41" s="85">
        <v>147800</v>
      </c>
      <c r="F41" s="86"/>
      <c r="G41" s="86" t="s">
        <v>91</v>
      </c>
      <c r="H41" s="50"/>
      <c r="I41" s="97"/>
      <c r="J41" s="98"/>
    </row>
    <row r="42" spans="1:10" hidden="1" x14ac:dyDescent="0.2">
      <c r="A42" s="78" t="s">
        <v>23</v>
      </c>
      <c r="B42" s="9">
        <v>0.4</v>
      </c>
      <c r="C42" s="79">
        <v>37900</v>
      </c>
      <c r="D42" s="79">
        <v>44400</v>
      </c>
      <c r="E42" s="80">
        <v>50100</v>
      </c>
      <c r="F42" s="81"/>
      <c r="G42" s="81" t="s">
        <v>90</v>
      </c>
      <c r="H42" s="50"/>
      <c r="I42" s="97"/>
      <c r="J42" s="98"/>
    </row>
    <row r="43" spans="1:10" hidden="1" x14ac:dyDescent="0.2">
      <c r="A43" s="78" t="s">
        <v>24</v>
      </c>
      <c r="B43" s="9">
        <v>0.4</v>
      </c>
      <c r="C43" s="79">
        <v>44400</v>
      </c>
      <c r="D43" s="79">
        <v>51900</v>
      </c>
      <c r="E43" s="80">
        <v>58500</v>
      </c>
      <c r="F43" s="81"/>
      <c r="G43" s="81" t="s">
        <v>89</v>
      </c>
      <c r="H43" s="50"/>
      <c r="I43" s="97"/>
      <c r="J43" s="98"/>
    </row>
    <row r="44" spans="1:10" hidden="1" x14ac:dyDescent="0.2">
      <c r="A44" s="82" t="s">
        <v>25</v>
      </c>
      <c r="B44" s="83">
        <v>0.4</v>
      </c>
      <c r="C44" s="84">
        <v>40100</v>
      </c>
      <c r="D44" s="84">
        <v>47100</v>
      </c>
      <c r="E44" s="85">
        <v>53000</v>
      </c>
      <c r="F44" s="86"/>
      <c r="G44" s="86" t="s">
        <v>89</v>
      </c>
      <c r="H44" s="50"/>
      <c r="I44" s="97"/>
      <c r="J44" s="98"/>
    </row>
    <row r="45" spans="1:10" hidden="1" x14ac:dyDescent="0.2">
      <c r="A45" s="78" t="s">
        <v>26</v>
      </c>
      <c r="B45" s="9">
        <v>0.3</v>
      </c>
      <c r="C45" s="79">
        <v>80700</v>
      </c>
      <c r="D45" s="79">
        <v>94500</v>
      </c>
      <c r="E45" s="80">
        <v>106600</v>
      </c>
      <c r="F45" s="81"/>
      <c r="G45" s="81" t="s">
        <v>89</v>
      </c>
      <c r="H45" s="50"/>
    </row>
    <row r="46" spans="1:10" hidden="1" x14ac:dyDescent="0.2">
      <c r="A46" s="78" t="s">
        <v>27</v>
      </c>
      <c r="B46" s="9">
        <v>0.28000000000000003</v>
      </c>
      <c r="C46" s="79">
        <v>94600</v>
      </c>
      <c r="D46" s="79">
        <v>110700</v>
      </c>
      <c r="E46" s="80">
        <v>124900</v>
      </c>
      <c r="F46" s="81"/>
      <c r="G46" s="81" t="s">
        <v>89</v>
      </c>
      <c r="H46" s="50"/>
    </row>
    <row r="47" spans="1:10" hidden="1" x14ac:dyDescent="0.2">
      <c r="A47" s="82" t="s">
        <v>28</v>
      </c>
      <c r="B47" s="83">
        <v>0.4</v>
      </c>
      <c r="C47" s="84">
        <v>40100</v>
      </c>
      <c r="D47" s="84">
        <v>47100</v>
      </c>
      <c r="E47" s="85">
        <v>53000</v>
      </c>
      <c r="F47" s="86"/>
      <c r="G47" s="86" t="s">
        <v>90</v>
      </c>
      <c r="H47" s="50"/>
    </row>
    <row r="48" spans="1:10" hidden="1" x14ac:dyDescent="0.2">
      <c r="A48" s="78" t="s">
        <v>29</v>
      </c>
      <c r="B48" s="9">
        <v>0.4</v>
      </c>
      <c r="C48" s="79">
        <v>37900</v>
      </c>
      <c r="D48" s="79">
        <v>44400</v>
      </c>
      <c r="E48" s="80">
        <v>50100</v>
      </c>
      <c r="F48" s="77"/>
      <c r="G48" s="81" t="s">
        <v>90</v>
      </c>
      <c r="H48" s="50"/>
    </row>
    <row r="49" spans="1:8" hidden="1" x14ac:dyDescent="0.2">
      <c r="A49" s="78" t="s">
        <v>30</v>
      </c>
      <c r="B49" s="9">
        <v>0.4</v>
      </c>
      <c r="C49" s="79">
        <v>37900</v>
      </c>
      <c r="D49" s="79">
        <v>44400</v>
      </c>
      <c r="E49" s="80">
        <v>50100</v>
      </c>
      <c r="F49" s="81"/>
      <c r="G49" s="81" t="s">
        <v>90</v>
      </c>
      <c r="H49" s="50"/>
    </row>
    <row r="50" spans="1:8" hidden="1" x14ac:dyDescent="0.2">
      <c r="A50" s="82" t="s">
        <v>31</v>
      </c>
      <c r="B50" s="83">
        <v>0.3</v>
      </c>
      <c r="C50" s="84">
        <v>80700</v>
      </c>
      <c r="D50" s="84">
        <v>94500</v>
      </c>
      <c r="E50" s="85">
        <v>106600</v>
      </c>
      <c r="F50" s="86"/>
      <c r="G50" s="86" t="s">
        <v>91</v>
      </c>
      <c r="H50" s="50"/>
    </row>
    <row r="51" spans="1:8" hidden="1" x14ac:dyDescent="0.2">
      <c r="A51" s="78" t="s">
        <v>32</v>
      </c>
      <c r="B51" s="9">
        <v>0.35</v>
      </c>
      <c r="C51" s="79">
        <v>59100</v>
      </c>
      <c r="D51" s="79">
        <v>69500</v>
      </c>
      <c r="E51" s="80">
        <v>78200</v>
      </c>
      <c r="F51" s="81"/>
      <c r="G51" s="81" t="s">
        <v>89</v>
      </c>
      <c r="H51" s="50"/>
    </row>
    <row r="52" spans="1:8" hidden="1" x14ac:dyDescent="0.2">
      <c r="A52" s="78" t="s">
        <v>33</v>
      </c>
      <c r="B52" s="9">
        <v>0.35</v>
      </c>
      <c r="C52" s="79">
        <v>58900</v>
      </c>
      <c r="D52" s="79">
        <v>68900</v>
      </c>
      <c r="E52" s="80">
        <v>77700</v>
      </c>
      <c r="F52" s="81"/>
      <c r="G52" s="81" t="s">
        <v>89</v>
      </c>
      <c r="H52" s="50"/>
    </row>
    <row r="53" spans="1:8" hidden="1" x14ac:dyDescent="0.2">
      <c r="A53" s="82" t="s">
        <v>34</v>
      </c>
      <c r="B53" s="83">
        <v>0.4</v>
      </c>
      <c r="C53" s="84">
        <v>39800</v>
      </c>
      <c r="D53" s="84">
        <v>46500</v>
      </c>
      <c r="E53" s="85">
        <v>52500</v>
      </c>
      <c r="F53" s="86"/>
      <c r="G53" s="86" t="s">
        <v>90</v>
      </c>
      <c r="H53" s="50"/>
    </row>
    <row r="54" spans="1:8" hidden="1" x14ac:dyDescent="0.2">
      <c r="A54" s="78" t="s">
        <v>35</v>
      </c>
      <c r="B54" s="9">
        <v>0.33</v>
      </c>
      <c r="C54" s="79">
        <v>70400</v>
      </c>
      <c r="D54" s="79">
        <v>82500</v>
      </c>
      <c r="E54" s="80">
        <v>93000</v>
      </c>
      <c r="F54" s="77"/>
      <c r="G54" s="81" t="s">
        <v>90</v>
      </c>
      <c r="H54" s="50"/>
    </row>
    <row r="55" spans="1:8" hidden="1" x14ac:dyDescent="0.2">
      <c r="A55" s="78" t="s">
        <v>36</v>
      </c>
      <c r="B55" s="9">
        <v>0.33</v>
      </c>
      <c r="C55" s="79">
        <v>67700</v>
      </c>
      <c r="D55" s="79">
        <v>79400</v>
      </c>
      <c r="E55" s="80">
        <v>89500</v>
      </c>
      <c r="F55" s="81"/>
      <c r="G55" s="81" t="s">
        <v>90</v>
      </c>
      <c r="H55" s="50"/>
    </row>
    <row r="56" spans="1:8" hidden="1" x14ac:dyDescent="0.2">
      <c r="A56" s="82" t="s">
        <v>37</v>
      </c>
      <c r="B56" s="83">
        <v>0.4</v>
      </c>
      <c r="C56" s="84">
        <v>37900</v>
      </c>
      <c r="D56" s="84">
        <v>44400</v>
      </c>
      <c r="E56" s="85">
        <v>50100</v>
      </c>
      <c r="F56" s="86"/>
      <c r="G56" s="86" t="s">
        <v>90</v>
      </c>
      <c r="H56" s="50"/>
    </row>
    <row r="57" spans="1:8" hidden="1" x14ac:dyDescent="0.2">
      <c r="A57" s="78" t="s">
        <v>38</v>
      </c>
      <c r="B57" s="9">
        <v>0.4</v>
      </c>
      <c r="C57" s="79">
        <v>42100</v>
      </c>
      <c r="D57" s="79">
        <v>49300</v>
      </c>
      <c r="E57" s="80">
        <v>55600</v>
      </c>
      <c r="F57" s="77"/>
      <c r="G57" s="81" t="s">
        <v>90</v>
      </c>
      <c r="H57" s="50"/>
    </row>
    <row r="58" spans="1:8" hidden="1" x14ac:dyDescent="0.2">
      <c r="A58" s="78" t="s">
        <v>39</v>
      </c>
      <c r="B58" s="9">
        <v>0.4</v>
      </c>
      <c r="C58" s="79">
        <v>37900</v>
      </c>
      <c r="D58" s="79">
        <v>44400</v>
      </c>
      <c r="E58" s="80">
        <v>50100</v>
      </c>
      <c r="F58" s="81"/>
      <c r="G58" s="81" t="s">
        <v>90</v>
      </c>
      <c r="H58" s="50"/>
    </row>
    <row r="59" spans="1:8" hidden="1" x14ac:dyDescent="0.2">
      <c r="A59" s="82" t="s">
        <v>40</v>
      </c>
      <c r="B59" s="83">
        <v>0.4</v>
      </c>
      <c r="C59" s="84">
        <v>37900</v>
      </c>
      <c r="D59" s="84">
        <v>44400</v>
      </c>
      <c r="E59" s="85">
        <v>50100</v>
      </c>
      <c r="F59" s="86"/>
      <c r="G59" s="86" t="s">
        <v>90</v>
      </c>
      <c r="H59" s="50"/>
    </row>
    <row r="60" spans="1:8" hidden="1" x14ac:dyDescent="0.2">
      <c r="A60" s="78" t="s">
        <v>41</v>
      </c>
      <c r="B60" s="9">
        <v>0.4</v>
      </c>
      <c r="C60" s="79">
        <v>37900</v>
      </c>
      <c r="D60" s="79">
        <v>44400</v>
      </c>
      <c r="E60" s="80">
        <v>50100</v>
      </c>
      <c r="F60" s="77"/>
      <c r="G60" s="81" t="s">
        <v>90</v>
      </c>
      <c r="H60" s="50"/>
    </row>
    <row r="61" spans="1:8" hidden="1" x14ac:dyDescent="0.2">
      <c r="A61" s="78" t="s">
        <v>42</v>
      </c>
      <c r="B61" s="9">
        <v>0.33</v>
      </c>
      <c r="C61" s="79">
        <v>68300</v>
      </c>
      <c r="D61" s="79">
        <v>79700</v>
      </c>
      <c r="E61" s="80">
        <v>90000</v>
      </c>
      <c r="F61" s="81"/>
      <c r="G61" s="81" t="s">
        <v>89</v>
      </c>
      <c r="H61" s="50"/>
    </row>
    <row r="62" spans="1:8" hidden="1" x14ac:dyDescent="0.2">
      <c r="A62" s="82" t="s">
        <v>43</v>
      </c>
      <c r="B62" s="83">
        <v>0.4</v>
      </c>
      <c r="C62" s="84">
        <v>37900</v>
      </c>
      <c r="D62" s="84">
        <v>44400</v>
      </c>
      <c r="E62" s="85">
        <v>50100</v>
      </c>
      <c r="F62" s="86"/>
      <c r="G62" s="86" t="s">
        <v>89</v>
      </c>
      <c r="H62" s="50"/>
    </row>
    <row r="63" spans="1:8" hidden="1" x14ac:dyDescent="0.2">
      <c r="A63" s="78" t="s">
        <v>44</v>
      </c>
      <c r="B63" s="9">
        <v>0.33</v>
      </c>
      <c r="C63" s="79">
        <v>68300</v>
      </c>
      <c r="D63" s="79">
        <v>79700</v>
      </c>
      <c r="E63" s="80">
        <v>90000</v>
      </c>
      <c r="F63" s="81"/>
      <c r="G63" s="81" t="s">
        <v>91</v>
      </c>
      <c r="H63" s="50"/>
    </row>
    <row r="64" spans="1:8" hidden="1" x14ac:dyDescent="0.2">
      <c r="A64" s="78" t="s">
        <v>45</v>
      </c>
      <c r="B64" s="9">
        <v>0.4</v>
      </c>
      <c r="C64" s="79">
        <v>37900</v>
      </c>
      <c r="D64" s="79">
        <v>44400</v>
      </c>
      <c r="E64" s="80">
        <v>50100</v>
      </c>
      <c r="F64" s="81"/>
      <c r="G64" s="81" t="s">
        <v>90</v>
      </c>
      <c r="H64" s="50"/>
    </row>
    <row r="65" spans="1:8" hidden="1" x14ac:dyDescent="0.2">
      <c r="A65" s="82" t="s">
        <v>46</v>
      </c>
      <c r="B65" s="83">
        <v>0.33</v>
      </c>
      <c r="C65" s="84">
        <v>67300</v>
      </c>
      <c r="D65" s="84">
        <v>79000</v>
      </c>
      <c r="E65" s="85">
        <v>89100</v>
      </c>
      <c r="F65" s="86"/>
      <c r="G65" s="86" t="s">
        <v>89</v>
      </c>
      <c r="H65" s="50"/>
    </row>
    <row r="66" spans="1:8" hidden="1" x14ac:dyDescent="0.2">
      <c r="A66" s="78" t="s">
        <v>47</v>
      </c>
      <c r="B66" s="9">
        <v>0.4</v>
      </c>
      <c r="C66" s="79">
        <v>37900</v>
      </c>
      <c r="D66" s="79">
        <v>44400</v>
      </c>
      <c r="E66" s="80">
        <v>50100</v>
      </c>
      <c r="F66" s="81"/>
      <c r="G66" s="81" t="s">
        <v>90</v>
      </c>
      <c r="H66" s="50"/>
    </row>
    <row r="67" spans="1:8" hidden="1" x14ac:dyDescent="0.2">
      <c r="A67" s="78" t="s">
        <v>48</v>
      </c>
      <c r="B67" s="9">
        <v>0.33</v>
      </c>
      <c r="C67" s="79">
        <v>70400</v>
      </c>
      <c r="D67" s="79">
        <v>82500</v>
      </c>
      <c r="E67" s="80">
        <v>93000</v>
      </c>
      <c r="F67" s="81"/>
      <c r="G67" s="81" t="s">
        <v>90</v>
      </c>
      <c r="H67" s="50"/>
    </row>
    <row r="68" spans="1:8" hidden="1" x14ac:dyDescent="0.2">
      <c r="A68" s="82" t="s">
        <v>49</v>
      </c>
      <c r="B68" s="83">
        <v>0.4</v>
      </c>
      <c r="C68" s="84">
        <v>40000</v>
      </c>
      <c r="D68" s="84">
        <v>46900</v>
      </c>
      <c r="E68" s="85">
        <v>52900</v>
      </c>
      <c r="F68" s="86"/>
      <c r="G68" s="86" t="s">
        <v>90</v>
      </c>
      <c r="H68" s="50"/>
    </row>
    <row r="69" spans="1:8" hidden="1" x14ac:dyDescent="0.2">
      <c r="A69" s="78" t="s">
        <v>50</v>
      </c>
      <c r="B69" s="9">
        <v>0.33</v>
      </c>
      <c r="C69" s="79">
        <v>70400</v>
      </c>
      <c r="D69" s="79">
        <v>82500</v>
      </c>
      <c r="E69" s="80">
        <v>93000</v>
      </c>
      <c r="F69" s="77"/>
      <c r="G69" s="81" t="s">
        <v>89</v>
      </c>
      <c r="H69" s="50"/>
    </row>
    <row r="70" spans="1:8" hidden="1" x14ac:dyDescent="0.2">
      <c r="A70" s="78" t="s">
        <v>51</v>
      </c>
      <c r="B70" s="9">
        <v>0.33</v>
      </c>
      <c r="C70" s="79">
        <v>66900</v>
      </c>
      <c r="D70" s="79">
        <v>78200</v>
      </c>
      <c r="E70" s="80">
        <v>88200</v>
      </c>
      <c r="F70" s="81"/>
      <c r="G70" s="81" t="s">
        <v>89</v>
      </c>
      <c r="H70" s="50"/>
    </row>
    <row r="71" spans="1:8" hidden="1" x14ac:dyDescent="0.2">
      <c r="A71" s="82" t="s">
        <v>52</v>
      </c>
      <c r="B71" s="83">
        <v>0.33</v>
      </c>
      <c r="C71" s="84">
        <v>70400</v>
      </c>
      <c r="D71" s="84">
        <v>82500</v>
      </c>
      <c r="E71" s="85">
        <v>93000</v>
      </c>
      <c r="F71" s="86"/>
      <c r="G71" s="86" t="s">
        <v>89</v>
      </c>
      <c r="H71" s="50"/>
    </row>
    <row r="72" spans="1:8" hidden="1" x14ac:dyDescent="0.2">
      <c r="A72" s="78" t="s">
        <v>53</v>
      </c>
      <c r="B72" s="9">
        <v>0.4</v>
      </c>
      <c r="C72" s="79">
        <v>37900</v>
      </c>
      <c r="D72" s="79">
        <v>44400</v>
      </c>
      <c r="E72" s="80">
        <v>50100</v>
      </c>
      <c r="F72" s="81"/>
      <c r="G72" s="81" t="s">
        <v>90</v>
      </c>
      <c r="H72" s="50"/>
    </row>
    <row r="73" spans="1:8" hidden="1" x14ac:dyDescent="0.2">
      <c r="A73" s="78" t="s">
        <v>54</v>
      </c>
      <c r="B73" s="9">
        <v>0.4</v>
      </c>
      <c r="C73" s="79">
        <v>37900</v>
      </c>
      <c r="D73" s="79">
        <v>44400</v>
      </c>
      <c r="E73" s="80">
        <v>50100</v>
      </c>
      <c r="F73" s="81"/>
      <c r="G73" s="81" t="s">
        <v>90</v>
      </c>
      <c r="H73" s="50"/>
    </row>
    <row r="74" spans="1:8" hidden="1" x14ac:dyDescent="0.2">
      <c r="A74" s="82" t="s">
        <v>55</v>
      </c>
      <c r="B74" s="83">
        <v>0.4</v>
      </c>
      <c r="C74" s="84">
        <v>37900</v>
      </c>
      <c r="D74" s="84">
        <v>44400</v>
      </c>
      <c r="E74" s="85">
        <v>50100</v>
      </c>
      <c r="F74" s="86"/>
      <c r="G74" s="86" t="s">
        <v>90</v>
      </c>
      <c r="H74" s="50"/>
    </row>
    <row r="75" spans="1:8" hidden="1" x14ac:dyDescent="0.2">
      <c r="A75" s="78" t="s">
        <v>56</v>
      </c>
      <c r="B75" s="9">
        <v>0.3</v>
      </c>
      <c r="C75" s="79">
        <v>82400</v>
      </c>
      <c r="D75" s="79">
        <v>96500</v>
      </c>
      <c r="E75" s="80">
        <v>108800</v>
      </c>
      <c r="F75" s="77"/>
      <c r="G75" s="81" t="s">
        <v>89</v>
      </c>
      <c r="H75" s="50"/>
    </row>
    <row r="76" spans="1:8" hidden="1" x14ac:dyDescent="0.2">
      <c r="A76" s="78" t="s">
        <v>57</v>
      </c>
      <c r="B76" s="9">
        <v>0.4</v>
      </c>
      <c r="C76" s="79">
        <v>39400</v>
      </c>
      <c r="D76" s="79">
        <v>46100</v>
      </c>
      <c r="E76" s="80">
        <v>52100</v>
      </c>
      <c r="F76" s="81"/>
      <c r="G76" s="81" t="s">
        <v>89</v>
      </c>
      <c r="H76" s="50"/>
    </row>
    <row r="77" spans="1:8" hidden="1" x14ac:dyDescent="0.2">
      <c r="A77" s="82" t="s">
        <v>58</v>
      </c>
      <c r="B77" s="83">
        <v>0.33</v>
      </c>
      <c r="C77" s="84">
        <v>67300</v>
      </c>
      <c r="D77" s="84">
        <v>79000</v>
      </c>
      <c r="E77" s="85">
        <v>89000</v>
      </c>
      <c r="F77" s="86"/>
      <c r="G77" s="86" t="s">
        <v>89</v>
      </c>
      <c r="H77" s="50"/>
    </row>
    <row r="78" spans="1:8" hidden="1" x14ac:dyDescent="0.2">
      <c r="A78" s="78" t="s">
        <v>59</v>
      </c>
      <c r="B78" s="9">
        <v>0.25</v>
      </c>
      <c r="C78" s="79">
        <v>114900</v>
      </c>
      <c r="D78" s="79">
        <v>134400</v>
      </c>
      <c r="E78" s="80">
        <v>151700</v>
      </c>
      <c r="F78" s="81"/>
      <c r="G78" s="81" t="s">
        <v>91</v>
      </c>
      <c r="H78" s="50"/>
    </row>
    <row r="79" spans="1:8" hidden="1" x14ac:dyDescent="0.2">
      <c r="A79" s="78" t="s">
        <v>60</v>
      </c>
      <c r="B79" s="9">
        <v>0.25</v>
      </c>
      <c r="C79" s="79">
        <v>126400</v>
      </c>
      <c r="D79" s="79">
        <v>148300</v>
      </c>
      <c r="E79" s="80">
        <v>167200</v>
      </c>
      <c r="F79" s="81"/>
      <c r="G79" s="81" t="s">
        <v>90</v>
      </c>
      <c r="H79" s="50"/>
    </row>
    <row r="80" spans="1:8" hidden="1" x14ac:dyDescent="0.2">
      <c r="A80" s="82" t="s">
        <v>61</v>
      </c>
      <c r="B80" s="83">
        <v>0.3</v>
      </c>
      <c r="C80" s="84">
        <v>80700</v>
      </c>
      <c r="D80" s="84">
        <v>94500</v>
      </c>
      <c r="E80" s="85">
        <v>106600</v>
      </c>
      <c r="F80" s="86"/>
      <c r="G80" s="86" t="s">
        <v>90</v>
      </c>
      <c r="H80" s="50"/>
    </row>
    <row r="81" spans="1:8" hidden="1" x14ac:dyDescent="0.2">
      <c r="A81" s="78" t="s">
        <v>62</v>
      </c>
      <c r="B81" s="9">
        <v>0.3</v>
      </c>
      <c r="C81" s="79">
        <v>83900</v>
      </c>
      <c r="D81" s="79">
        <v>98400</v>
      </c>
      <c r="E81" s="80">
        <v>110800</v>
      </c>
      <c r="F81" s="77"/>
      <c r="G81" s="81" t="s">
        <v>89</v>
      </c>
      <c r="H81" s="50"/>
    </row>
    <row r="82" spans="1:8" hidden="1" x14ac:dyDescent="0.2">
      <c r="A82" s="78" t="s">
        <v>63</v>
      </c>
      <c r="B82" s="9">
        <v>0.4</v>
      </c>
      <c r="C82" s="79">
        <v>37900</v>
      </c>
      <c r="D82" s="79">
        <v>44400</v>
      </c>
      <c r="E82" s="80">
        <v>50100</v>
      </c>
      <c r="F82" s="81"/>
      <c r="G82" s="81" t="s">
        <v>90</v>
      </c>
      <c r="H82" s="50"/>
    </row>
    <row r="83" spans="1:8" hidden="1" x14ac:dyDescent="0.2">
      <c r="A83" s="82" t="s">
        <v>64</v>
      </c>
      <c r="B83" s="83">
        <v>0.33</v>
      </c>
      <c r="C83" s="84">
        <v>70400</v>
      </c>
      <c r="D83" s="84">
        <v>82500</v>
      </c>
      <c r="E83" s="85">
        <v>93000</v>
      </c>
      <c r="F83" s="86"/>
      <c r="G83" s="86" t="s">
        <v>91</v>
      </c>
      <c r="H83" s="50"/>
    </row>
    <row r="84" spans="1:8" hidden="1" x14ac:dyDescent="0.2">
      <c r="A84" s="78" t="s">
        <v>65</v>
      </c>
      <c r="B84" s="9">
        <v>0.33</v>
      </c>
      <c r="C84" s="79">
        <v>70400</v>
      </c>
      <c r="D84" s="79">
        <v>82500</v>
      </c>
      <c r="E84" s="80">
        <v>92900</v>
      </c>
      <c r="F84" s="81"/>
      <c r="G84" s="81" t="s">
        <v>89</v>
      </c>
      <c r="H84" s="50"/>
    </row>
    <row r="85" spans="1:8" hidden="1" x14ac:dyDescent="0.2">
      <c r="A85" s="78" t="s">
        <v>66</v>
      </c>
      <c r="B85" s="9">
        <v>0.28000000000000003</v>
      </c>
      <c r="C85" s="79">
        <v>100800</v>
      </c>
      <c r="D85" s="79">
        <v>118200</v>
      </c>
      <c r="E85" s="80">
        <v>133300</v>
      </c>
      <c r="F85" s="81"/>
      <c r="G85" s="81" t="s">
        <v>91</v>
      </c>
      <c r="H85" s="50"/>
    </row>
    <row r="86" spans="1:8" hidden="1" x14ac:dyDescent="0.2">
      <c r="A86" s="82" t="s">
        <v>67</v>
      </c>
      <c r="B86" s="83">
        <v>0.33</v>
      </c>
      <c r="C86" s="84">
        <v>68300</v>
      </c>
      <c r="D86" s="84">
        <v>79700</v>
      </c>
      <c r="E86" s="85">
        <v>90000</v>
      </c>
      <c r="F86" s="86"/>
      <c r="G86" s="86" t="s">
        <v>89</v>
      </c>
      <c r="H86" s="50"/>
    </row>
    <row r="87" spans="1:8" hidden="1" x14ac:dyDescent="0.2">
      <c r="A87" s="78" t="s">
        <v>68</v>
      </c>
      <c r="B87" s="9">
        <v>0.33</v>
      </c>
      <c r="C87" s="79">
        <v>68300</v>
      </c>
      <c r="D87" s="79">
        <v>79700</v>
      </c>
      <c r="E87" s="80">
        <v>90000</v>
      </c>
      <c r="F87" s="81"/>
      <c r="G87" s="81" t="s">
        <v>91</v>
      </c>
      <c r="H87" s="50"/>
    </row>
    <row r="88" spans="1:8" hidden="1" x14ac:dyDescent="0.2">
      <c r="A88" s="78" t="s">
        <v>69</v>
      </c>
      <c r="B88" s="9">
        <v>0.4</v>
      </c>
      <c r="C88" s="79">
        <v>42300</v>
      </c>
      <c r="D88" s="79">
        <v>49500</v>
      </c>
      <c r="E88" s="80">
        <v>55800</v>
      </c>
      <c r="F88" s="81"/>
      <c r="G88" s="81" t="s">
        <v>89</v>
      </c>
      <c r="H88" s="50"/>
    </row>
    <row r="89" spans="1:8" hidden="1" x14ac:dyDescent="0.2">
      <c r="A89" s="82" t="s">
        <v>70</v>
      </c>
      <c r="B89" s="83">
        <v>0.4</v>
      </c>
      <c r="C89" s="84">
        <v>37900</v>
      </c>
      <c r="D89" s="84">
        <v>44400</v>
      </c>
      <c r="E89" s="85">
        <v>50100</v>
      </c>
      <c r="F89" s="86"/>
      <c r="G89" s="86" t="s">
        <v>90</v>
      </c>
      <c r="H89" s="50"/>
    </row>
    <row r="90" spans="1:8" hidden="1" x14ac:dyDescent="0.2">
      <c r="A90" s="78" t="s">
        <v>71</v>
      </c>
      <c r="B90" s="9">
        <v>0.3</v>
      </c>
      <c r="C90" s="79">
        <v>80700</v>
      </c>
      <c r="D90" s="79">
        <v>94500</v>
      </c>
      <c r="E90" s="80">
        <v>106600</v>
      </c>
      <c r="F90" s="77"/>
      <c r="G90" s="81" t="s">
        <v>89</v>
      </c>
      <c r="H90" s="50"/>
    </row>
    <row r="91" spans="1:8" hidden="1" x14ac:dyDescent="0.2">
      <c r="A91" s="78" t="s">
        <v>72</v>
      </c>
      <c r="B91" s="9">
        <v>0.33</v>
      </c>
      <c r="C91" s="79">
        <v>67300</v>
      </c>
      <c r="D91" s="79">
        <v>79000</v>
      </c>
      <c r="E91" s="80">
        <v>89000</v>
      </c>
      <c r="F91" s="81"/>
      <c r="G91" s="81" t="s">
        <v>89</v>
      </c>
      <c r="H91" s="50"/>
    </row>
    <row r="92" spans="1:8" hidden="1" x14ac:dyDescent="0.2">
      <c r="A92" s="82" t="s">
        <v>73</v>
      </c>
      <c r="B92" s="83">
        <v>0.35</v>
      </c>
      <c r="C92" s="84">
        <v>59100</v>
      </c>
      <c r="D92" s="84">
        <v>69500</v>
      </c>
      <c r="E92" s="85">
        <v>78200</v>
      </c>
      <c r="F92" s="86"/>
      <c r="G92" s="86" t="s">
        <v>89</v>
      </c>
      <c r="H92" s="50"/>
    </row>
    <row r="93" spans="1:8" hidden="1" x14ac:dyDescent="0.2">
      <c r="A93" s="78" t="s">
        <v>74</v>
      </c>
      <c r="B93" s="9">
        <v>0.3</v>
      </c>
      <c r="C93" s="79">
        <v>82400</v>
      </c>
      <c r="D93" s="79">
        <v>96500</v>
      </c>
      <c r="E93" s="80">
        <v>108800</v>
      </c>
      <c r="F93" s="81"/>
      <c r="G93" s="81" t="s">
        <v>89</v>
      </c>
      <c r="H93" s="50"/>
    </row>
    <row r="94" spans="1:8" hidden="1" x14ac:dyDescent="0.2">
      <c r="A94" s="78" t="s">
        <v>75</v>
      </c>
      <c r="B94" s="9">
        <v>0.33</v>
      </c>
      <c r="C94" s="79">
        <v>70400</v>
      </c>
      <c r="D94" s="79">
        <v>82500</v>
      </c>
      <c r="E94" s="80">
        <v>93000</v>
      </c>
      <c r="F94" s="81"/>
      <c r="G94" s="81" t="s">
        <v>89</v>
      </c>
      <c r="H94" s="50"/>
    </row>
    <row r="95" spans="1:8" hidden="1" x14ac:dyDescent="0.2">
      <c r="A95" s="82" t="s">
        <v>76</v>
      </c>
      <c r="B95" s="83">
        <v>0.33</v>
      </c>
      <c r="C95" s="84">
        <v>65800</v>
      </c>
      <c r="D95" s="84">
        <v>76900</v>
      </c>
      <c r="E95" s="85">
        <v>86800</v>
      </c>
      <c r="F95" s="86"/>
      <c r="G95" s="86" t="s">
        <v>89</v>
      </c>
      <c r="H95" s="50"/>
    </row>
    <row r="96" spans="1:8" hidden="1" x14ac:dyDescent="0.2">
      <c r="A96" s="78" t="s">
        <v>77</v>
      </c>
      <c r="B96" s="9">
        <v>0.4</v>
      </c>
      <c r="C96" s="79">
        <v>37900</v>
      </c>
      <c r="D96" s="79">
        <v>44400</v>
      </c>
      <c r="E96" s="80">
        <v>50100</v>
      </c>
      <c r="F96" s="81"/>
      <c r="G96" s="81" t="s">
        <v>90</v>
      </c>
      <c r="H96" s="50"/>
    </row>
    <row r="97" spans="1:8" hidden="1" x14ac:dyDescent="0.2">
      <c r="A97" s="78" t="s">
        <v>78</v>
      </c>
      <c r="B97" s="9">
        <v>0.4</v>
      </c>
      <c r="C97" s="79">
        <v>37900</v>
      </c>
      <c r="D97" s="79">
        <v>44400</v>
      </c>
      <c r="E97" s="80">
        <v>50100</v>
      </c>
      <c r="F97" s="81"/>
      <c r="G97" s="81" t="s">
        <v>90</v>
      </c>
      <c r="H97" s="50"/>
    </row>
    <row r="98" spans="1:8" hidden="1" x14ac:dyDescent="0.2">
      <c r="A98" s="82" t="s">
        <v>79</v>
      </c>
      <c r="B98" s="83">
        <v>0.4</v>
      </c>
      <c r="C98" s="84">
        <v>37900</v>
      </c>
      <c r="D98" s="84">
        <v>44400</v>
      </c>
      <c r="E98" s="85">
        <v>50100</v>
      </c>
      <c r="F98" s="86"/>
      <c r="G98" s="86" t="s">
        <v>90</v>
      </c>
      <c r="H98" s="50"/>
    </row>
    <row r="99" spans="1:8" hidden="1" x14ac:dyDescent="0.2">
      <c r="A99" s="78" t="s">
        <v>80</v>
      </c>
      <c r="B99" s="9">
        <v>0.35</v>
      </c>
      <c r="C99" s="79">
        <v>58300</v>
      </c>
      <c r="D99" s="79">
        <v>68300</v>
      </c>
      <c r="E99" s="80">
        <v>76900</v>
      </c>
      <c r="F99" s="77"/>
      <c r="G99" s="81" t="s">
        <v>89</v>
      </c>
      <c r="H99" s="50"/>
    </row>
    <row r="100" spans="1:8" hidden="1" x14ac:dyDescent="0.2">
      <c r="A100" s="78" t="s">
        <v>81</v>
      </c>
      <c r="B100" s="9">
        <v>0.33</v>
      </c>
      <c r="C100" s="79">
        <v>67700</v>
      </c>
      <c r="D100" s="79">
        <v>79400</v>
      </c>
      <c r="E100" s="80">
        <v>89500</v>
      </c>
      <c r="F100" s="81"/>
      <c r="G100" s="81" t="s">
        <v>90</v>
      </c>
      <c r="H100" s="50"/>
    </row>
    <row r="101" spans="1:8" hidden="1" x14ac:dyDescent="0.2">
      <c r="A101" s="82" t="s">
        <v>82</v>
      </c>
      <c r="B101" s="83">
        <v>0.35</v>
      </c>
      <c r="C101" s="84">
        <v>59600</v>
      </c>
      <c r="D101" s="84">
        <v>69700</v>
      </c>
      <c r="E101" s="85">
        <v>78700</v>
      </c>
      <c r="F101" s="86"/>
      <c r="G101" s="86" t="s">
        <v>90</v>
      </c>
      <c r="H101" s="50"/>
    </row>
    <row r="102" spans="1:8" ht="13.5" hidden="1" thickBot="1" x14ac:dyDescent="0.25">
      <c r="A102" s="87" t="s">
        <v>83</v>
      </c>
      <c r="B102" s="88">
        <v>0.4</v>
      </c>
      <c r="C102" s="89">
        <v>37900</v>
      </c>
      <c r="D102" s="89">
        <v>44400</v>
      </c>
      <c r="E102" s="90">
        <v>50100</v>
      </c>
      <c r="F102" s="91"/>
      <c r="G102" s="91" t="s">
        <v>90</v>
      </c>
      <c r="H102" s="59"/>
    </row>
    <row r="103" spans="1:8" hidden="1" x14ac:dyDescent="0.2">
      <c r="A103" s="12"/>
      <c r="B103" s="12"/>
      <c r="C103" s="12"/>
      <c r="D103" s="12"/>
      <c r="E103" s="12"/>
      <c r="F103" s="12"/>
      <c r="G103" s="12"/>
    </row>
    <row r="104" spans="1:8" hidden="1" x14ac:dyDescent="0.2">
      <c r="A104" s="51" t="s">
        <v>95</v>
      </c>
    </row>
    <row r="105" spans="1:8" hidden="1" x14ac:dyDescent="0.2">
      <c r="A105" s="51" t="s">
        <v>93</v>
      </c>
    </row>
    <row r="106" spans="1:8" hidden="1" x14ac:dyDescent="0.2">
      <c r="A106" s="51" t="s">
        <v>94</v>
      </c>
    </row>
    <row r="107" spans="1:8" hidden="1" x14ac:dyDescent="0.2"/>
    <row r="108" spans="1:8" hidden="1" x14ac:dyDescent="0.2">
      <c r="A108" s="11" t="s">
        <v>97</v>
      </c>
      <c r="B108" s="93">
        <v>6000000</v>
      </c>
      <c r="C108" s="93"/>
    </row>
    <row r="109" spans="1:8" hidden="1" x14ac:dyDescent="0.2"/>
    <row r="110" spans="1:8" hidden="1" x14ac:dyDescent="0.2">
      <c r="A110" s="51" t="s">
        <v>95</v>
      </c>
    </row>
    <row r="111" spans="1:8" hidden="1" x14ac:dyDescent="0.2">
      <c r="A111" s="62" t="s">
        <v>106</v>
      </c>
    </row>
    <row r="112" spans="1:8" hidden="1" x14ac:dyDescent="0.2">
      <c r="A112" s="62" t="s">
        <v>107</v>
      </c>
    </row>
    <row r="113" spans="1:1" hidden="1" x14ac:dyDescent="0.2">
      <c r="A113" s="62" t="s">
        <v>108</v>
      </c>
    </row>
    <row r="114" spans="1:1" hidden="1" x14ac:dyDescent="0.2">
      <c r="A114" s="11" t="s">
        <v>109</v>
      </c>
    </row>
    <row r="115" spans="1:1" hidden="1" x14ac:dyDescent="0.2">
      <c r="A115" s="11" t="s">
        <v>110</v>
      </c>
    </row>
    <row r="116" spans="1:1" hidden="1" x14ac:dyDescent="0.2"/>
    <row r="117" spans="1:1" hidden="1" x14ac:dyDescent="0.2">
      <c r="A117" s="51" t="s">
        <v>95</v>
      </c>
    </row>
    <row r="118" spans="1:1" hidden="1" x14ac:dyDescent="0.2">
      <c r="A118" s="11" t="s">
        <v>98</v>
      </c>
    </row>
    <row r="119" spans="1:1" hidden="1" x14ac:dyDescent="0.2">
      <c r="A119" s="52" t="s">
        <v>99</v>
      </c>
    </row>
    <row r="120" spans="1:1" hidden="1" x14ac:dyDescent="0.2">
      <c r="A120" s="11" t="s">
        <v>100</v>
      </c>
    </row>
    <row r="121" spans="1:1" hidden="1" x14ac:dyDescent="0.2"/>
    <row r="122" spans="1:1" hidden="1" x14ac:dyDescent="0.2">
      <c r="A122" s="44" t="s">
        <v>96</v>
      </c>
    </row>
    <row r="123" spans="1:1" hidden="1" x14ac:dyDescent="0.2">
      <c r="A123" s="53" t="str">
        <f>IF(AND(G9=A114,OR(G10=A119,G10=A120),G11=A106),10%,IF(AND(G9=A114,G10=A118,G11=A106),15%,IF(AND(G9=A114,G11=A105),30%,IF(AND(G9=A115,G11=A106),0%,IF(AND(G9=A115,G11=A105),30%,"TBD")))))</f>
        <v>TBD</v>
      </c>
    </row>
  </sheetData>
  <sheetProtection algorithmName="SHA-512" hashValue="21QpKtwH65P2ly+9qb6NdGr+e98gaH47Sx7GKphx9nek+A/OBkLU18CIdbTgrehh8HYJmx04zN3j3diakl8Aug==" saltValue="2YQ65M+fdE8pMGCyEU+E1A==" spinCount="100000" sheet="1" selectLockedCells="1"/>
  <mergeCells count="19">
    <mergeCell ref="A5:G5"/>
    <mergeCell ref="I34:J44"/>
    <mergeCell ref="A1:B1"/>
    <mergeCell ref="C1:G1"/>
    <mergeCell ref="A2:G2"/>
    <mergeCell ref="A3:G3"/>
    <mergeCell ref="A4:G4"/>
    <mergeCell ref="G27:G30"/>
    <mergeCell ref="B27:B30"/>
    <mergeCell ref="D27:D29"/>
    <mergeCell ref="E27:E29"/>
    <mergeCell ref="F27:F30"/>
    <mergeCell ref="I18:O18"/>
    <mergeCell ref="K7:L7"/>
    <mergeCell ref="R7:S7"/>
    <mergeCell ref="N7:O7"/>
    <mergeCell ref="U7:V7"/>
    <mergeCell ref="B108:C108"/>
    <mergeCell ref="I20:N21"/>
  </mergeCells>
  <conditionalFormatting sqref="G26">
    <cfRule type="expression" dxfId="5" priority="26">
      <formula>SUM(G19:G25)&gt;G26</formula>
    </cfRule>
  </conditionalFormatting>
  <conditionalFormatting sqref="F27:F30">
    <cfRule type="expression" dxfId="4" priority="25">
      <formula>SUM(G19:G25)&gt;G26</formula>
    </cfRule>
  </conditionalFormatting>
  <conditionalFormatting sqref="H36:H102">
    <cfRule type="expression" dxfId="3" priority="7">
      <formula>COUNTA($A$36:$A36)/3=ROUND(COUNTA($A$36:$A36)/3,0)</formula>
    </cfRule>
  </conditionalFormatting>
  <conditionalFormatting sqref="I23">
    <cfRule type="expression" dxfId="2" priority="3">
      <formula>ROUNDUP(25%*B$26,0)&lt;B23</formula>
    </cfRule>
  </conditionalFormatting>
  <conditionalFormatting sqref="I20:N21">
    <cfRule type="expression" dxfId="1" priority="2">
      <formula>ROUNDUP(30%*B$26,0)&gt;B20+B21</formula>
    </cfRule>
  </conditionalFormatting>
  <conditionalFormatting sqref="I18:O18">
    <cfRule type="expression" dxfId="0" priority="1">
      <formula>RIGHT($I18,23)="meet the requirements.)"</formula>
    </cfRule>
  </conditionalFormatting>
  <dataValidations xWindow="531" yWindow="472" count="4">
    <dataValidation type="list" allowBlank="1" showInputMessage="1" showErrorMessage="1" sqref="G7" xr:uid="{00000000-0002-0000-0000-000000000000}">
      <formula1>$A$35:$A$102</formula1>
    </dataValidation>
    <dataValidation type="list" allowBlank="1" showInputMessage="1" showErrorMessage="1" sqref="G14 G11" xr:uid="{22A46BD2-A9B7-43B9-83F5-62EFF7A0AFC7}">
      <formula1>$A$104:$A$106</formula1>
    </dataValidation>
    <dataValidation type="list" allowBlank="1" showInputMessage="1" showErrorMessage="1" sqref="G9" xr:uid="{6BED0E39-88C6-4BC4-B192-CC2919FC9C1D}">
      <formula1>$A$110:$A$115</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7" orientation="portrait" r:id="rId1"/>
  <rowBreaks count="1" manualBreakCount="1">
    <brk id="30"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2.xml><?xml version="1.0" encoding="utf-8"?>
<ds:datastoreItem xmlns:ds="http://schemas.openxmlformats.org/officeDocument/2006/customXml" ds:itemID="{C6CB79A7-AAA4-4F15-BC3F-566DCF15C10A}">
  <ds:schemaRefs>
    <ds:schemaRef ds:uri="http://purl.org/dc/elements/1.1/"/>
    <ds:schemaRef ds:uri="a84349eb-4374-47bc-83f0-36d288636098"/>
    <ds:schemaRef ds:uri="http://www.w3.org/XML/1998/namespace"/>
    <ds:schemaRef ds:uri="68dfe011-c19e-4dbd-a5cd-00e4d25ab099"/>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84978C7-6724-4B67-BEE3-2CCBF9F23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cp:lastPrinted>2019-11-04T20:05:14Z</cp:lastPrinted>
  <dcterms:created xsi:type="dcterms:W3CDTF">2015-07-20T21:55:29Z</dcterms:created>
  <dcterms:modified xsi:type="dcterms:W3CDTF">2020-10-22T13:58:07Z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fec20519-6574-4935-b51b-0f893eadd9be</vt:lpwstr>
  </property>
</Properties>
</file>