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ttps://floridahousing.sharepoint.com/sites/MF/allocations/Combined Cycle/2021 Rules and RFAs/2021-103 Homeless/Pro Forma/"/>
    </mc:Choice>
  </mc:AlternateContent>
  <xr:revisionPtr revIDLastSave="1" documentId="8_{2C1E7B9C-72C0-4ACF-867D-459BC01F53AB}" xr6:coauthVersionLast="45" xr6:coauthVersionMax="45" xr10:uidLastSave="{7574763C-6666-40B6-AD6C-D1D0B0FEB263}"/>
  <workbookProtection workbookAlgorithmName="SHA-512" workbookHashValue="dboqQ1arU0Uu6pFE9XQaubbl3IDSYlMPmWANM2+jScVE6R4OxITXsHEamLWRGVVY4f9iPDbjYVWD/nIq98GIIA==" workbookSaltValue="jzb8CSbHsxSc38GzZNdj/Q==" workbookSpinCount="100000" lockStructure="1"/>
  <bookViews>
    <workbookView xWindow="22932" yWindow="-108" windowWidth="23256" windowHeight="12576" xr2:uid="{00000000-000D-0000-FFFF-FFFF00000000}"/>
  </bookViews>
  <sheets>
    <sheet name="Sheet1" sheetId="1" r:id="rId1"/>
  </sheets>
  <definedNames>
    <definedName name="Acq_elig">Sheet1!$H$169</definedName>
    <definedName name="Acq_inelig">Sheet1!$K$169</definedName>
    <definedName name="Acq_total">Sheet1!$N$169</definedName>
    <definedName name="Acquisition_eligible">Sheet1!$H$174</definedName>
    <definedName name="Acquisition_ineligible">Sheet1!$K$174</definedName>
    <definedName name="Acquisition_total">Sheet1!$N$174</definedName>
    <definedName name="Actual_Accessory_eligible">Sheet1!$H$39</definedName>
    <definedName name="Actual_Accessory_ineligible">Sheet1!$K$39</definedName>
    <definedName name="Actual_Accessory_total">Sheet1!$N$39</definedName>
    <definedName name="Actual_commonareas_eligible">Sheet1!$H$49</definedName>
    <definedName name="Actual_commonareas_ineligible">Sheet1!$K$49</definedName>
    <definedName name="Actual_commonareas_total">Sheet1!$N$49</definedName>
    <definedName name="Actual_Constructioncost_eligible">Sheet1!$H$57</definedName>
    <definedName name="Actual_Constructioncost_ineligible">Sheet1!$K$57</definedName>
    <definedName name="Actual_Constructioncost_total">Sheet1!$N$57</definedName>
    <definedName name="Actual_Demolition_eligible">Sheet1!$H$41</definedName>
    <definedName name="Actual_Demolition_ineligible">Sheet1!$K$41</definedName>
    <definedName name="Actual_Demolition_total">Sheet1!$N$41</definedName>
    <definedName name="Actual_existingrental_eligible">Sheet1!$H$51</definedName>
    <definedName name="Actual_existingrental_ineligible">Sheet1!$K$51</definedName>
    <definedName name="Actual_existingrental_total">Sheet1!$N$51</definedName>
    <definedName name="Actual_GCfee_eligible">Sheet1!$H$60</definedName>
    <definedName name="Actual_GCfee_ineligible">Sheet1!$K$60</definedName>
    <definedName name="Actual_GCfee_total">Sheet1!$N$60</definedName>
    <definedName name="Actual_NewUnits_eligible">Sheet1!$H$43</definedName>
    <definedName name="Actual_NewUnits_ineligible">Sheet1!$K$43</definedName>
    <definedName name="Actual_NewUnits_total">Sheet1!$N$43</definedName>
    <definedName name="Actual_Offsite_eligible">Sheet1!$H$45</definedName>
    <definedName name="Actual_Offsite_ineligible">Sheet1!$K$45</definedName>
    <definedName name="Actual_Offsite_total">Sheet1!$N$45</definedName>
    <definedName name="Actual_Other_eligible">Sheet1!$H$55</definedName>
    <definedName name="Actual_Other_ineligible">Sheet1!$K$55</definedName>
    <definedName name="Actual_Other_total">Sheet1!$N$55</definedName>
    <definedName name="Actual_recreational_eligible">Sheet1!$H$47</definedName>
    <definedName name="Actual_recreational_ineligible">Sheet1!$K$47</definedName>
    <definedName name="Actual_recreational_total">Sheet1!$N$47</definedName>
    <definedName name="Actual_sitework_eligible">Sheet1!$H$53</definedName>
    <definedName name="Actual_sitework_ineligible">Sheet1!$K$53</definedName>
    <definedName name="Actual_sitework_total">Sheet1!$N$53</definedName>
    <definedName name="Actual_TotalConstructioncost_eligible">Sheet1!$H$63</definedName>
    <definedName name="Actual_TotalConstructioncost_ineligible">Sheet1!$K$63</definedName>
    <definedName name="Actual_TotalConstructioncost_total">Sheet1!$N$63</definedName>
    <definedName name="ConstrAnalysis__1st_Mtg">Sheet1!$H$271</definedName>
    <definedName name="ConstrAnalysis__1st_Type">Sheet1!$K$271</definedName>
    <definedName name="ConstrAnalysis__2nd_Mtg">Sheet1!$H$273</definedName>
    <definedName name="ConstrAnalysis__2nd_Type">Sheet1!$K$273</definedName>
    <definedName name="ConstrAnalysis__3rd_Mtg">Sheet1!$H$275</definedName>
    <definedName name="ConstrAnalysis__3rd_Type">Sheet1!$K$275</definedName>
    <definedName name="ConstrAnalysis__4th_Mtg">Sheet1!$H$277</definedName>
    <definedName name="ConstrAnalysis__4th_Type">Sheet1!$K$277</definedName>
    <definedName name="ConstrAnalysis__5th_Mtg">Sheet1!$H$279</definedName>
    <definedName name="ConstrAnalysis__5th_Type">Sheet1!$K$279</definedName>
    <definedName name="ConstrAnalysis__6th_Mtg">Sheet1!$H$281</definedName>
    <definedName name="ConstrAnalysis__6th_Type">Sheet1!$K$281</definedName>
    <definedName name="ConstrAnalysis__7th_Mtg">Sheet1!$H$283</definedName>
    <definedName name="ConstrAnalysis__7th_Type">Sheet1!$K$283</definedName>
    <definedName name="ConstrAnalysis__8th_Mtg">Sheet1!$H$285</definedName>
    <definedName name="ConstrAnalysis__8th_Type">Sheet1!$K$285</definedName>
    <definedName name="ConstrAnalysis__9th_Mtg">Sheet1!$H$287</definedName>
    <definedName name="ConstrAnalysis__9th_Type">Sheet1!$K$287</definedName>
    <definedName name="ConstrAnalysis_10th_Mtg">Sheet1!$H$289</definedName>
    <definedName name="ConstrAnalysis_10th_Type">Sheet1!$K$289</definedName>
    <definedName name="ConstrAnalysis_deferredfee">Sheet1!$H$303</definedName>
    <definedName name="ConstrAnalysis_HC">Sheet1!$H$297</definedName>
    <definedName name="ConstrAnalysis_other1">Sheet1!$H$299</definedName>
    <definedName name="ConstrAnalysis_other1_title">Sheet1!$E$299</definedName>
    <definedName name="ConstrAnalysis_other2">Sheet1!$H$301</definedName>
    <definedName name="ConstrAnalysis_other2_title">Sheet1!$E$301</definedName>
    <definedName name="ConstrAnalysis_surplus">Sheet1!$H$309</definedName>
    <definedName name="ConstrAnalysis_totalsources">Sheet1!$H$305</definedName>
    <definedName name="Contingency_Hard_eligible">Sheet1!$H$65</definedName>
    <definedName name="Contingency_Hard_ineligible">Sheet1!$K$65</definedName>
    <definedName name="Contingency_Hard_total">Sheet1!$N$65</definedName>
    <definedName name="Contingency_Soft_eligible">Sheet1!$H$131</definedName>
    <definedName name="Contingency_Soft_ineligible">Sheet1!$K$131</definedName>
    <definedName name="Contingency_Soft_total">Sheet1!$N$131</definedName>
    <definedName name="Description_acquisition_other">Sheet1!$F$242</definedName>
    <definedName name="Description_Actual_offsite">Sheet1!$F$209</definedName>
    <definedName name="Description_Actual_other">Sheet1!$F$213</definedName>
    <definedName name="Description_financial_other">Sheet1!$F$235</definedName>
    <definedName name="Description_General_impact">Sheet1!$F$220</definedName>
    <definedName name="Description_General_other">Sheet1!$F$226</definedName>
    <definedName name="Developer_fee_acq_eligible">Sheet1!$H$180</definedName>
    <definedName name="Developer_fee_acq_ineligible">Sheet1!$K$180</definedName>
    <definedName name="Developer_fee_acq_total">Sheet1!$N$180</definedName>
    <definedName name="Developer_fee_eligible">Sheet1!$H$187</definedName>
    <definedName name="Developer_fee_ineligible">Sheet1!$K$187</definedName>
    <definedName name="Developer_fee_non_acq_eligible">Sheet1!$H$182</definedName>
    <definedName name="Developer_fee_non_acq_ineligible">Sheet1!$K$182</definedName>
    <definedName name="Developer_fee_non_acq_total">Sheet1!$N$182</definedName>
    <definedName name="Developer_fee_Percentage_dropdown">Sheet1!$Q$182</definedName>
    <definedName name="Developer_fee_total">Sheet1!$N$187</definedName>
    <definedName name="Development_Cost_eligible">Sheet1!$H$176</definedName>
    <definedName name="Development_Cost_ineligible">Sheet1!$K$176</definedName>
    <definedName name="Development_Cost_total">Sheet1!$N$176</definedName>
    <definedName name="ELIData">Sheet1!$E$480:$H$547</definedName>
    <definedName name="Excel_RFA_Number">Sheet1!$B$2</definedName>
    <definedName name="Financial_bridge_commitment_eligible">Sheet1!$H$159</definedName>
    <definedName name="Financial_bridge_commitment_ineligible">Sheet1!$K$159</definedName>
    <definedName name="Financial_bridge_commitment_total">Sheet1!$N$159</definedName>
    <definedName name="Financial_bridge_interest_eligible">Sheet1!$H$161</definedName>
    <definedName name="Financial_bridge_interest_ineligible">Sheet1!$K$161</definedName>
    <definedName name="Financial_bridge_interest_total">Sheet1!$N$161</definedName>
    <definedName name="Financial_constr_commitment_eligible">Sheet1!$H$140</definedName>
    <definedName name="Financial_constr_commitment_ineligible">Sheet1!$K$140</definedName>
    <definedName name="Financial_constr_commitment_total">Sheet1!$N$140</definedName>
    <definedName name="Financial_constr_enhancement_eligible">Sheet1!$H$143</definedName>
    <definedName name="Financial_constr_enhancement_ineligible">Sheet1!$K$143</definedName>
    <definedName name="Financial_constr_enhancement_total">Sheet1!$N$143</definedName>
    <definedName name="Financial_constr_interest_eligible">Sheet1!$H$145</definedName>
    <definedName name="Financial_constr_interest_ineligible">Sheet1!$K$145</definedName>
    <definedName name="Financial_constr_interest_total">Sheet1!$N$145</definedName>
    <definedName name="Financial_nonperm_closing_eligible">Sheet1!$H$148</definedName>
    <definedName name="Financial_nonperm_closing_ineligible">Sheet1!$K$148</definedName>
    <definedName name="Financial_nonperm_closing_total">Sheet1!$N$148</definedName>
    <definedName name="Financial_other_eligible">Sheet1!$H$163</definedName>
    <definedName name="Financial_other_ineligible">Sheet1!$K$163</definedName>
    <definedName name="Financial_other_total">Sheet1!$N$163</definedName>
    <definedName name="Financial_perm_closing_ineligible">Sheet1!$K$156</definedName>
    <definedName name="Financial_perm_closing_total">Sheet1!$N$156</definedName>
    <definedName name="Financial_perm_commitment_ineligible">Sheet1!$K$151</definedName>
    <definedName name="Financial_perm_commitment_total">Sheet1!$N$151</definedName>
    <definedName name="Financial_perm_enhancement_ineligible">Sheet1!$K$154</definedName>
    <definedName name="Financial_perm_enhancement_total">Sheet1!$N$154</definedName>
    <definedName name="Financial_total_eligible">Sheet1!$H$165</definedName>
    <definedName name="Financial_total_ineligible">Sheet1!$K$165</definedName>
    <definedName name="Financial_totalcosts_total">Sheet1!$N$165</definedName>
    <definedName name="FundingTable">Sheet1!$E$481:$X$491</definedName>
    <definedName name="General_Accounting_eligible">Sheet1!$H$73</definedName>
    <definedName name="General_Accounting_ineligible">Sheet1!$K$73</definedName>
    <definedName name="General_Accounting_total">Sheet1!$N$73</definedName>
    <definedName name="General_adminfee_ineligible">Sheet1!$K$91</definedName>
    <definedName name="General_adminfee_total">Sheet1!$N$91</definedName>
    <definedName name="General_applicationfee_ineligible">Sheet1!$K$93</definedName>
    <definedName name="General_applicationfee_total">Sheet1!$N$93</definedName>
    <definedName name="General_Appraisal_eligible">Sheet1!$H$75</definedName>
    <definedName name="General_Appraisal_ineligible">Sheet1!$K$75</definedName>
    <definedName name="General_Appraisal_total">Sheet1!$N$75</definedName>
    <definedName name="General_Architectfeedesign_eligible">Sheet1!$H$77</definedName>
    <definedName name="General_Architectfeedesign_ineligible">Sheet1!$K$77</definedName>
    <definedName name="General_Architectfeedesign_total">Sheet1!$N$77</definedName>
    <definedName name="General_Architectfeesupervision_eligible">Sheet1!$H$79</definedName>
    <definedName name="General_Architectfeesupervision_ineligible">Sheet1!$K$79</definedName>
    <definedName name="General_Architectfeesupervision_total">Sheet1!$N$79</definedName>
    <definedName name="General_brokeragefee_ineligible">Sheet1!#REF!</definedName>
    <definedName name="General_brokeragefee_total">Sheet1!#REF!</definedName>
    <definedName name="General_builder_ins_eligible">Sheet1!$H$81</definedName>
    <definedName name="General_builder_ins_ineligible">Sheet1!$K$81</definedName>
    <definedName name="General_builder_ins_total">Sheet1!$N$81</definedName>
    <definedName name="General_capitalneeds_eligible">Sheet1!$H$85</definedName>
    <definedName name="General_capitalneeds_ineligible">Sheet1!$K$85</definedName>
    <definedName name="General_capitalneeds_total">Sheet1!$N$85</definedName>
    <definedName name="General_compliancefee_ineligible">Sheet1!$K$95</definedName>
    <definedName name="General_compliancefee_total">Sheet1!$N$95</definedName>
    <definedName name="General_cu_fee_eligible">Sheet1!$H$97</definedName>
    <definedName name="General_cu_fee_ineligible">Sheet1!$K$97</definedName>
    <definedName name="General_cu_fee_total">Sheet1!$N$97</definedName>
    <definedName name="General_engineering_eligible">Sheet1!$H$87</definedName>
    <definedName name="General_engineering_ineligible">Sheet1!$K$87</definedName>
    <definedName name="General_engineering_total">Sheet1!$N$87</definedName>
    <definedName name="General_environmental_eligible">Sheet1!$H$89</definedName>
    <definedName name="General_environmental_ineligible">Sheet1!$K$89</definedName>
    <definedName name="General_environmental_total">Sheet1!$N$89</definedName>
    <definedName name="General_HERS_eligible">Sheet1!$H$100</definedName>
    <definedName name="General_HERS_ineligible">Sheet1!$K$100</definedName>
    <definedName name="General_HERS_total">Sheet1!$N$100</definedName>
    <definedName name="General_Impact_eligible">Sheet1!$H$102</definedName>
    <definedName name="General_Impact_ineligible">Sheet1!$K$102</definedName>
    <definedName name="General_Impact_total">Sheet1!$N$102</definedName>
    <definedName name="General_inspectionfee_eligible">Sheet1!$H$104</definedName>
    <definedName name="General_inspectionfee_ineligible">Sheet1!$K$104</definedName>
    <definedName name="General_inspectionfee_total">Sheet1!$N$104</definedName>
    <definedName name="General_insurance_eligible">Sheet1!$H$106</definedName>
    <definedName name="General_insurance_ineligible">Sheet1!$K$106</definedName>
    <definedName name="General_insurance_total">Sheet1!$N$106</definedName>
    <definedName name="General_legalfee_eligible">Sheet1!$H$108</definedName>
    <definedName name="General_legalfee_ineligible">Sheet1!$K$108</definedName>
    <definedName name="General_legalfee_total">Sheet1!$N$108</definedName>
    <definedName name="General_marketing_ineligible">Sheet1!$K$112</definedName>
    <definedName name="General_marketing_total">Sheet1!$N$112</definedName>
    <definedName name="General_marketstudy_eligible">Sheet1!$H$110</definedName>
    <definedName name="General_marketstudy_ineligible">Sheet1!$K$110</definedName>
    <definedName name="General_marketstudy_total">Sheet1!$N$110</definedName>
    <definedName name="General_other_eligible">Sheet1!$H$126</definedName>
    <definedName name="General_other_ineligible">Sheet1!$K$126</definedName>
    <definedName name="General_other_total">Sheet1!$N$126</definedName>
    <definedName name="General_permit_eligible">Sheet1!$H$83</definedName>
    <definedName name="General_permit_ineligible">Sheet1!$K$83</definedName>
    <definedName name="General_permit_total">Sheet1!$N$83</definedName>
    <definedName name="General_propertytaxes_eligible">Sheet1!$H$114</definedName>
    <definedName name="General_propertytaxes_ineligible">Sheet1!$K$114</definedName>
    <definedName name="General_propertytaxes_total">Sheet1!$N$114</definedName>
    <definedName name="General_relocation_eligible">Sheet1!$H$120</definedName>
    <definedName name="General_relocation_ineligible">Sheet1!$K$120</definedName>
    <definedName name="General_relocation_total">Sheet1!$N$120</definedName>
    <definedName name="General_soiltest_eligible">Sheet1!$H$116</definedName>
    <definedName name="General_soiltest_ineligible">Sheet1!$K$116</definedName>
    <definedName name="General_soiltest_total">Sheet1!$N$116</definedName>
    <definedName name="General_survey_eligible">Sheet1!$H$118</definedName>
    <definedName name="General_survey_ineligible">Sheet1!$K$118</definedName>
    <definedName name="General_survey_total">Sheet1!$N$118</definedName>
    <definedName name="General_titleinsurance_eligible">Sheet1!$H$122</definedName>
    <definedName name="General_titleinsurance_ineligible">Sheet1!$K$122</definedName>
    <definedName name="General_titleinsurance_total">Sheet1!$N$122</definedName>
    <definedName name="General_totaldevelopmentcost_eligible">Sheet1!$H$129</definedName>
    <definedName name="General_totaldevelopmentcost_ineligible">Sheet1!$K$129</definedName>
    <definedName name="General_totaldevelopmentcost_total">Sheet1!$N$129</definedName>
    <definedName name="General_utilityconnection_eligible">Sheet1!$H$124</definedName>
    <definedName name="General_utilityconnection_ineligible">Sheet1!$K$124</definedName>
    <definedName name="General_utilityconnection_total">Sheet1!$N$124</definedName>
    <definedName name="greyed01">Sheet1!$N$108,Sheet1!$N$106,Sheet1!$N$104,Sheet1!$N$102,Sheet1!$N$100,Sheet1!$N$97,Sheet1!$N$95,Sheet1!$N$93,Sheet1!$N$91,Sheet1!$N$89,Sheet1!$N$87,Sheet1!$N$85,Sheet1!#REF!,Sheet1!#REF!,Sheet1!$N$83,Sheet1!$N$81,Sheet1!$N$79,Sheet1!#REF!,Sheet1!$N$75,Sheet1!$N$73,Sheet1!$N$63,Sheet1!$N$60,Sheet1!$N$57,Sheet1!$N$55,Sheet1!$N$53,Sheet1!$N$51,Sheet1!$N$49,Sheet1!$N$47,Sheet1!$N$45,Sheet1!$N$43,Sheet1!$N$41,Sheet1!$N$39,Sheet1!$K$63,Sheet1!$K$57,Sheet1!$H$57,Sheet1!$H$63</definedName>
    <definedName name="greyed02">Sheet1!$N$110,Sheet1!$N$112,Sheet1!$N$114,Sheet1!$N$116,Sheet1!$N$118,Sheet1!$N$122,Sheet1!$N$124,Sheet1!$N$126,Sheet1!$N$129,Sheet1!$K$129,Sheet1!$H$129,Sheet1!#REF!,Sheet1!$N$140,Sheet1!$N$143,Sheet1!$N$145,Sheet1!$N$151,Sheet1!$N$154,Sheet1!$N$156,Sheet1!$N$159,Sheet1!$N$161,Sheet1!$N$148,Sheet1!$N$163,Sheet1!$N$165,Sheet1!$K$165,Sheet1!$H$165,Sheet1!$N$169,Sheet1!$N$171,Sheet1!$N$176,Sheet1!$K$176,Sheet1!$H$176,Sheet1!$N$187</definedName>
    <definedName name="greyed03">Sheet1!$N$191,Sheet1!$N$193,Sheet1!$K$193,Sheet1!$H$193,Sheet1!$H$267,Sheet1!$H$305,Sheet1!$H$309,Sheet1!$H$319,Sheet1!#REF!,Sheet1!#REF!,Sheet1!$H$351,Sheet1!$H$355</definedName>
    <definedName name="Land_ineligible">Sheet1!$K$191</definedName>
    <definedName name="Land_total">Sheet1!$N$191</definedName>
    <definedName name="ODR_eligible">Sheet1!$H$189</definedName>
    <definedName name="ODR_ineligible">Sheet1!$K$189</definedName>
    <definedName name="ODR_total">Sheet1!$N$189</definedName>
    <definedName name="Other_eligible">Sheet1!$H$171</definedName>
    <definedName name="Other_ineligible">Sheet1!$K$171</definedName>
    <definedName name="Other_total">Sheet1!$N$171</definedName>
    <definedName name="PermAnalysis__1st_Mtg">Sheet1!$H$323</definedName>
    <definedName name="PermAnalysis__1st_Type">Sheet1!$K$323</definedName>
    <definedName name="PermAnalysis__2nd_Mtg">Sheet1!$H$325</definedName>
    <definedName name="PermAnalysis__2nd_Type">Sheet1!$K$325</definedName>
    <definedName name="PermAnalysis__3rd_Mtg">Sheet1!$H$327</definedName>
    <definedName name="PermAnalysis__3rd_Type">Sheet1!$K$327</definedName>
    <definedName name="PermAnalysis__4th_Mtg">Sheet1!$H$329</definedName>
    <definedName name="PermAnalysis__4th_Type">Sheet1!$K$329</definedName>
    <definedName name="PermAnalysis__5th_Mtg">Sheet1!$H$331</definedName>
    <definedName name="PermAnalysis__5th_Type">Sheet1!$K$331</definedName>
    <definedName name="PermAnalysis__6th_Mtg">Sheet1!$H$333</definedName>
    <definedName name="PermAnalysis__6th_Type">Sheet1!$K$333</definedName>
    <definedName name="PermAnalysis__7th_Mtg">Sheet1!$H$335</definedName>
    <definedName name="PermAnalysis__7th_Type">Sheet1!$K$335</definedName>
    <definedName name="PermAnalysis__8th_Mtg">Sheet1!$H$337</definedName>
    <definedName name="PermAnalysis__9th_Mtg">Sheet1!$H$339</definedName>
    <definedName name="PermAnalysis__9th_Type">Sheet1!$K$339</definedName>
    <definedName name="PermAnalysis_10th_Mtg">Sheet1!$H$341</definedName>
    <definedName name="PermAnalysis_10th_Type">Sheet1!$K$341</definedName>
    <definedName name="PermAnalysis_deferredfee">Sheet1!$H$349</definedName>
    <definedName name="PermAnalysis_HC">Sheet1!$H$343</definedName>
    <definedName name="PermAnalysis_other1">Sheet1!$H$345</definedName>
    <definedName name="PermAnalysis_other1_title">Sheet1!$E$345</definedName>
    <definedName name="PermAnalysis_other2">Sheet1!$H$347</definedName>
    <definedName name="PermAnalysis_other2_title">Sheet1!$E$347</definedName>
    <definedName name="PermAnalysis_surplus">Sheet1!$H$355</definedName>
    <definedName name="PermAnalysis_totalsources">Sheet1!$H$351</definedName>
    <definedName name="_xlnm.Print_Area" localSheetId="0">Sheet1!$A$1:$P$455</definedName>
    <definedName name="Pro_Forma_Dev_Cat">Sheet1!$K$32</definedName>
    <definedName name="SourceType">Sheet1!$K$524:$K$547</definedName>
    <definedName name="TDC_eligible">Sheet1!$H$193</definedName>
    <definedName name="TDC_ineligible">Sheet1!$K$193</definedName>
    <definedName name="TDC_total">Sheet1!$N$193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24" i="1" l="1"/>
  <c r="R272" i="1"/>
  <c r="Q264" i="1" l="1"/>
  <c r="Q316" i="1"/>
  <c r="R321" i="1"/>
  <c r="R269" i="1"/>
  <c r="K401" i="1"/>
  <c r="K400" i="1"/>
  <c r="K394" i="1"/>
  <c r="K393" i="1"/>
  <c r="N410" i="1"/>
  <c r="Q410" i="1"/>
  <c r="R276" i="1" l="1"/>
  <c r="R328" i="1"/>
  <c r="R320" i="1"/>
  <c r="R319" i="1"/>
  <c r="R318" i="1"/>
  <c r="R267" i="1"/>
  <c r="U267" i="1" s="1"/>
  <c r="R266" i="1"/>
  <c r="U319" i="1" l="1"/>
  <c r="R268" i="1" l="1"/>
  <c r="U320" i="1" l="1"/>
  <c r="U268" i="1"/>
  <c r="P34" i="1"/>
  <c r="Q173" i="1" l="1"/>
  <c r="K479" i="1"/>
  <c r="H551" i="1" l="1"/>
  <c r="K136" i="1" l="1"/>
  <c r="N136" i="1"/>
  <c r="H136" i="1"/>
  <c r="N70" i="1"/>
  <c r="H70" i="1"/>
  <c r="K70" i="1" l="1"/>
  <c r="Q349" i="1"/>
  <c r="Q347" i="1"/>
  <c r="Q345" i="1"/>
  <c r="Q343" i="1"/>
  <c r="Q341" i="1"/>
  <c r="Q339" i="1"/>
  <c r="Q337" i="1"/>
  <c r="Q335" i="1"/>
  <c r="Q333" i="1"/>
  <c r="Q331" i="1"/>
  <c r="Q329" i="1"/>
  <c r="Q327" i="1"/>
  <c r="Q325" i="1"/>
  <c r="Q323" i="1"/>
  <c r="Q303" i="1"/>
  <c r="Q301" i="1"/>
  <c r="Q299" i="1"/>
  <c r="Q297" i="1"/>
  <c r="Q289" i="1"/>
  <c r="Q287" i="1"/>
  <c r="Q285" i="1"/>
  <c r="Q283" i="1"/>
  <c r="Q281" i="1"/>
  <c r="Q279" i="1"/>
  <c r="Q277" i="1"/>
  <c r="Q275" i="1"/>
  <c r="Q273" i="1"/>
  <c r="Q271" i="1"/>
  <c r="C341" i="1" l="1"/>
  <c r="C339" i="1"/>
  <c r="C337" i="1"/>
  <c r="C333" i="1"/>
  <c r="K373" i="1" l="1"/>
  <c r="N370" i="1" l="1"/>
  <c r="Q416" i="1" l="1"/>
  <c r="N120" i="1" l="1"/>
  <c r="K380" i="1" l="1"/>
  <c r="K404" i="1" s="1"/>
  <c r="N368" i="1"/>
  <c r="H449" i="1"/>
  <c r="H453" i="1" s="1"/>
  <c r="M452" i="1" s="1"/>
  <c r="H455" i="1" l="1"/>
  <c r="K455" i="1" s="1"/>
  <c r="K449" i="1"/>
  <c r="K446" i="1"/>
  <c r="K453" i="1"/>
  <c r="K441" i="1"/>
  <c r="K447" i="1"/>
  <c r="K445" i="1"/>
  <c r="K444" i="1"/>
  <c r="K443" i="1"/>
  <c r="K442" i="1"/>
  <c r="K451" i="1"/>
  <c r="Q442" i="1" l="1"/>
  <c r="B427" i="1"/>
  <c r="B323" i="1" l="1"/>
  <c r="D251" i="1"/>
  <c r="B271" i="1"/>
  <c r="B325" i="1" l="1"/>
  <c r="B273" i="1"/>
  <c r="Q168" i="1"/>
  <c r="B327" i="1" l="1"/>
  <c r="B329" i="1" s="1"/>
  <c r="B275" i="1"/>
  <c r="R257" i="1"/>
  <c r="Q257" i="1"/>
  <c r="R256" i="1"/>
  <c r="R255" i="1"/>
  <c r="Q64" i="1"/>
  <c r="B331" i="1" l="1"/>
  <c r="B277" i="1"/>
  <c r="N420" i="1"/>
  <c r="B333" i="1" l="1"/>
  <c r="B335" i="1" s="1"/>
  <c r="B279" i="1"/>
  <c r="B281" i="1" s="1"/>
  <c r="B337" i="1" l="1"/>
  <c r="B283" i="1"/>
  <c r="B285" i="1" s="1"/>
  <c r="B287" i="1" s="1"/>
  <c r="B289" i="1" l="1"/>
  <c r="B291" i="1" s="1"/>
  <c r="D258" i="1"/>
  <c r="C335" i="1"/>
  <c r="C331" i="1"/>
  <c r="C329" i="1"/>
  <c r="C327" i="1"/>
  <c r="C325" i="1"/>
  <c r="K174" i="1"/>
  <c r="H174" i="1"/>
  <c r="K165" i="1"/>
  <c r="H165" i="1"/>
  <c r="C60" i="1"/>
  <c r="K57" i="1"/>
  <c r="H57" i="1"/>
  <c r="K129" i="1"/>
  <c r="H129" i="1"/>
  <c r="E8" i="1"/>
  <c r="W182" i="1" l="1"/>
  <c r="K187" i="1"/>
  <c r="Q180" i="1" l="1"/>
  <c r="W180" i="1" s="1"/>
  <c r="N189" i="1" l="1"/>
  <c r="P33" i="1" l="1"/>
  <c r="D256" i="1" l="1"/>
  <c r="D384" i="1" l="1"/>
  <c r="D388" i="1" l="1"/>
  <c r="P32" i="1"/>
  <c r="B359" i="1"/>
  <c r="D390" i="1" l="1"/>
  <c r="D393" i="1" l="1"/>
  <c r="D254" i="1"/>
  <c r="D398" i="1" l="1"/>
  <c r="D400" i="1" s="1"/>
  <c r="D252" i="1"/>
  <c r="N174" i="1" l="1"/>
  <c r="Q191" i="1" s="1"/>
  <c r="N60" i="1"/>
  <c r="Q255" i="1" l="1"/>
  <c r="V180" i="1"/>
  <c r="D255" i="1"/>
  <c r="N180" i="1" l="1"/>
  <c r="B339" i="1" l="1"/>
  <c r="B299" i="1" l="1"/>
  <c r="B301" i="1" s="1"/>
  <c r="B303" i="1" s="1"/>
  <c r="B305" i="1" s="1"/>
  <c r="N73" i="1"/>
  <c r="N75" i="1"/>
  <c r="D355" i="1" l="1"/>
  <c r="D309" i="1"/>
  <c r="N137" i="1"/>
  <c r="K137" i="1"/>
  <c r="H137" i="1"/>
  <c r="N71" i="1"/>
  <c r="K71" i="1"/>
  <c r="H71" i="1"/>
  <c r="C323" i="1" l="1"/>
  <c r="E11" i="1" l="1"/>
  <c r="B313" i="1"/>
  <c r="B261" i="1"/>
  <c r="B197" i="1"/>
  <c r="B135" i="1"/>
  <c r="B69" i="1"/>
  <c r="E14" i="1" l="1"/>
  <c r="E19" i="1" s="1"/>
  <c r="K414" i="1"/>
  <c r="E24" i="1" l="1"/>
  <c r="N77" i="1"/>
  <c r="K63" i="1"/>
  <c r="H63" i="1"/>
  <c r="K176" i="1" l="1"/>
  <c r="K193" i="1" s="1"/>
  <c r="N191" i="1"/>
  <c r="K412" i="1" s="1"/>
  <c r="N171" i="1"/>
  <c r="P242" i="1" s="1"/>
  <c r="N169" i="1"/>
  <c r="K410" i="1" s="1"/>
  <c r="N163" i="1"/>
  <c r="P235" i="1" s="1"/>
  <c r="N148" i="1"/>
  <c r="N161" i="1"/>
  <c r="N159" i="1"/>
  <c r="N156" i="1"/>
  <c r="N154" i="1"/>
  <c r="N151" i="1"/>
  <c r="N145" i="1"/>
  <c r="N143" i="1"/>
  <c r="N140" i="1"/>
  <c r="N122" i="1"/>
  <c r="N124" i="1"/>
  <c r="N118" i="1"/>
  <c r="N116" i="1"/>
  <c r="N114" i="1"/>
  <c r="N112" i="1"/>
  <c r="N110" i="1"/>
  <c r="N108" i="1"/>
  <c r="N106" i="1"/>
  <c r="N104" i="1"/>
  <c r="N102" i="1"/>
  <c r="P220" i="1" s="1"/>
  <c r="N100" i="1"/>
  <c r="N97" i="1"/>
  <c r="N95" i="1"/>
  <c r="N93" i="1"/>
  <c r="N91" i="1"/>
  <c r="N89" i="1"/>
  <c r="N87" i="1"/>
  <c r="N85" i="1"/>
  <c r="N83" i="1"/>
  <c r="N81" i="1"/>
  <c r="N79" i="1"/>
  <c r="N55" i="1"/>
  <c r="P213" i="1" s="1"/>
  <c r="N53" i="1"/>
  <c r="N51" i="1"/>
  <c r="N49" i="1"/>
  <c r="N47" i="1"/>
  <c r="N45" i="1"/>
  <c r="P209" i="1" s="1"/>
  <c r="N43" i="1"/>
  <c r="N41" i="1"/>
  <c r="K416" i="1" s="1"/>
  <c r="D308" i="1" l="1"/>
  <c r="N165" i="1"/>
  <c r="N57" i="1"/>
  <c r="V59" i="1" s="1"/>
  <c r="Q60" i="1" s="1"/>
  <c r="Q61" i="1" s="1"/>
  <c r="N126" i="1"/>
  <c r="P226" i="1" s="1"/>
  <c r="N39" i="1"/>
  <c r="P60" i="1" l="1"/>
  <c r="N129" i="1"/>
  <c r="V130" i="1" l="1"/>
  <c r="N63" i="1"/>
  <c r="V64" i="1" l="1"/>
  <c r="N65" i="1"/>
  <c r="N131" i="1"/>
  <c r="Q131" i="1" s="1"/>
  <c r="H176" i="1"/>
  <c r="B341" i="1"/>
  <c r="B343" i="1" s="1"/>
  <c r="Q256" i="1" l="1"/>
  <c r="D257" i="1"/>
  <c r="Q65" i="1"/>
  <c r="Q66" i="1" s="1"/>
  <c r="Q132" i="1"/>
  <c r="P131" i="1"/>
  <c r="N176" i="1"/>
  <c r="H185" i="1" s="1"/>
  <c r="B345" i="1"/>
  <c r="P65" i="1" l="1"/>
  <c r="V182" i="1"/>
  <c r="N182" i="1"/>
  <c r="B347" i="1"/>
  <c r="B349" i="1" s="1"/>
  <c r="B351" i="1" s="1"/>
  <c r="D354" i="1" s="1"/>
  <c r="H187" i="1" l="1"/>
  <c r="N187" i="1" s="1"/>
  <c r="N185" i="1"/>
  <c r="V187" i="1" s="1"/>
  <c r="Q181" i="1" l="1"/>
  <c r="P180" i="1" s="1"/>
  <c r="Q183" i="1"/>
  <c r="H193" i="1"/>
  <c r="H351" i="1" l="1"/>
  <c r="Q351" i="1" s="1"/>
  <c r="N193" i="1"/>
  <c r="Q188" i="1"/>
  <c r="Q189" i="1" s="1"/>
  <c r="P182" i="1"/>
  <c r="U277" i="1" l="1"/>
  <c r="U329" i="1"/>
  <c r="R329" i="1"/>
  <c r="R277" i="1"/>
  <c r="Q193" i="1"/>
  <c r="H319" i="1"/>
  <c r="K408" i="1"/>
  <c r="K418" i="1" s="1"/>
  <c r="H267" i="1"/>
  <c r="H305" i="1"/>
  <c r="Q305" i="1" s="1"/>
  <c r="P187" i="1"/>
  <c r="K420" i="1" l="1"/>
  <c r="K422" i="1" s="1"/>
  <c r="P423" i="1" s="1"/>
  <c r="H309" i="1"/>
  <c r="Q309" i="1" s="1"/>
  <c r="H355" i="1"/>
  <c r="Q355" i="1" s="1"/>
  <c r="P354" i="1" l="1"/>
  <c r="P30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Q180" authorId="0" shapeId="0" xr:uid="{00000000-0006-0000-0000-000001000000}">
      <text>
        <r>
          <rPr>
            <b/>
            <sz val="9"/>
            <color indexed="81"/>
            <rFont val="Tahoma"/>
            <family val="2"/>
          </rPr>
          <t>Kevin Tatreau:</t>
        </r>
        <r>
          <rPr>
            <sz val="9"/>
            <color indexed="81"/>
            <rFont val="Tahoma"/>
            <family val="2"/>
          </rPr>
          <t xml:space="preserve">
For proposed Developments in Bay or Leon County that have more than 30 total units, select the 18.00% Developer fee option in cell Q182 due to the use of Tax-Exempt Bonds and Non-Competitive Housing Credits.  All other locations have a Developer Fee limit of 16.00%.</t>
        </r>
      </text>
    </comment>
  </commentList>
</comments>
</file>

<file path=xl/sharedStrings.xml><?xml version="1.0" encoding="utf-8"?>
<sst xmlns="http://schemas.openxmlformats.org/spreadsheetml/2006/main" count="665" uniqueCount="448">
  <si>
    <t>NOTES:</t>
  </si>
  <si>
    <t xml:space="preserve">Actual Construction Cost </t>
  </si>
  <si>
    <t>Accessory Buildings</t>
  </si>
  <si>
    <t>Demolition</t>
  </si>
  <si>
    <t>New Rental Units</t>
  </si>
  <si>
    <t>Recreational Amenities</t>
  </si>
  <si>
    <t>Rehab of Existing Common Areas</t>
  </si>
  <si>
    <t>Rehab of Existing Rental Units</t>
  </si>
  <si>
    <t>*Other (explain in detail)</t>
  </si>
  <si>
    <t>$</t>
  </si>
  <si>
    <t>Site Work</t>
  </si>
  <si>
    <t>*Off-Site Work (explain in detail)</t>
  </si>
  <si>
    <t>A1.1.</t>
  </si>
  <si>
    <t>A1.2.</t>
  </si>
  <si>
    <t>USE THE DETAIL/EXPLANATION SHEET FOR EXPLANATION OF * ITEMS.  IF ADDITIONAL SPACE IS REQUIRED, ENTER THE</t>
  </si>
  <si>
    <t xml:space="preserve">INFORMATION ON THE ADDENDA LOCATED AT THE END OF THE APPLICATION. </t>
  </si>
  <si>
    <t>Financial Costs</t>
  </si>
  <si>
    <t xml:space="preserve">Actual Construction Costs </t>
  </si>
  <si>
    <t xml:space="preserve">Financial Costs </t>
  </si>
  <si>
    <t>Construction Loan Origination/</t>
  </si>
  <si>
    <t>Construction Loan Interest</t>
  </si>
  <si>
    <t>Permanent Loan Origination/</t>
  </si>
  <si>
    <t>Commitment Fee(s)</t>
  </si>
  <si>
    <t>Permanent Loan Closing Costs</t>
  </si>
  <si>
    <t>Construction Loan Credit</t>
  </si>
  <si>
    <t>Enhancement Fee(s)</t>
  </si>
  <si>
    <t>Permanent Loan Credit</t>
  </si>
  <si>
    <t>Bridge Loan Origination/</t>
  </si>
  <si>
    <t>Non-Permanent Loan(s) Closing</t>
  </si>
  <si>
    <t>Costs</t>
  </si>
  <si>
    <t>A1.3.</t>
  </si>
  <si>
    <t>General Development Costs</t>
  </si>
  <si>
    <t>Accounting Fees</t>
  </si>
  <si>
    <t>Appraisal</t>
  </si>
  <si>
    <t>Architect's Fee - Supervision</t>
  </si>
  <si>
    <t>Builder's Risk Insurance</t>
  </si>
  <si>
    <t>Building Permit</t>
  </si>
  <si>
    <t>Environmental Report</t>
  </si>
  <si>
    <t>Architect's Fee - Site/Building Design</t>
  </si>
  <si>
    <t>*Impact Fees (list in detail)</t>
  </si>
  <si>
    <t>Inspection Fees</t>
  </si>
  <si>
    <t>Insurance</t>
  </si>
  <si>
    <t>Legal Fees</t>
  </si>
  <si>
    <t>Market Study</t>
  </si>
  <si>
    <t>Marketing/Advertising</t>
  </si>
  <si>
    <t>Property Taxes</t>
  </si>
  <si>
    <t>Soil Test Report</t>
  </si>
  <si>
    <t>Survey</t>
  </si>
  <si>
    <t>Utility Connection Fee</t>
  </si>
  <si>
    <t>Title Insurance &amp; Recording Fees</t>
  </si>
  <si>
    <t>Green Building Certification/</t>
  </si>
  <si>
    <t>HERS Inspection Costs</t>
  </si>
  <si>
    <t>Engineering Fees</t>
  </si>
  <si>
    <t>Capital Needs Assessment</t>
  </si>
  <si>
    <t>TOTAL GENERAL DEVELOPMENT</t>
  </si>
  <si>
    <t>COST</t>
  </si>
  <si>
    <t>TOTAL ACTUAL CONSTRUCTION</t>
  </si>
  <si>
    <t>COSTS</t>
  </si>
  <si>
    <t>A3.</t>
  </si>
  <si>
    <t>TOTAL FINANCIAL COSTS</t>
  </si>
  <si>
    <t>ACQUISITION COST OF EXISTING</t>
  </si>
  <si>
    <t>C.</t>
  </si>
  <si>
    <t>D.</t>
  </si>
  <si>
    <t>E.</t>
  </si>
  <si>
    <t>F.</t>
  </si>
  <si>
    <t xml:space="preserve">DEVELOPMENT COST </t>
  </si>
  <si>
    <t>TOTAL LAND COST</t>
  </si>
  <si>
    <t>Detail/Explanation Sheet</t>
  </si>
  <si>
    <t>Acquisition Cost of Existing Developments</t>
  </si>
  <si>
    <t>(as listed at Item B2. )</t>
  </si>
  <si>
    <t xml:space="preserve">Other:  </t>
  </si>
  <si>
    <t>Actual Construction Cost</t>
  </si>
  <si>
    <t>(as listed at Item A1.)</t>
  </si>
  <si>
    <t xml:space="preserve">Impact Fees:  </t>
  </si>
  <si>
    <t>Other:</t>
  </si>
  <si>
    <t>(as listed at Item A2.)</t>
  </si>
  <si>
    <t>AMOUNT</t>
  </si>
  <si>
    <t>HC Equity Proceeds Paid Prior to</t>
  </si>
  <si>
    <t>First Mortgage Financing</t>
  </si>
  <si>
    <t>Second Mortgage Financing</t>
  </si>
  <si>
    <t>Third Mortgage Financing</t>
  </si>
  <si>
    <t>Deferred Developer Fee</t>
  </si>
  <si>
    <t>DEVELOPMENT COSTS</t>
  </si>
  <si>
    <t>PERMANENT ANALYSIS</t>
  </si>
  <si>
    <t>B.</t>
  </si>
  <si>
    <t>Total Development Costs</t>
  </si>
  <si>
    <t>A.</t>
  </si>
  <si>
    <t>Permanent Funding Sources:</t>
  </si>
  <si>
    <t xml:space="preserve">Off-Site Work:  </t>
  </si>
  <si>
    <t>G.</t>
  </si>
  <si>
    <t>(C+D+E+F)</t>
  </si>
  <si>
    <t>Bridge Loan Interest</t>
  </si>
  <si>
    <t>(as listed at Item A3.)</t>
  </si>
  <si>
    <t>Each Attachment must be listed behind its own Tab.  DO NOT INCLUDE ALL ATTACHMENTS BEHIND ONE TAB.</t>
  </si>
  <si>
    <t>(A negative number here represents a funding shortfall.)</t>
  </si>
  <si>
    <t>Permanent Funding Surplus</t>
  </si>
  <si>
    <t>Completion of Construction which</t>
  </si>
  <si>
    <t>is Prior to Receipt of Final Certificate</t>
  </si>
  <si>
    <t xml:space="preserve">of Occupancy or in the case of </t>
  </si>
  <si>
    <t>Rehabilitation, prior to placed-in</t>
  </si>
  <si>
    <t xml:space="preserve">service date as determined by the </t>
  </si>
  <si>
    <t>Applicant.</t>
  </si>
  <si>
    <t>Total Permanent Funding Sources</t>
  </si>
  <si>
    <t>CONSTRUCTION/REHAB ANALYSIS</t>
  </si>
  <si>
    <t xml:space="preserve">General Contractor's fee is limited to 14% of actual construction cost (for Application purposes, this is represented by </t>
  </si>
  <si>
    <t xml:space="preserve">Neither brokerage fees nor syndication fees can be included in eligible basis.  Consulting fees, if any, and any financial or other guarantees </t>
  </si>
  <si>
    <t xml:space="preserve">required for the financing must be paid out of the Developer fee. Consulting fees include, but are not limited to, payments for Application </t>
  </si>
  <si>
    <t>consultants, construction management or supervision consultants, or local government consultants.</t>
  </si>
  <si>
    <t>HC INELIGIBLE
COSTS</t>
  </si>
  <si>
    <t>TOTAL
COSTS</t>
  </si>
  <si>
    <t>Construction Funding Sources:</t>
  </si>
  <si>
    <t>Total Construction Sources</t>
  </si>
  <si>
    <t>Construction Funding Surplus</t>
  </si>
  <si>
    <t>HC Syndication/HC Equity Proceeds</t>
  </si>
  <si>
    <t>A1.4.</t>
  </si>
  <si>
    <t>What was the Development Category of the Proposed Development:</t>
  </si>
  <si>
    <t>Redevelopment (w/ or w/o Acquisition)</t>
  </si>
  <si>
    <t>Rehabilitation (w/ or w/o Acquisition)</t>
  </si>
  <si>
    <t>Preservation (w/ or w/o Acquisition)</t>
  </si>
  <si>
    <t>Does the Applicant's GC Fee on column 3 of Line A1.2. meet the limitation requirement?</t>
  </si>
  <si>
    <t>The cost of ennvironment surveys such as percolation tests and contamination studies are to be excluded from eligible basis.*</t>
  </si>
  <si>
    <t>Certain legal fees are to be excluded from eligible basis, such as those associated with issuance of tax-exempt bonds, partnership costs, land acquisition, and negotiating financing.*</t>
  </si>
  <si>
    <t>The cost of a land, boundary or mortgage survey that help to define the entire property is to be excluded from eligible basis.*</t>
  </si>
  <si>
    <t>The cost of certain surveys that will not necessarily need to be redone when the proposed building(s) are demolished and replaced are to be excluded from eligible basis, including soil borings, geotechnical investigations, suitability studies, wetland reviews, mapping of wetland, and inspections of wetland, wetland characterization, and groundwater investigations.</t>
  </si>
  <si>
    <t>The cost of landscaping that would not be physically destroyed when the proposed building(s) is to be demolished (at the end of its usefule life) and replaced is to be excluded from eligible basis.*</t>
  </si>
  <si>
    <t>A2.1.</t>
  </si>
  <si>
    <t>A2.2.</t>
  </si>
  <si>
    <t>Does the Applicant's Hard Cost Contingency on column 3 of Line A1.4. meet the limitation requirement?</t>
  </si>
  <si>
    <t>Does the Applicant's Soft Cost Contingency on column 3 of Line A2.2. meet the limitation requirement?</t>
  </si>
  <si>
    <t>Any costs associated with the issuance of tax-exempt bonds are to be excluded from eligible basis.*</t>
  </si>
  <si>
    <t>Developer Fee on Acquisition Costs</t>
  </si>
  <si>
    <t>TOTAL DEVELOPER FEE</t>
  </si>
  <si>
    <t>Developer Fee on Non-Acquisition Costs</t>
  </si>
  <si>
    <t>completed on the Pro Forma that requires a detailed list or explanation.</t>
  </si>
  <si>
    <t xml:space="preserve">Totals must agree with Pro Forma.  Provide component descriptions and amounts for each item that has been </t>
  </si>
  <si>
    <t>(please select from drop-down menu)</t>
  </si>
  <si>
    <t>Do not include any part of any impact fees that are to be paid initially, but will be returned/refunded back to the Applicant at a later date, usually upon delivery of an affordable housing development.</t>
  </si>
  <si>
    <t>Does the Applicant's Developer Fee in column 3 on this line meet the limitation requirement?</t>
  </si>
  <si>
    <t>Does the Applicant's Developer Fee in column 3 on Line D. meet the limitation requirement?</t>
  </si>
  <si>
    <t>The Developer Fee on Acquisition or Non-Acquisition Costs cannot exceed the maximum developer fee percentage of the relative qualifying costs:</t>
  </si>
  <si>
    <t xml:space="preserve">NOTES: </t>
  </si>
  <si>
    <t>Yes</t>
  </si>
  <si>
    <t>No</t>
  </si>
  <si>
    <t/>
  </si>
  <si>
    <t>Existing Building(s)</t>
  </si>
  <si>
    <t>DEVELOPMENT (excluding land)</t>
  </si>
  <si>
    <t>TOTAL ACQUISITION COSTS OF EXISTING</t>
  </si>
  <si>
    <t>(A1.3+A1.4+A2.1+A2.2+A3+B)</t>
  </si>
  <si>
    <t>= Maximum Soft Cost Contingency (%)</t>
  </si>
  <si>
    <t>= Maximum Soft Cost Contingency ($)</t>
  </si>
  <si>
    <t>= Maximum GC Fee (%)</t>
  </si>
  <si>
    <t>= Maximum GC Fee ($)</t>
  </si>
  <si>
    <t>= Maximum Hard Cost Contingency (%)</t>
  </si>
  <si>
    <t>= Maximum Hard Cost Contingency ($)</t>
  </si>
  <si>
    <t>= Maximum Total Developer Fee ($)</t>
  </si>
  <si>
    <t>The cost of clearing, grubbing, cutting, filling and grading necessry to bring the land to a suitable grade (but not activity that provides a proper setting for a builiding or a paved roadway) are to be excluded from eligible basis.*</t>
  </si>
  <si>
    <t>The cost of the preparation of erosion control plan, grading plan, utility plans, general details, easement descritions, sewer and sanitary plans and traffic engineering are to be excluded from eligible basis.*</t>
  </si>
  <si>
    <t>The market study required by IRS prior to the issuance of the Carryover Agreement is to be excluded from eligible basis.*</t>
  </si>
  <si>
    <t>The cost of property taxes accrued outside of the term beginning at time of acquistion through issuance of the certificate of occupancy (or temporary) are to be excluded from eligible basis.*</t>
  </si>
  <si>
    <t xml:space="preserve">Operating Deficit Reserves (ODR) of any kind are not to be included in C. DEVELOPMENT COST and cannot be used in </t>
  </si>
  <si>
    <t>New Construction (w/ or w/o Acquisition)</t>
  </si>
  <si>
    <t>**</t>
  </si>
  <si>
    <t>If a double asterisk is indicated within the Development Cost Pro Forma, there is an error on that line item.</t>
  </si>
  <si>
    <t>In which county is the proposed Development to be located?</t>
  </si>
  <si>
    <t>What is the proposed Development's Development Type?</t>
  </si>
  <si>
    <t>Garden</t>
  </si>
  <si>
    <t>High-Rise</t>
  </si>
  <si>
    <t>Less Operating Deficit Reserves (Line E., column 3)</t>
  </si>
  <si>
    <t>Less Land Costs (Line F., column 3)</t>
  </si>
  <si>
    <t>Total Development Costs (Line G., column 3)</t>
  </si>
  <si>
    <t>Derivation of the TDC PU of the proposed Development for Limitation purposes:</t>
  </si>
  <si>
    <t>TDC of the proposed Development for Limitation Purposes:</t>
  </si>
  <si>
    <t>TDC PU of the proposed Development for Limitation Purposes:</t>
  </si>
  <si>
    <t>TDC PU LIMITATION ANALYSIS</t>
  </si>
  <si>
    <t>Persons with Special Needs</t>
  </si>
  <si>
    <t>Persons with a Disabling Condition</t>
  </si>
  <si>
    <t>Elderly ALF</t>
  </si>
  <si>
    <t>Does the proposed Development qualify for any of the following TDC PU Add-Ons or Multipliers?  Choose all that apply.</t>
  </si>
  <si>
    <t>Elderly ALF Multiplier…………………………………………………………………………….</t>
  </si>
  <si>
    <t>The TDC PU Base Limitation for the above defined Development is……………………………………</t>
  </si>
  <si>
    <t>The final overall TDC PU Limitation for the above defined Development is……………………</t>
  </si>
  <si>
    <t>Mid-Rise</t>
  </si>
  <si>
    <t>SF-NC-GA-W</t>
  </si>
  <si>
    <t>SF-NC-MR-W</t>
  </si>
  <si>
    <t>PF-NC-GA-W</t>
  </si>
  <si>
    <t>PF-NC-MR-W</t>
  </si>
  <si>
    <t>North Florida Keys Area</t>
  </si>
  <si>
    <t>South Florida Keys Area</t>
  </si>
  <si>
    <t>Homelss</t>
  </si>
  <si>
    <t>(a) North Florida Keys Area Multiplier……………………………………………………………..</t>
  </si>
  <si>
    <t>(b) South Florida Keys Area Multiplier…………………………………………………………….</t>
  </si>
  <si>
    <t>(a) Persons with Special Needs Multiplier…………………………………………………………</t>
  </si>
  <si>
    <t>(b) Persons with a Disabling Condition Multiplier…………………………………………………</t>
  </si>
  <si>
    <t>Tax-Exempt Bond Add-On…………………………………………………………………………………………….</t>
  </si>
  <si>
    <t>Tax-Exempt Bonds</t>
  </si>
  <si>
    <t>Indicate the number of total units in the proposed Development:</t>
  </si>
  <si>
    <t>(enter a value)</t>
  </si>
  <si>
    <t>Bank inspector fees assoicated with tax-exempt bonds are to be excluded from eligible basis.*</t>
  </si>
  <si>
    <t>Title insurance and recording fees associated with permanent financing sources are not to be included in eligible basis.*</t>
  </si>
  <si>
    <t>= Max. Dev. Fee (%) on Non-Acq. Costs</t>
  </si>
  <si>
    <t>= Max. Dev. Fee (%) on Acq. Costs</t>
  </si>
  <si>
    <t>The cost of preparing the cost certifications and any accounting fees associated with organizing the Applicant entity are to be excluded from eligible basis.*</t>
  </si>
  <si>
    <t>(Select if applicable)</t>
  </si>
  <si>
    <t>(please select %)</t>
  </si>
  <si>
    <t xml:space="preserve">A1.1. Column 3), rounded down to nearest dollar. The General Contractor's fee must be disclosed.  The General Contractor's </t>
  </si>
  <si>
    <t>fee includes General Conditions, Overhead, and Profit.</t>
  </si>
  <si>
    <t xml:space="preserve">maximum Developer fee is 21%, the 5% portion available for ODR must be entered on its own separate line and the remaiining </t>
  </si>
  <si>
    <t>16% portion would be the limiting amount on the other Developer fee line(s).</t>
  </si>
  <si>
    <r>
      <t xml:space="preserve">Developer Fee </t>
    </r>
    <r>
      <rPr>
        <b/>
        <i/>
        <vertAlign val="superscript"/>
        <sz val="9"/>
        <rFont val="Arial"/>
        <family val="2"/>
      </rPr>
      <t>See Note (1)</t>
    </r>
  </si>
  <si>
    <t>If 21% is selected for Max. Dev. Fee % above, the 5% operating deficit reserve portion will be automatically entered on this row and is considered to be in addition to the amount(s) listed on the other Developer Fee line item(s).</t>
  </si>
  <si>
    <t xml:space="preserve">included, it will be removed by the scorer, reducing total costs.  However, one may be included during the credit underwriting </t>
  </si>
  <si>
    <t xml:space="preserve">process where it will be sized. The final cost certification may include an ODR, but it cannot exceed the amount sized during </t>
  </si>
  <si>
    <t>credit underwriting.</t>
  </si>
  <si>
    <t xml:space="preserve">Although the Corporation acknowledges that the costs listed on the Development Cost Pro Forma, Detail/Explanation Sheet, </t>
  </si>
  <si>
    <t>Some items placed in this general category should be classified as ineligible basis. Examples include tenant relocation costs when the building they were occupying is to be demolished, partnership organization fees, syndication legal fees.*</t>
  </si>
  <si>
    <r>
      <t xml:space="preserve">General Contractor Fee </t>
    </r>
    <r>
      <rPr>
        <b/>
        <vertAlign val="superscript"/>
        <sz val="9"/>
        <rFont val="Arial"/>
        <family val="2"/>
      </rPr>
      <t>See Note (3)</t>
    </r>
  </si>
  <si>
    <r>
      <t xml:space="preserve">HARD COST CONTINGENCY </t>
    </r>
    <r>
      <rPr>
        <b/>
        <vertAlign val="superscript"/>
        <sz val="9"/>
        <color theme="1"/>
        <rFont val="Arial"/>
        <family val="2"/>
      </rPr>
      <t>See Note (4)</t>
    </r>
  </si>
  <si>
    <r>
      <t xml:space="preserve">SOFT COST CONTINGENCY </t>
    </r>
    <r>
      <rPr>
        <b/>
        <vertAlign val="superscript"/>
        <sz val="9"/>
        <color theme="1"/>
        <rFont val="Arial"/>
        <family val="2"/>
      </rPr>
      <t>See Note (4)</t>
    </r>
  </si>
  <si>
    <t>along with the MMRB Program, if applicable.</t>
  </si>
  <si>
    <r>
      <t xml:space="preserve">FHFC Administrative Fee </t>
    </r>
    <r>
      <rPr>
        <vertAlign val="superscript"/>
        <sz val="9"/>
        <rFont val="Arial"/>
        <family val="2"/>
      </rPr>
      <t xml:space="preserve">See Note (2) </t>
    </r>
  </si>
  <si>
    <r>
      <t xml:space="preserve">FHFC Compliance Fee </t>
    </r>
    <r>
      <rPr>
        <vertAlign val="superscript"/>
        <sz val="9"/>
        <rFont val="Arial"/>
        <family val="2"/>
      </rPr>
      <t xml:space="preserve">See Note (2) </t>
    </r>
  </si>
  <si>
    <r>
      <t>FHFC Application Fee</t>
    </r>
    <r>
      <rPr>
        <vertAlign val="superscript"/>
        <sz val="9"/>
        <rFont val="Arial"/>
        <family val="2"/>
      </rPr>
      <t xml:space="preserve"> See Note (2) </t>
    </r>
  </si>
  <si>
    <r>
      <t xml:space="preserve">OPERATING DEFICIT RESERVES </t>
    </r>
    <r>
      <rPr>
        <b/>
        <vertAlign val="superscript"/>
        <sz val="9"/>
        <color theme="1"/>
        <rFont val="Arial"/>
        <family val="2"/>
      </rPr>
      <t>See Note (5)</t>
    </r>
  </si>
  <si>
    <r>
      <t xml:space="preserve">TOTAL DEVELOPMENT COST </t>
    </r>
    <r>
      <rPr>
        <b/>
        <vertAlign val="superscript"/>
        <sz val="9"/>
        <rFont val="Arial"/>
        <family val="2"/>
      </rPr>
      <t>See Note (6)</t>
    </r>
  </si>
  <si>
    <t>&lt;Enter a whole #&gt;</t>
  </si>
  <si>
    <t xml:space="preserve">Is the proposed Development's TDC PU for Limitation purposes equal </t>
  </si>
  <si>
    <t>to or less than the TDC PU Limitation provided in the RFA?.......................................................</t>
  </si>
  <si>
    <r>
      <t xml:space="preserve">Some Suggestive Assistance
</t>
    </r>
    <r>
      <rPr>
        <i/>
        <sz val="9"/>
        <color theme="0" tint="-0.499984740745262"/>
        <rFont val="Arial"/>
        <family val="2"/>
      </rPr>
      <t>The criteria below attempts to help the user to know the maximum limits of the restricted funding sources, when possible.  FHFC is not responsible for any programming errors related to the assistance offered below.  Applicant is responsible to verify all inputs to RFA criteria.</t>
    </r>
  </si>
  <si>
    <r>
      <t xml:space="preserve">Some Suggestive Assistance
</t>
    </r>
    <r>
      <rPr>
        <i/>
        <sz val="9"/>
        <color theme="0" tint="-0.499984740745262"/>
        <rFont val="Arial"/>
        <family val="2"/>
      </rPr>
      <t>The criteria below attempts to help the user to know the maximum limits of some cost items, when possible.  FHFC is not responsible for any programming errors related to the assistance offered below.  Applicant is responsible to verify all inputs to RFA criteria.</t>
    </r>
    <r>
      <rPr>
        <sz val="9"/>
        <color theme="0" tint="-0.499984740745262"/>
        <rFont val="Arial"/>
        <family val="2"/>
      </rPr>
      <t xml:space="preserve">
</t>
    </r>
    <r>
      <rPr>
        <i/>
        <sz val="9"/>
        <rFont val="Arial"/>
        <family val="2"/>
      </rPr>
      <t>*criteria will not be evaluated at time of Application, but will be evaluated at time of credit underwriting and final cost certification</t>
    </r>
  </si>
  <si>
    <t>INFORMATION BELOW IS USED TO ASSIST DROP-DOWN MENUS AND VARIOUS FORMULAS.  DO NOT ADJUST.</t>
  </si>
  <si>
    <t xml:space="preserve">The intent of this page is to assist the Applicant in determining a TDC PU Limitation for the proposed Development and comparing it to the appropriate </t>
  </si>
  <si>
    <t xml:space="preserve">determining the maximum Developer fee.  In addition, an ODR is not permitted in this Application at all.  If one has been </t>
  </si>
  <si>
    <t>&lt;select from menu&gt;</t>
  </si>
  <si>
    <t>various FHFC Program fees should be estimated and included in column 2 for at least the Housing Credit Program.</t>
  </si>
  <si>
    <t>SF-RC-GA-</t>
  </si>
  <si>
    <t>SF-RC-NG-</t>
  </si>
  <si>
    <t>PF-RC-GA-</t>
  </si>
  <si>
    <t>PF-RC-NG-</t>
  </si>
  <si>
    <t>(Select one or no option, as applicable)</t>
  </si>
  <si>
    <t>N/A (Rehab only)</t>
  </si>
  <si>
    <t>.</t>
  </si>
  <si>
    <t>Does the proposed Development qualify as Enhanced Structural</t>
  </si>
  <si>
    <t>Systems Construction (ESSC)?</t>
  </si>
  <si>
    <t xml:space="preserve">You have indicated above on row 32 that the Development </t>
  </si>
  <si>
    <t>Category of the Proposed Development is………………………………………….</t>
  </si>
  <si>
    <t>(b) Requesting HOME funds from FHFC Add-On………………………………………………….</t>
  </si>
  <si>
    <t>(c) Requesting CDBG-DR funds from FHFC Add-On…………………………………………….</t>
  </si>
  <si>
    <t>(b) More than 50 units, but less than 81 units Multiplier*…………………………………………</t>
  </si>
  <si>
    <t>(a) Less than 51 units Multiplier*…………………………………………………………………….</t>
  </si>
  <si>
    <t>(Page 1 of 8)</t>
  </si>
  <si>
    <t>(Page 2 of 8)</t>
  </si>
  <si>
    <t>(Page 3 of 8)</t>
  </si>
  <si>
    <t>(Page 4 of 8)</t>
  </si>
  <si>
    <t>(Page 5 of 8)</t>
  </si>
  <si>
    <t>(Page 6 of 8)</t>
  </si>
  <si>
    <t>(Page 7 of 8)</t>
  </si>
  <si>
    <t>(Page 8 of 8)</t>
  </si>
  <si>
    <t>(Select one option if applicable)</t>
  </si>
  <si>
    <t>INCOME AVERAGING WORKSHEET</t>
  </si>
  <si>
    <t># of Units</t>
  </si>
  <si>
    <t>% of Units</t>
  </si>
  <si>
    <t>AMI Set-Aside</t>
  </si>
  <si>
    <t>Market Rate Units</t>
  </si>
  <si>
    <t>Total Units</t>
  </si>
  <si>
    <t>Average AMI of the Qualifying Housing Credit Units</t>
  </si>
  <si>
    <t>Total Qualifying Housing Credit Units</t>
  </si>
  <si>
    <t xml:space="preserve">RFA's TDC PU Limitation.  The accuracy of the comparison is dependent upon the accuracy of the inputs and Florida Housing takes no responsibility in </t>
  </si>
  <si>
    <t xml:space="preserve">any programing errors.  FHFC will not use this page to score TDC PU Limitation criteria.  If FHFC makes any adjustments to the Applicant's data or </t>
  </si>
  <si>
    <t xml:space="preserve">assumptions, FHFC's TDC PU for Limitation purposes of the proposed Development or the TDC PU Limitation determined by FHFC may be different than the </t>
  </si>
  <si>
    <t xml:space="preserve">amounts provided below.  Please read the RFA for qualifying responses and definition of terms.  This table is optional and its use is at the sole discretion </t>
  </si>
  <si>
    <t>of the Applicant.   Applicant is responsible to verify and be in compliance with all aspects of the Application to meet RFA criteria.</t>
  </si>
  <si>
    <t>(This should match the HC Set-Aside Commitment in the Application)</t>
  </si>
  <si>
    <t>&lt;51 Units</t>
  </si>
  <si>
    <t>&gt;50 Units &amp; &lt;81 Units</t>
  </si>
  <si>
    <t>PF-NC-GA-ESSC</t>
  </si>
  <si>
    <t>PF-NC-HR-ESSC</t>
  </si>
  <si>
    <t>PF-NC-MR-ESSC</t>
  </si>
  <si>
    <t>SF-NC-GA-ESSC</t>
  </si>
  <si>
    <t>SF-NC-HR-ESSC</t>
  </si>
  <si>
    <t>SF-NC-MR-ESSC</t>
  </si>
  <si>
    <t>*For 9% HC Permanent Supportive Housing RFAs only.  The proposed Development must be new construction to qualify as well as not being located in Monroe County.</t>
  </si>
  <si>
    <t>(ELI Designation)</t>
  </si>
  <si>
    <t>PHA/FHFC HOME/CDBG-DR</t>
  </si>
  <si>
    <t>Less Demolition and Relocation Costs, if applicable</t>
  </si>
  <si>
    <t xml:space="preserve">Construction or Rehab Analysis and Permanent Analysis are subject to change during credit underwriting, such costs are </t>
  </si>
  <si>
    <t xml:space="preserve">subject to the Total Development Cost Per Unit Limitation as provided in the RFA, as well as the other cost limitations provided </t>
  </si>
  <si>
    <t xml:space="preserve">5% of the amount provided in column 3 for A2.1 TOTAL GENERAL DEVELOPMENT COST.  Limitations on these contingency </t>
  </si>
  <si>
    <t>80% AMI</t>
  </si>
  <si>
    <t>120% AMI</t>
  </si>
  <si>
    <t>(a) Persons with Developmental Disabilities Multiplier…………………………………………………………</t>
  </si>
  <si>
    <t>Tenant Relocation Costs</t>
  </si>
  <si>
    <t>Regulated Mortgage Lender</t>
  </si>
  <si>
    <t>Local HFA Bonds</t>
  </si>
  <si>
    <t>Applicant</t>
  </si>
  <si>
    <t>FHFC - SAIL</t>
  </si>
  <si>
    <t>FHFC - SAIL ELI</t>
  </si>
  <si>
    <t>FHFC - Workforce</t>
  </si>
  <si>
    <t>FHFC - HOME</t>
  </si>
  <si>
    <t>FHFC - NHTF</t>
  </si>
  <si>
    <t>FHFC - CDBG-DR</t>
  </si>
  <si>
    <t>FHFC - Viability</t>
  </si>
  <si>
    <t>FHFC - MMRB</t>
  </si>
  <si>
    <t>Affiliate / Principal</t>
  </si>
  <si>
    <t>State Legislation</t>
  </si>
  <si>
    <t>Seller Financing</t>
  </si>
  <si>
    <t>FHFC - EHCL</t>
  </si>
  <si>
    <t>FHFC - Legislative Appropriation</t>
  </si>
  <si>
    <t>FHFC - Demonstration</t>
  </si>
  <si>
    <t>FHFC - FAF</t>
  </si>
  <si>
    <t>FHFC - RRLP</t>
  </si>
  <si>
    <t>FHFC - HHRP</t>
  </si>
  <si>
    <t>Fourth Mortgage Financing</t>
  </si>
  <si>
    <t>Fifth Mortgage Financing</t>
  </si>
  <si>
    <t>Sixth Mortgage Financing</t>
  </si>
  <si>
    <t>Seventh Mortgage Financing</t>
  </si>
  <si>
    <t>USDA RD 514/516</t>
  </si>
  <si>
    <t>USDA RD 515</t>
  </si>
  <si>
    <t>USDA RD 538</t>
  </si>
  <si>
    <t>FHFC - SHADP</t>
  </si>
  <si>
    <t>FHFC - FHRP</t>
  </si>
  <si>
    <t>Eighth Mortgage Financing</t>
  </si>
  <si>
    <t>Tenth Mortgage Financing</t>
  </si>
  <si>
    <t>LENDER/TYPE OF FUNDS</t>
  </si>
  <si>
    <r>
      <t>FHFC PRL/Credit Underwriting Fees</t>
    </r>
    <r>
      <rPr>
        <vertAlign val="superscript"/>
        <sz val="9"/>
        <rFont val="Arial"/>
        <family val="2"/>
      </rPr>
      <t xml:space="preserve"> See Note (2)</t>
    </r>
  </si>
  <si>
    <t>(c) Persons with Special Needs Multiplier…………………………………………………………</t>
  </si>
  <si>
    <t>(d) Homelss Demographic Multiplier……………………………………………………………….</t>
  </si>
  <si>
    <t>Persons with Developmental Disabilities</t>
  </si>
  <si>
    <t>(a) PHA is a Principal/Affiliate Add-On……………………………………………………………………..</t>
  </si>
  <si>
    <t>Ninth Mortgage Financing</t>
  </si>
  <si>
    <t>Include a prorata share of any acquisition brokerage fees of Applicant within 'Other'.  Other activities performed by a broker for the Applicant may be considered as consulting fees.  May not include any seller costs.  Rule Chapter 67-48, F.A.C. provides limits.  Land portion is ineligible basis and should be included within 'F. Total Land Costs.'*</t>
  </si>
  <si>
    <t>Relocation costs are considered to be ineligible basis when the building from which the tenants came is demolished, unless otherwise addressed by IRC Section 42.*</t>
  </si>
  <si>
    <t>$ Per Unit</t>
  </si>
  <si>
    <t>2019-2020</t>
  </si>
  <si>
    <t xml:space="preserve">When Housing Credit equity proceeds are being used as a source of financing, complete Columns 1 and 2.  The </t>
  </si>
  <si>
    <t>FHFC - RRLP ELI</t>
  </si>
  <si>
    <t>If tax-exempt bonds are part of the construction financing, this line item cannot have any costs in the first column.</t>
  </si>
  <si>
    <t>The cost of demolition is to be excluded from eligible basis.*  If tax-exempt bonds are part of the construction financing, this line item cannot have any costs in the first column.</t>
  </si>
  <si>
    <r>
      <t xml:space="preserve">has been deferred must be included in Total Development Cost. </t>
    </r>
    <r>
      <rPr>
        <sz val="8"/>
        <color theme="0"/>
        <rFont val="Arial"/>
        <family val="2"/>
      </rPr>
      <t xml:space="preserve"> When the </t>
    </r>
  </si>
  <si>
    <r>
      <t>Non-Garden</t>
    </r>
    <r>
      <rPr>
        <i/>
        <sz val="9"/>
        <color rgb="FF7030A0"/>
        <rFont val="Arial"/>
        <family val="2"/>
      </rPr>
      <t xml:space="preserve"> (Rehab only)</t>
    </r>
  </si>
  <si>
    <t>Broward</t>
  </si>
  <si>
    <t>Large</t>
  </si>
  <si>
    <t>Duval</t>
  </si>
  <si>
    <t>Hillsborough</t>
  </si>
  <si>
    <t>Orange</t>
  </si>
  <si>
    <t>Palm Beach</t>
  </si>
  <si>
    <t>Pinellas</t>
  </si>
  <si>
    <t xml:space="preserve">Developer fee may not exceed the limits established in Rule Chapter 67-48, F.A.C., or this RFA.  Any portion of the fee that </t>
  </si>
  <si>
    <t>in Rule Chapter 67-48, F.A.C., as applicable.</t>
  </si>
  <si>
    <t>HC ELIGIBLE
COSTS</t>
  </si>
  <si>
    <r>
      <t xml:space="preserve">Some items placed in this general category should be classified as ineligible basis.* </t>
    </r>
    <r>
      <rPr>
        <i/>
        <sz val="9"/>
        <color theme="0"/>
        <rFont val="Arial"/>
        <family val="2"/>
      </rPr>
      <t>Examples include syndication fees, credit underwriting of a tax-exempt bond, bond issuance costs.*</t>
    </r>
  </si>
  <si>
    <t>Alachua</t>
  </si>
  <si>
    <t>Medium</t>
  </si>
  <si>
    <t>Baker</t>
  </si>
  <si>
    <t>Small</t>
  </si>
  <si>
    <t>Bay</t>
  </si>
  <si>
    <t>Bradford</t>
  </si>
  <si>
    <t>Brevard</t>
  </si>
  <si>
    <t>Calhoun</t>
  </si>
  <si>
    <t>Charlotte</t>
  </si>
  <si>
    <t>Citrus</t>
  </si>
  <si>
    <t>Clay</t>
  </si>
  <si>
    <t>Collier</t>
  </si>
  <si>
    <t>Columbia</t>
  </si>
  <si>
    <t>De Soto</t>
  </si>
  <si>
    <t>Dixie</t>
  </si>
  <si>
    <t>Escambia</t>
  </si>
  <si>
    <t>Flagler</t>
  </si>
  <si>
    <t>Franklin</t>
  </si>
  <si>
    <t>Gadsden</t>
  </si>
  <si>
    <t>Gilchrist</t>
  </si>
  <si>
    <t>Glades</t>
  </si>
  <si>
    <t>Gulf</t>
  </si>
  <si>
    <t>Hamilton</t>
  </si>
  <si>
    <t>Hardee</t>
  </si>
  <si>
    <t>Hendry</t>
  </si>
  <si>
    <t>Hernando</t>
  </si>
  <si>
    <t>Highlands</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</si>
  <si>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</si>
  <si>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</si>
  <si>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</si>
  <si>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</si>
  <si>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</si>
  <si>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</si>
  <si>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</si>
  <si>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</si>
  <si>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</si>
  <si>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</si>
  <si>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</si>
  <si>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</si>
  <si>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</si>
  <si>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</si>
  <si>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</si>
  <si>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</si>
  <si>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</si>
  <si>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</si>
  <si>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</si>
  <si>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Osceola</t>
  </si>
  <si>
    <t>Pasco</t>
  </si>
  <si>
    <t>Polk</t>
  </si>
  <si>
    <t>Putnam</t>
  </si>
  <si>
    <t>Santa Rosa</t>
  </si>
  <si>
    <t>Sarasota</t>
  </si>
  <si>
    <t>Seminole</t>
  </si>
  <si>
    <t>St. Johns</t>
  </si>
  <si>
    <t>St. Lucie</t>
  </si>
  <si>
    <t>Sumter</t>
  </si>
  <si>
    <t>Suwannee</t>
  </si>
  <si>
    <t>Taylor</t>
  </si>
  <si>
    <t>Union</t>
  </si>
  <si>
    <t>Volusia</t>
  </si>
  <si>
    <t>Wakulla</t>
  </si>
  <si>
    <t>Walton</t>
  </si>
  <si>
    <t xml:space="preserve">Washington </t>
  </si>
  <si>
    <t xml:space="preserve">The intent of this page is to assist the Applicant in determining the overall Average Median Income for the proposed Development.  This portion of the </t>
  </si>
  <si>
    <t xml:space="preserve">Development Cost Pro Forma is to assist the Applicant in understanding some of the variables involved when selecting Income Averaging as the minimum </t>
  </si>
  <si>
    <t xml:space="preserve">housing credit set-aside offered in the RFA.  The data entered below will not be used to score the Application.  The entries below will not be used to </t>
  </si>
  <si>
    <t xml:space="preserve">establish the Applicant's set-aside commitment for Application purposes.  This is to be used as a tool to assist the Applicant in selecting appropriate </t>
  </si>
  <si>
    <t xml:space="preserve">set-aside commitments in the Application.  The accuracy of the table is dependent upon the accuracy of the inputs and Florida Housing takes no responsibility </t>
  </si>
  <si>
    <t xml:space="preserve">in any programing errors.  This table is optional and its use is at the sole discretion of the Applicant.  Applicant is responsible to verify and be in compliance </t>
  </si>
  <si>
    <t>with all aspects of the Application to meet RFA criteria.</t>
  </si>
  <si>
    <t>For TDC PU Limitation purposes, Garden Apartments include all structure types that are 3 stories or less (Garden Apartments, Townhouses, Single Family Homes, Duplexes, Quadraplexes).</t>
  </si>
  <si>
    <t xml:space="preserve">For Application purposes, the maximum hard cost contingency allowed cannot exceed 5% of the amount provided in </t>
  </si>
  <si>
    <t xml:space="preserve">column 3 for A1.3. TOTAL ACTUAL CONSTRUCTION COSTS for Developments where 50 percent or more of the units are </t>
  </si>
  <si>
    <t xml:space="preserve">new construction.  Otherwise the maximum is 15%.  The maximum soft cost contintengy allowed cannot exceed </t>
  </si>
  <si>
    <t>line items post-Application are provided in Rule Chapter 67-48, F.A.C. and this RFA.</t>
  </si>
  <si>
    <t>Indicate the Demographic Commitment to be served:</t>
  </si>
  <si>
    <t>Average Income Minimum ELI</t>
  </si>
  <si>
    <t>PSAU Limit for PDC</t>
  </si>
  <si>
    <t>Max SAIL ELI Req Amount w/o AIT</t>
  </si>
  <si>
    <t>% of TDC Total SAIL Limit for PDC</t>
  </si>
  <si>
    <t>● ELI Loan Request Amount Limits:</t>
  </si>
  <si>
    <t>2020-2021</t>
  </si>
  <si>
    <t>Per Dev. SAIL Limit for PDC</t>
  </si>
  <si>
    <t>Per Dev. Grant Limit for PDD</t>
  </si>
  <si>
    <t>Less Acq. Cost of Existing Dev. (excluding land) - Existing Building(s)</t>
  </si>
  <si>
    <t>6.d.(2)(b)(ii)</t>
  </si>
  <si>
    <t>10.a.(2)(a)(i)</t>
  </si>
  <si>
    <t>10.a.(2)(a)(ii)</t>
  </si>
  <si>
    <t>10.a.(2)(b)</t>
  </si>
  <si>
    <t>10.a.(3)</t>
  </si>
  <si>
    <t>NA</t>
  </si>
  <si>
    <t>FHFC - Grant</t>
  </si>
  <si>
    <t>Additional 5% Developer Fee for Persons with a Disabling</t>
  </si>
  <si>
    <t>Condition or Developmental Disabilities Demographics</t>
  </si>
  <si>
    <t>These two options will be auto filled based on the response on row 34.</t>
  </si>
  <si>
    <t>These two options will be auto filled based on the responses on rows 32 &amp; 33.</t>
  </si>
  <si>
    <t>RFA 2021-106 DEVELOPMENT COST PRO FORMA</t>
  </si>
  <si>
    <t>Local Government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</si>
</sst>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164" formatCode="&quot;(&quot;0&quot;)&quot;"/>
    <numFmt numFmtId="165" formatCode="0&quot;.&quot;"/>
    <numFmt numFmtId="166" formatCode="#,##0&quot;.&quot;"/>
    <numFmt numFmtId="167" formatCode="&quot;$&quot;#,##0.00"/>
    <numFmt numFmtId="168" formatCode="0&quot;% Set-Aside&quot;"/>
    <numFmt numFmtId="169" formatCode="0&quot; Units&quot;"/>
    <numFmt numFmtId="170" formatCode="&quot;$&quot;#,##0&quot; Per Development&quot;"/>
    <numFmt numFmtId="171" formatCode="&quot;$&quot;#,##0.00&quot; as a % of TDC&quot;"/>
    <numFmt numFmtId="172" formatCode="&quot;$&quot;#,##0&quot; Per Unit&quot;"/>
    <numFmt numFmtId="173" formatCode="0%&quot; of Units&quot;"/>
  </numFmts>
  <fonts count="64" x14ac:knownFonts="1">
    <font>
      <sz val="10"/>
      <color theme="1"/>
      <name val="Arial"/>
      <family val="2"/>
    </font>
    <font>
      <sz val="10"/>
      <name val="Arial"/>
      <family val="2"/>
    </font>
    <font>
      <u/>
      <sz val="8"/>
      <name val="Arial"/>
      <family val="2"/>
    </font>
    <font>
      <u/>
      <sz val="10"/>
      <name val="Arial"/>
      <family val="2"/>
    </font>
    <font>
      <b/>
      <u/>
      <sz val="10"/>
      <name val="Arial"/>
      <family val="2"/>
    </font>
    <font>
      <u/>
      <sz val="10"/>
      <color theme="1"/>
      <name val="Arial"/>
      <family val="2"/>
    </font>
    <font>
      <strike/>
      <u/>
      <sz val="10"/>
      <name val="Arial"/>
      <family val="2"/>
    </font>
    <font>
      <sz val="9"/>
      <color rgb="FF0000FF"/>
      <name val="Arial"/>
      <family val="2"/>
    </font>
    <font>
      <sz val="9"/>
      <name val="Arial"/>
      <family val="2"/>
    </font>
    <font>
      <b/>
      <sz val="9"/>
      <name val="Arial"/>
      <family val="2"/>
    </font>
    <font>
      <sz val="9"/>
      <color indexed="12"/>
      <name val="Arial"/>
      <family val="2"/>
    </font>
    <font>
      <sz val="9"/>
      <color theme="0"/>
      <name val="Arial"/>
      <family val="2"/>
    </font>
    <font>
      <b/>
      <sz val="8"/>
      <name val="Arial"/>
      <family val="2"/>
    </font>
    <font>
      <b/>
      <sz val="9"/>
      <color theme="0"/>
      <name val="Arial"/>
      <family val="2"/>
    </font>
    <font>
      <strike/>
      <sz val="10"/>
      <name val="Arial"/>
      <family val="2"/>
    </font>
    <font>
      <b/>
      <strike/>
      <sz val="9"/>
      <name val="Arial"/>
      <family val="2"/>
    </font>
    <font>
      <strike/>
      <sz val="9"/>
      <color indexed="12"/>
      <name val="Arial"/>
      <family val="2"/>
    </font>
    <font>
      <strike/>
      <sz val="9"/>
      <name val="Arial"/>
      <family val="2"/>
    </font>
    <font>
      <b/>
      <sz val="9"/>
      <color rgb="FF0000FF"/>
      <name val="Arial"/>
      <family val="2"/>
    </font>
    <font>
      <b/>
      <sz val="10"/>
      <name val="Arial"/>
      <family val="2"/>
    </font>
    <font>
      <sz val="8"/>
      <name val="Arial"/>
      <family val="2"/>
    </font>
    <font>
      <i/>
      <sz val="9"/>
      <name val="Arial"/>
      <family val="2"/>
    </font>
    <font>
      <sz val="9"/>
      <color theme="1"/>
      <name val="Arial"/>
      <family val="2"/>
    </font>
    <font>
      <b/>
      <sz val="9"/>
      <color indexed="10"/>
      <name val="Arial"/>
      <family val="2"/>
    </font>
    <font>
      <b/>
      <i/>
      <sz val="10"/>
      <name val="Arial"/>
      <family val="2"/>
    </font>
    <font>
      <i/>
      <sz val="8"/>
      <name val="Arial"/>
      <family val="2"/>
    </font>
    <font>
      <i/>
      <sz val="10"/>
      <name val="Arial"/>
      <family val="2"/>
    </font>
    <font>
      <sz val="10"/>
      <color rgb="FF0000FF"/>
      <name val="Arial"/>
      <family val="2"/>
    </font>
    <font>
      <strike/>
      <sz val="10"/>
      <color indexed="12"/>
      <name val="Arial"/>
      <family val="2"/>
    </font>
    <font>
      <b/>
      <vertAlign val="superscript"/>
      <sz val="9"/>
      <name val="Arial"/>
      <family val="2"/>
    </font>
    <font>
      <vertAlign val="superscript"/>
      <sz val="9"/>
      <name val="Arial"/>
      <family val="2"/>
    </font>
    <font>
      <b/>
      <sz val="9"/>
      <color theme="1"/>
      <name val="Arial"/>
      <family val="2"/>
    </font>
    <font>
      <b/>
      <vertAlign val="superscript"/>
      <sz val="9"/>
      <color theme="1"/>
      <name val="Arial"/>
      <family val="2"/>
    </font>
    <font>
      <sz val="8"/>
      <color theme="1"/>
      <name val="Arial"/>
      <family val="2"/>
    </font>
    <font>
      <strike/>
      <sz val="10"/>
      <color theme="1"/>
      <name val="Arial"/>
      <family val="2"/>
    </font>
    <font>
      <b/>
      <sz val="10"/>
      <color rgb="FFFF0000"/>
      <name val="Arial"/>
      <family val="2"/>
    </font>
    <font>
      <b/>
      <i/>
      <sz val="10"/>
      <color rgb="FFFF0000"/>
      <name val="Arial"/>
      <family val="2"/>
    </font>
    <font>
      <sz val="10"/>
      <color theme="1"/>
      <name val="Arial"/>
      <family val="2"/>
    </font>
    <font>
      <b/>
      <sz val="10"/>
      <color theme="1"/>
      <name val="Arial"/>
      <family val="2"/>
    </font>
    <font>
      <i/>
      <u/>
      <sz val="10"/>
      <color theme="1"/>
      <name val="Arial"/>
      <family val="2"/>
    </font>
    <font>
      <b/>
      <sz val="10"/>
      <color rgb="FF0000FF"/>
      <name val="Arial"/>
      <family val="2"/>
    </font>
    <font>
      <i/>
      <sz val="9"/>
      <color theme="0" tint="-0.499984740745262"/>
      <name val="Arial"/>
      <family val="2"/>
    </font>
    <font>
      <sz val="10"/>
      <color theme="0" tint="-0.499984740745262"/>
      <name val="Arial"/>
      <family val="2"/>
    </font>
    <font>
      <i/>
      <sz val="8"/>
      <color theme="0" tint="-0.499984740745262"/>
      <name val="Arial"/>
      <family val="2"/>
    </font>
    <font>
      <b/>
      <u/>
      <sz val="10"/>
      <color theme="1"/>
      <name val="Arial"/>
      <family val="2"/>
    </font>
    <font>
      <sz val="9"/>
      <color theme="0" tint="-0.499984740745262"/>
      <name val="Arial"/>
      <family val="2"/>
    </font>
    <font>
      <b/>
      <i/>
      <vertAlign val="superscript"/>
      <sz val="9"/>
      <name val="Arial"/>
      <family val="2"/>
    </font>
    <font>
      <sz val="8"/>
      <color theme="0"/>
      <name val="Arial"/>
      <family val="2"/>
    </font>
    <font>
      <b/>
      <i/>
      <sz val="10"/>
      <color theme="1"/>
      <name val="Arial"/>
      <family val="2"/>
    </font>
    <font>
      <sz val="10"/>
      <color theme="0"/>
      <name val="Arial"/>
      <family val="2"/>
    </font>
    <font>
      <sz val="10"/>
      <color theme="0" tint="-0.249977111117893"/>
      <name val="Arial"/>
      <family val="2"/>
    </font>
    <font>
      <i/>
      <sz val="9"/>
      <color theme="1"/>
      <name val="Arial"/>
      <family val="2"/>
    </font>
    <font>
      <i/>
      <sz val="8"/>
      <color theme="1"/>
      <name val="Arial"/>
      <family val="2"/>
    </font>
    <font>
      <sz val="9"/>
      <color rgb="FF7030A0"/>
      <name val="Arial"/>
      <family val="2"/>
    </font>
    <font>
      <sz val="10"/>
      <color rgb="FF7030A0"/>
      <name val="Arial"/>
      <family val="2"/>
    </font>
    <font>
      <b/>
      <i/>
      <sz val="9"/>
      <color rgb="FFC00000"/>
      <name val="Arial"/>
      <family val="2"/>
    </font>
    <font>
      <sz val="9"/>
      <color indexed="81"/>
      <name val="Tahoma"/>
      <family val="2"/>
    </font>
    <font>
      <b/>
      <sz val="9"/>
      <color indexed="81"/>
      <name val="Tahoma"/>
      <family val="2"/>
    </font>
    <font>
      <b/>
      <sz val="8"/>
      <color theme="1"/>
      <name val="Arial"/>
      <family val="2"/>
    </font>
    <font>
      <i/>
      <sz val="9"/>
      <color rgb="FF7030A0"/>
      <name val="Arial"/>
      <family val="2"/>
    </font>
    <font>
      <i/>
      <sz val="10"/>
      <color theme="1"/>
      <name val="Arial"/>
      <family val="2"/>
    </font>
    <font>
      <i/>
      <sz val="9"/>
      <color theme="0"/>
      <name val="Arial"/>
      <family val="2"/>
    </font>
    <font>
      <b/>
      <sz val="10"/>
      <color rgb="FFC00000"/>
      <name val="Arial"/>
      <family val="2"/>
    </font>
    <font>
      <i/>
      <sz val="10"/>
      <color theme="0"/>
      <name val="Arial"/>
      <family val="2"/>
    </font>
  </fonts>
  <fills count="10">
    <fill>
      <patternFill patternType="none"/>
    </fill>
    <fill>
      <patternFill patternType="gray125"/>
    </fill>
    <fill>
      <patternFill patternType="solid">
        <fgColor indexed="8"/>
        <bgColor indexed="8"/>
      </patternFill>
    </fill>
    <fill>
      <patternFill patternType="solid">
        <fgColor indexed="8"/>
        <bgColor indexed="64"/>
      </patternFill>
    </fill>
    <fill>
      <patternFill patternType="solid">
        <fgColor theme="0"/>
        <bgColor indexed="64"/>
      </patternFill>
    </fill>
    <fill>
      <patternFill patternType="solid">
        <fgColor rgb="FFFFE1FF"/>
        <bgColor indexed="64"/>
      </patternFill>
    </fill>
    <fill>
      <patternFill patternType="solid">
        <fgColor theme="1"/>
        <bgColor indexed="64"/>
      </patternFill>
    </fill>
    <fill>
      <patternFill patternType="lightUp"/>
    </fill>
    <fill>
      <patternFill patternType="solid">
        <fgColor rgb="FFFFEBFF"/>
        <bgColor indexed="64"/>
      </patternFill>
    </fill>
    <fill>
      <patternFill patternType="lightUp">
        <fgColor theme="0" tint="-0.24994659260841701"/>
        <bgColor indexed="65"/>
      </patternFill>
    </fill>
  </fills>
  <borders count="34">
    <border>
      <left/>
      <right/>
      <top/>
      <bottom/>
      <diagonal/>
    </border>
    <border>
      <left/>
      <right/>
      <top/>
      <bottom style="thin">
        <color indexed="8"/>
      </bottom>
      <diagonal/>
    </border>
    <border>
      <left/>
      <right/>
      <top/>
      <bottom style="double">
        <color indexed="8"/>
      </bottom>
      <diagonal/>
    </border>
    <border>
      <left/>
      <right/>
      <top style="medium">
        <color auto="1"/>
      </top>
      <bottom/>
      <diagonal/>
    </border>
    <border>
      <left/>
      <right/>
      <top/>
      <bottom style="thin">
        <color rgb="FF0000FF"/>
      </bottom>
      <diagonal/>
    </border>
    <border>
      <left/>
      <right/>
      <top style="thin">
        <color rgb="FF0000FF"/>
      </top>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style="thin">
        <color rgb="FF0000FF"/>
      </right>
      <top/>
      <bottom style="thin">
        <color rgb="FF0000FF"/>
      </bottom>
      <diagonal/>
    </border>
    <border>
      <left/>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auto="1"/>
      </top>
      <bottom style="thin">
        <color indexed="64"/>
      </bottom>
      <diagonal/>
    </border>
    <border>
      <left/>
      <right/>
      <top/>
      <bottom style="thin">
        <color auto="1"/>
      </bottom>
      <diagonal/>
    </border>
    <border>
      <left/>
      <right/>
      <top style="thin">
        <color rgb="FF0000FF"/>
      </top>
      <bottom style="thin">
        <color rgb="FF0000FF"/>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auto="1"/>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theme="0" tint="-0.499984740745262"/>
      </top>
      <bottom/>
      <diagonal/>
    </border>
  </borders>
  <cellStyleXfs count="2">
    <xf numFmtId="0" fontId="0" fillId="0" borderId="0"/>
    <xf numFmtId="9" fontId="37" fillId="0" borderId="0" applyFont="0" applyFill="0" applyBorder="0" applyAlignment="0" applyProtection="0"/>
  </cellStyleXfs>
  <cellXfs count="323">
    <xf numFmtId="0" fontId="0" fillId="0" borderId="0" xfId="0"/>
    <xf numFmtId="0" fontId="1" fillId="0" borderId="0" xfId="0" applyFont="1" applyProtection="1"/>
    <xf numFmtId="0" fontId="3" fillId="0" borderId="0" xfId="0" applyFont="1" applyProtection="1"/>
    <xf numFmtId="0" fontId="2" fillId="0" borderId="0" xfId="0" applyFont="1" applyAlignment="1" applyProtection="1">
      <alignment horizontal="right"/>
    </xf>
    <xf numFmtId="0" fontId="3" fillId="0" borderId="0" xfId="0" applyFont="1" applyBorder="1" applyProtection="1"/>
    <xf numFmtId="0" fontId="6" fillId="0" borderId="0" xfId="0" applyFont="1" applyBorder="1" applyProtection="1"/>
    <xf numFmtId="0" fontId="4" fillId="0" borderId="0" xfId="0" applyFont="1" applyAlignment="1" applyProtection="1">
      <alignment horizontal="centerContinuous"/>
    </xf>
    <xf numFmtId="40" fontId="1" fillId="0" borderId="0" xfId="0" applyNumberFormat="1" applyFont="1" applyProtection="1"/>
    <xf numFmtId="40" fontId="8" fillId="0" borderId="0" xfId="0" applyNumberFormat="1" applyFont="1" applyProtection="1"/>
    <xf numFmtId="40" fontId="9" fillId="0" borderId="0" xfId="0" applyNumberFormat="1" applyFont="1" applyProtection="1"/>
    <xf numFmtId="40" fontId="9" fillId="0" borderId="0" xfId="0" applyNumberFormat="1" applyFont="1" applyAlignment="1" applyProtection="1">
      <alignment horizontal="right"/>
    </xf>
    <xf numFmtId="0" fontId="9" fillId="0" borderId="0" xfId="0" applyFont="1" applyProtection="1"/>
    <xf numFmtId="40" fontId="11" fillId="2" borderId="1" xfId="0" applyNumberFormat="1" applyFont="1" applyFill="1" applyBorder="1" applyProtection="1"/>
    <xf numFmtId="40" fontId="12" fillId="0" borderId="0" xfId="0" applyNumberFormat="1" applyFont="1" applyAlignment="1" applyProtection="1">
      <alignment horizontal="center"/>
    </xf>
    <xf numFmtId="40" fontId="13" fillId="2" borderId="1" xfId="0" applyNumberFormat="1" applyFont="1" applyFill="1" applyBorder="1" applyProtection="1"/>
    <xf numFmtId="40" fontId="1" fillId="0" borderId="0" xfId="0" applyNumberFormat="1" applyFont="1" applyFill="1" applyProtection="1"/>
    <xf numFmtId="40" fontId="8" fillId="0" borderId="0" xfId="0" applyNumberFormat="1" applyFont="1" applyFill="1" applyProtection="1"/>
    <xf numFmtId="40" fontId="9" fillId="0" borderId="0" xfId="0" applyNumberFormat="1" applyFont="1" applyFill="1" applyProtection="1"/>
    <xf numFmtId="40" fontId="9" fillId="0" borderId="0" xfId="0" applyNumberFormat="1" applyFont="1" applyFill="1" applyBorder="1" applyProtection="1"/>
    <xf numFmtId="40" fontId="14" fillId="0" borderId="0" xfId="0" applyNumberFormat="1" applyFont="1" applyBorder="1" applyProtection="1"/>
    <xf numFmtId="40" fontId="17" fillId="0" borderId="0" xfId="0" applyNumberFormat="1" applyFont="1" applyBorder="1" applyProtection="1"/>
    <xf numFmtId="40" fontId="15" fillId="0" borderId="0" xfId="0" applyNumberFormat="1" applyFont="1" applyFill="1" applyBorder="1" applyProtection="1"/>
    <xf numFmtId="40" fontId="14" fillId="0" borderId="0" xfId="0" applyNumberFormat="1" applyFont="1" applyProtection="1"/>
    <xf numFmtId="40" fontId="17" fillId="0" borderId="0" xfId="0" applyNumberFormat="1" applyFont="1" applyProtection="1"/>
    <xf numFmtId="40" fontId="19" fillId="0" borderId="0" xfId="0" applyNumberFormat="1" applyFont="1" applyProtection="1"/>
    <xf numFmtId="0" fontId="19" fillId="0" borderId="0" xfId="0" applyFont="1" applyProtection="1"/>
    <xf numFmtId="0" fontId="20" fillId="0" borderId="0" xfId="0" applyFont="1" applyAlignment="1" applyProtection="1">
      <alignment horizontal="right"/>
    </xf>
    <xf numFmtId="49" fontId="20" fillId="0" borderId="0" xfId="0" applyNumberFormat="1" applyFont="1" applyAlignment="1" applyProtection="1">
      <alignment horizontal="center"/>
    </xf>
    <xf numFmtId="0" fontId="20" fillId="0" borderId="0" xfId="0" applyFont="1" applyProtection="1"/>
    <xf numFmtId="0" fontId="14" fillId="0" borderId="0" xfId="0" applyFont="1" applyProtection="1"/>
    <xf numFmtId="0" fontId="20" fillId="0" borderId="0" xfId="0" quotePrefix="1" applyFont="1" applyAlignment="1" applyProtection="1">
      <alignment horizontal="center"/>
    </xf>
    <xf numFmtId="0" fontId="12" fillId="0" borderId="0" xfId="0" applyFont="1" applyProtection="1"/>
    <xf numFmtId="0" fontId="19" fillId="0" borderId="0" xfId="0" applyFont="1" applyAlignment="1" applyProtection="1">
      <alignment horizontal="right"/>
    </xf>
    <xf numFmtId="0" fontId="12" fillId="0" borderId="0" xfId="0" applyFont="1" applyAlignment="1" applyProtection="1">
      <alignment horizontal="center"/>
    </xf>
    <xf numFmtId="0" fontId="12" fillId="0" borderId="0" xfId="0" applyFont="1" applyAlignment="1" applyProtection="1">
      <alignment horizontal="centerContinuous"/>
    </xf>
    <xf numFmtId="0" fontId="1" fillId="0" borderId="0" xfId="0" applyFont="1" applyAlignment="1" applyProtection="1">
      <alignment horizontal="centerContinuous"/>
    </xf>
    <xf numFmtId="0" fontId="12" fillId="0" borderId="0" xfId="0" applyFont="1" applyAlignment="1" applyProtection="1">
      <alignment horizontal="center" wrapText="1"/>
    </xf>
    <xf numFmtId="0" fontId="12" fillId="0" borderId="0" xfId="0" applyFont="1" applyFill="1" applyAlignment="1" applyProtection="1">
      <alignment horizontal="center" wrapText="1"/>
    </xf>
    <xf numFmtId="0" fontId="8" fillId="0" borderId="0" xfId="0" applyFont="1" applyProtection="1"/>
    <xf numFmtId="0" fontId="21" fillId="0" borderId="0" xfId="0" applyFont="1" applyAlignment="1" applyProtection="1">
      <alignment horizontal="left"/>
    </xf>
    <xf numFmtId="0" fontId="8" fillId="0" borderId="0" xfId="0" applyFont="1" applyFill="1" applyAlignment="1" applyProtection="1">
      <alignment horizontal="left"/>
    </xf>
    <xf numFmtId="0" fontId="9" fillId="0" borderId="0" xfId="0" applyFont="1" applyFill="1" applyAlignment="1" applyProtection="1">
      <alignment horizontal="left"/>
    </xf>
    <xf numFmtId="0" fontId="9" fillId="0" borderId="0" xfId="0" applyFont="1" applyAlignment="1" applyProtection="1">
      <alignment horizontal="right"/>
    </xf>
    <xf numFmtId="0" fontId="9" fillId="0" borderId="0" xfId="0" applyFont="1" applyAlignment="1" applyProtection="1">
      <alignment horizontal="left"/>
    </xf>
    <xf numFmtId="0" fontId="8" fillId="0" borderId="0" xfId="0" applyFont="1" applyFill="1" applyProtection="1"/>
    <xf numFmtId="0" fontId="9" fillId="0" borderId="0" xfId="0" applyFont="1" applyFill="1" applyProtection="1"/>
    <xf numFmtId="0" fontId="8" fillId="0" borderId="0" xfId="0" applyFont="1" applyFill="1" applyAlignment="1" applyProtection="1">
      <alignment horizontal="centerContinuous"/>
    </xf>
    <xf numFmtId="0" fontId="9" fillId="0" borderId="0" xfId="0" applyFont="1" applyAlignment="1" applyProtection="1">
      <alignment horizontal="left" indent="1"/>
    </xf>
    <xf numFmtId="0" fontId="1" fillId="0" borderId="0" xfId="0" applyFont="1" applyAlignment="1" applyProtection="1">
      <alignment horizontal="right"/>
    </xf>
    <xf numFmtId="0" fontId="15" fillId="0" borderId="0" xfId="0" applyFont="1" applyAlignment="1" applyProtection="1">
      <alignment horizontal="right" indent="1"/>
    </xf>
    <xf numFmtId="0" fontId="15" fillId="0" borderId="0" xfId="0" applyFont="1" applyAlignment="1" applyProtection="1">
      <alignment horizontal="left" indent="1"/>
    </xf>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1" fillId="0" borderId="0" xfId="0" applyFont="1" applyBorder="1" applyProtection="1"/>
    <xf numFmtId="0" fontId="21" fillId="0" borderId="0" xfId="0" applyFont="1" applyProtection="1"/>
    <xf numFmtId="0" fontId="14" fillId="0" borderId="0" xfId="0" applyFont="1" applyBorder="1" applyProtection="1"/>
    <xf numFmtId="0" fontId="20" fillId="0" borderId="0" xfId="0" applyFont="1" applyAlignment="1" applyProtection="1">
      <alignment horizontal="left"/>
    </xf>
    <xf numFmtId="0" fontId="19" fillId="0" borderId="0" xfId="0" applyFont="1" applyAlignment="1" applyProtection="1">
      <alignment horizontal="center"/>
    </xf>
    <xf numFmtId="40" fontId="8" fillId="0" borderId="0" xfId="0" applyNumberFormat="1" applyFont="1" applyFill="1" applyBorder="1" applyProtection="1"/>
    <xf numFmtId="49" fontId="1" fillId="0" borderId="0" xfId="0" applyNumberFormat="1" applyFont="1" applyAlignment="1" applyProtection="1">
      <alignment horizontal="right"/>
    </xf>
    <xf numFmtId="0" fontId="8" fillId="0" borderId="0" xfId="0" applyFont="1" applyAlignment="1" applyProtection="1">
      <alignment horizontal="right"/>
    </xf>
    <xf numFmtId="0" fontId="1" fillId="0" borderId="0" xfId="0" applyFont="1" applyAlignment="1" applyProtection="1">
      <alignment horizontal="left"/>
    </xf>
    <xf numFmtId="0" fontId="19" fillId="0" borderId="0" xfId="0" applyFont="1" applyFill="1" applyProtection="1"/>
    <xf numFmtId="0" fontId="27" fillId="0" borderId="0" xfId="0" applyFont="1" applyBorder="1" applyProtection="1"/>
    <xf numFmtId="0" fontId="1" fillId="0" borderId="0" xfId="0" applyFont="1" applyFill="1" applyProtection="1"/>
    <xf numFmtId="40" fontId="9" fillId="0" borderId="1" xfId="0" applyNumberFormat="1" applyFont="1" applyFill="1" applyBorder="1" applyProtection="1"/>
    <xf numFmtId="40" fontId="9" fillId="0" borderId="0" xfId="0" applyNumberFormat="1" applyFont="1" applyFill="1" applyAlignment="1" applyProtection="1">
      <alignment horizontal="right"/>
    </xf>
    <xf numFmtId="0" fontId="12" fillId="0" borderId="0" xfId="0" applyFont="1" applyFill="1" applyAlignment="1" applyProtection="1">
      <alignment horizontal="centerContinuous"/>
    </xf>
    <xf numFmtId="0" fontId="1" fillId="0" borderId="0" xfId="0" applyFont="1" applyFill="1" applyAlignment="1" applyProtection="1">
      <alignment horizontal="centerContinuous"/>
    </xf>
    <xf numFmtId="0" fontId="12" fillId="0" borderId="0" xfId="0" applyFont="1" applyFill="1" applyAlignment="1" applyProtection="1">
      <alignment horizontal="centerContinuous" wrapText="1"/>
    </xf>
    <xf numFmtId="40" fontId="12" fillId="0" borderId="0" xfId="0" applyNumberFormat="1" applyFont="1" applyFill="1" applyAlignment="1" applyProtection="1">
      <alignment horizontal="center"/>
    </xf>
    <xf numFmtId="40" fontId="15" fillId="0" borderId="0" xfId="0" applyNumberFormat="1" applyFont="1" applyFill="1" applyProtection="1"/>
    <xf numFmtId="40" fontId="9" fillId="0" borderId="0" xfId="0" applyNumberFormat="1" applyFont="1" applyFill="1" applyBorder="1" applyAlignment="1" applyProtection="1">
      <alignment horizontal="right"/>
    </xf>
    <xf numFmtId="0" fontId="1" fillId="0" borderId="0" xfId="0" applyFont="1" applyFill="1" applyBorder="1" applyProtection="1"/>
    <xf numFmtId="0" fontId="14" fillId="0" borderId="0" xfId="0" applyFont="1" applyFill="1" applyBorder="1" applyProtection="1"/>
    <xf numFmtId="0" fontId="19" fillId="0" borderId="0" xfId="0" applyFont="1" applyFill="1" applyAlignment="1" applyProtection="1">
      <alignment horizontal="center"/>
    </xf>
    <xf numFmtId="40" fontId="9" fillId="0" borderId="2" xfId="0" applyNumberFormat="1" applyFont="1" applyFill="1" applyBorder="1" applyProtection="1"/>
    <xf numFmtId="40" fontId="7" fillId="0" borderId="4" xfId="0" applyNumberFormat="1" applyFont="1" applyBorder="1" applyProtection="1">
      <protection locked="0"/>
    </xf>
    <xf numFmtId="40" fontId="7" fillId="0" borderId="4" xfId="0" applyNumberFormat="1" applyFont="1" applyFill="1" applyBorder="1" applyProtection="1">
      <protection locked="0"/>
    </xf>
    <xf numFmtId="40" fontId="18" fillId="0" borderId="4" xfId="0" applyNumberFormat="1" applyFont="1" applyFill="1" applyBorder="1" applyProtection="1">
      <protection locked="0"/>
    </xf>
    <xf numFmtId="0" fontId="0" fillId="0" borderId="3" xfId="0" applyBorder="1" applyProtection="1"/>
    <xf numFmtId="0" fontId="0" fillId="0" borderId="0" xfId="0" applyFont="1" applyProtection="1"/>
    <xf numFmtId="0" fontId="5" fillId="0" borderId="0" xfId="0" applyFont="1" applyProtection="1"/>
    <xf numFmtId="0" fontId="0" fillId="0" borderId="0" xfId="0" applyProtection="1"/>
    <xf numFmtId="0" fontId="0" fillId="0" borderId="0" xfId="0" applyFont="1" applyFill="1" applyProtection="1"/>
    <xf numFmtId="40" fontId="0" fillId="0" borderId="0" xfId="0" applyNumberFormat="1" applyFont="1" applyFill="1" applyProtection="1"/>
    <xf numFmtId="40" fontId="0" fillId="0" borderId="0" xfId="0" applyNumberFormat="1" applyFont="1" applyProtection="1"/>
    <xf numFmtId="0" fontId="0" fillId="0" borderId="3" xfId="0" applyFont="1" applyBorder="1" applyProtection="1"/>
    <xf numFmtId="0" fontId="0" fillId="0" borderId="3" xfId="0" applyFont="1" applyFill="1" applyBorder="1" applyProtection="1"/>
    <xf numFmtId="0" fontId="5" fillId="0" borderId="3" xfId="0" applyFont="1" applyBorder="1" applyProtection="1"/>
    <xf numFmtId="0" fontId="22" fillId="0" borderId="0" xfId="0" applyFont="1" applyFill="1" applyProtection="1"/>
    <xf numFmtId="40" fontId="11" fillId="3" borderId="1" xfId="0" applyNumberFormat="1" applyFont="1" applyFill="1" applyBorder="1" applyProtection="1"/>
    <xf numFmtId="0" fontId="22" fillId="0" borderId="0" xfId="0" applyFont="1" applyProtection="1"/>
    <xf numFmtId="40" fontId="0" fillId="0" borderId="0" xfId="0" applyNumberFormat="1" applyFont="1" applyFill="1" applyBorder="1" applyProtection="1"/>
    <xf numFmtId="0" fontId="0" fillId="0" borderId="0" xfId="0" applyFont="1" applyFill="1" applyBorder="1" applyProtection="1"/>
    <xf numFmtId="40" fontId="10" fillId="0" borderId="0" xfId="0" applyNumberFormat="1" applyFont="1" applyFill="1" applyBorder="1" applyProtection="1"/>
    <xf numFmtId="40" fontId="16" fillId="0" borderId="0" xfId="0" applyNumberFormat="1" applyFont="1" applyFill="1" applyBorder="1" applyProtection="1"/>
    <xf numFmtId="0" fontId="31" fillId="0" borderId="0" xfId="0" applyFont="1" applyAlignment="1" applyProtection="1">
      <alignment horizontal="right"/>
    </xf>
    <xf numFmtId="0" fontId="31" fillId="0" borderId="0" xfId="0" applyFont="1" applyProtection="1"/>
    <xf numFmtId="49" fontId="28" fillId="0" borderId="0" xfId="0" applyNumberFormat="1" applyFont="1" applyBorder="1" applyAlignment="1" applyProtection="1">
      <alignment horizontal="left"/>
    </xf>
    <xf numFmtId="40" fontId="10" fillId="0" borderId="0" xfId="0" applyNumberFormat="1" applyFont="1" applyBorder="1" applyProtection="1"/>
    <xf numFmtId="0" fontId="10" fillId="0" borderId="0" xfId="0" applyFont="1" applyFill="1" applyBorder="1" applyAlignment="1" applyProtection="1">
      <alignment horizontal="center"/>
    </xf>
    <xf numFmtId="40" fontId="10" fillId="0" borderId="0" xfId="0" applyNumberFormat="1" applyFont="1" applyProtection="1"/>
    <xf numFmtId="40" fontId="7" fillId="0" borderId="0" xfId="0" applyNumberFormat="1" applyFont="1" applyBorder="1" applyProtection="1"/>
    <xf numFmtId="49" fontId="12" fillId="0" borderId="0" xfId="0" applyNumberFormat="1" applyFont="1" applyAlignment="1" applyProtection="1">
      <alignment horizontal="center"/>
    </xf>
    <xf numFmtId="164" fontId="20" fillId="0" borderId="0" xfId="0" applyNumberFormat="1" applyFont="1" applyAlignment="1" applyProtection="1">
      <alignment horizontal="center"/>
    </xf>
    <xf numFmtId="165" fontId="1" fillId="0" borderId="0" xfId="0" applyNumberFormat="1" applyFont="1" applyAlignment="1" applyProtection="1">
      <alignment horizontal="right"/>
    </xf>
    <xf numFmtId="166" fontId="1" fillId="0" borderId="0" xfId="0" applyNumberFormat="1" applyFont="1" applyAlignment="1" applyProtection="1">
      <alignment horizontal="right"/>
    </xf>
    <xf numFmtId="166" fontId="19" fillId="0" borderId="0" xfId="0" applyNumberFormat="1" applyFont="1" applyAlignment="1" applyProtection="1">
      <alignment horizontal="right"/>
    </xf>
    <xf numFmtId="40" fontId="7" fillId="0" borderId="0" xfId="0" applyNumberFormat="1" applyFont="1" applyFill="1" applyBorder="1" applyProtection="1"/>
    <xf numFmtId="164" fontId="33" fillId="0" borderId="0" xfId="0" applyNumberFormat="1" applyFont="1" applyAlignment="1" applyProtection="1">
      <alignment horizontal="center"/>
    </xf>
    <xf numFmtId="0" fontId="33" fillId="0" borderId="0" xfId="0" applyFont="1" applyProtection="1"/>
    <xf numFmtId="0" fontId="33" fillId="0" borderId="0" xfId="0" applyFont="1" applyAlignment="1" applyProtection="1">
      <alignment horizontal="center"/>
    </xf>
    <xf numFmtId="49" fontId="33" fillId="0" borderId="0" xfId="0" applyNumberFormat="1" applyFont="1" applyAlignment="1" applyProtection="1">
      <alignment horizontal="center"/>
    </xf>
    <xf numFmtId="0" fontId="34" fillId="0" borderId="0" xfId="0" applyFont="1" applyProtection="1"/>
    <xf numFmtId="0" fontId="33" fillId="0" borderId="0" xfId="0" quotePrefix="1" applyFont="1" applyAlignment="1" applyProtection="1">
      <alignment horizontal="center"/>
    </xf>
    <xf numFmtId="0" fontId="9" fillId="0" borderId="0" xfId="0" applyFont="1" applyAlignment="1" applyProtection="1">
      <alignment horizontal="right" indent="1"/>
    </xf>
    <xf numFmtId="40" fontId="19" fillId="0" borderId="0" xfId="0" applyNumberFormat="1" applyFont="1" applyBorder="1" applyProtection="1"/>
    <xf numFmtId="40" fontId="9" fillId="0" borderId="0" xfId="0" applyNumberFormat="1" applyFont="1" applyBorder="1" applyProtection="1"/>
    <xf numFmtId="40" fontId="1" fillId="0" borderId="0" xfId="0" applyNumberFormat="1" applyFont="1" applyFill="1" applyBorder="1" applyProtection="1"/>
    <xf numFmtId="40" fontId="8" fillId="0" borderId="1" xfId="0" applyNumberFormat="1" applyFont="1" applyFill="1" applyBorder="1" applyProtection="1"/>
    <xf numFmtId="0" fontId="40" fillId="0" borderId="0" xfId="0" applyFont="1" applyFill="1" applyProtection="1"/>
    <xf numFmtId="0" fontId="35" fillId="0" borderId="0" xfId="0" applyFont="1" applyAlignment="1" applyProtection="1">
      <alignment horizontal="center" vertical="center"/>
    </xf>
    <xf numFmtId="169" fontId="27" fillId="0" borderId="18" xfId="0" applyNumberFormat="1" applyFont="1" applyBorder="1" applyAlignment="1" applyProtection="1">
      <alignment horizontal="center" vertical="center"/>
      <protection locked="0"/>
    </xf>
    <xf numFmtId="0" fontId="35" fillId="5" borderId="0" xfId="0" applyFont="1" applyFill="1" applyAlignment="1" applyProtection="1">
      <alignment horizontal="center" vertical="center"/>
    </xf>
    <xf numFmtId="0" fontId="27" fillId="0" borderId="0" xfId="0" applyFont="1" applyBorder="1" applyAlignment="1" applyProtection="1">
      <alignment horizontal="center" vertical="center"/>
    </xf>
    <xf numFmtId="0" fontId="0" fillId="0" borderId="0" xfId="0" applyBorder="1" applyProtection="1"/>
    <xf numFmtId="10" fontId="0" fillId="4" borderId="16" xfId="0" applyNumberFormat="1" applyFill="1" applyBorder="1" applyAlignment="1" applyProtection="1">
      <alignment horizontal="right" indent="1"/>
    </xf>
    <xf numFmtId="0" fontId="0" fillId="4" borderId="14" xfId="0" quotePrefix="1" applyFill="1" applyBorder="1" applyProtection="1"/>
    <xf numFmtId="0" fontId="0" fillId="4" borderId="14" xfId="0" applyFill="1" applyBorder="1" applyProtection="1"/>
    <xf numFmtId="167" fontId="38" fillId="4" borderId="16" xfId="0" applyNumberFormat="1" applyFont="1" applyFill="1" applyBorder="1" applyAlignment="1" applyProtection="1">
      <alignment horizontal="right" indent="1"/>
    </xf>
    <xf numFmtId="0" fontId="0" fillId="4" borderId="12" xfId="0" applyFill="1" applyBorder="1" applyAlignment="1" applyProtection="1">
      <alignment horizontal="right" indent="1"/>
    </xf>
    <xf numFmtId="0" fontId="0" fillId="4" borderId="0" xfId="0" applyFill="1" applyBorder="1" applyProtection="1"/>
    <xf numFmtId="0" fontId="36" fillId="4" borderId="13" xfId="0" applyFont="1" applyFill="1" applyBorder="1" applyProtection="1"/>
    <xf numFmtId="0" fontId="0" fillId="4" borderId="13" xfId="0" applyFill="1" applyBorder="1" applyProtection="1"/>
    <xf numFmtId="0" fontId="0" fillId="0" borderId="0" xfId="0" quotePrefix="1" applyProtection="1"/>
    <xf numFmtId="0" fontId="39" fillId="4" borderId="0" xfId="0" applyFont="1" applyFill="1" applyProtection="1"/>
    <xf numFmtId="0" fontId="0" fillId="4" borderId="0" xfId="0" applyFill="1" applyProtection="1"/>
    <xf numFmtId="0" fontId="0" fillId="4" borderId="13" xfId="0" applyFill="1" applyBorder="1" applyAlignment="1" applyProtection="1">
      <alignment horizontal="right" indent="1"/>
    </xf>
    <xf numFmtId="0" fontId="0" fillId="4" borderId="0" xfId="0" quotePrefix="1" applyFill="1" applyBorder="1" applyProtection="1"/>
    <xf numFmtId="167" fontId="38" fillId="4" borderId="17" xfId="0" applyNumberFormat="1" applyFont="1" applyFill="1" applyBorder="1" applyAlignment="1" applyProtection="1">
      <alignment horizontal="right" indent="1"/>
    </xf>
    <xf numFmtId="10" fontId="1" fillId="4" borderId="14" xfId="0" applyNumberFormat="1" applyFont="1" applyFill="1" applyBorder="1" applyAlignment="1" applyProtection="1">
      <alignment horizontal="right" indent="1"/>
    </xf>
    <xf numFmtId="0" fontId="1" fillId="4" borderId="14" xfId="0" quotePrefix="1" applyFont="1" applyFill="1" applyBorder="1" applyProtection="1"/>
    <xf numFmtId="0" fontId="35" fillId="0" borderId="0" xfId="0" applyFont="1" applyProtection="1"/>
    <xf numFmtId="6" fontId="33" fillId="0" borderId="0" xfId="0" applyNumberFormat="1" applyFont="1" applyProtection="1"/>
    <xf numFmtId="0" fontId="0" fillId="0" borderId="0" xfId="0" applyFont="1" applyBorder="1" applyAlignment="1" applyProtection="1"/>
    <xf numFmtId="165" fontId="0" fillId="0" borderId="0" xfId="0" applyNumberFormat="1" applyFont="1" applyProtection="1"/>
    <xf numFmtId="0" fontId="45" fillId="0" borderId="0" xfId="0" applyFont="1" applyAlignment="1" applyProtection="1">
      <alignment horizontal="center" vertical="center"/>
    </xf>
    <xf numFmtId="0" fontId="44" fillId="0" borderId="0" xfId="0" applyFont="1" applyProtection="1"/>
    <xf numFmtId="9" fontId="0" fillId="0" borderId="0" xfId="0" applyNumberFormat="1" applyFont="1" applyProtection="1"/>
    <xf numFmtId="0" fontId="0" fillId="0" borderId="0" xfId="0" applyFont="1" applyBorder="1" applyAlignment="1" applyProtection="1">
      <alignment horizontal="left" vertical="center"/>
    </xf>
    <xf numFmtId="6" fontId="0" fillId="0" borderId="0" xfId="0" applyNumberFormat="1" applyFont="1" applyProtection="1"/>
    <xf numFmtId="0" fontId="0" fillId="0" borderId="0"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20" fillId="0" borderId="0" xfId="0" applyFont="1" applyFill="1" applyProtection="1"/>
    <xf numFmtId="40" fontId="7" fillId="6" borderId="4" xfId="0" applyNumberFormat="1" applyFont="1" applyFill="1" applyBorder="1" applyProtection="1">
      <protection locked="0"/>
    </xf>
    <xf numFmtId="8" fontId="0" fillId="0" borderId="0" xfId="0" applyNumberFormat="1" applyBorder="1" applyProtection="1"/>
    <xf numFmtId="10" fontId="1" fillId="4" borderId="16" xfId="0" applyNumberFormat="1" applyFont="1" applyFill="1" applyBorder="1" applyAlignment="1" applyProtection="1">
      <alignment horizontal="center"/>
    </xf>
    <xf numFmtId="0" fontId="20" fillId="0" borderId="0" xfId="0" applyFont="1" applyFill="1" applyBorder="1" applyAlignment="1" applyProtection="1">
      <alignment horizontal="left" vertical="center" wrapText="1"/>
    </xf>
    <xf numFmtId="0" fontId="0" fillId="4" borderId="0" xfId="0" applyFill="1" applyBorder="1" applyAlignment="1" applyProtection="1">
      <alignment horizontal="right" indent="1"/>
    </xf>
    <xf numFmtId="40" fontId="9" fillId="6" borderId="1" xfId="0" applyNumberFormat="1" applyFont="1" applyFill="1" applyBorder="1" applyProtection="1"/>
    <xf numFmtId="0" fontId="12" fillId="0" borderId="0" xfId="0" applyNumberFormat="1" applyFont="1" applyAlignment="1" applyProtection="1">
      <alignment horizontal="center"/>
    </xf>
    <xf numFmtId="0" fontId="1" fillId="0" borderId="0" xfId="0" applyFont="1" applyFill="1" applyAlignment="1" applyProtection="1">
      <alignment horizontal="right"/>
    </xf>
    <xf numFmtId="6" fontId="49" fillId="0" borderId="0" xfId="0" applyNumberFormat="1" applyFont="1" applyProtection="1"/>
    <xf numFmtId="6" fontId="49" fillId="0" borderId="0" xfId="0" applyNumberFormat="1" applyFont="1" applyAlignment="1" applyProtection="1">
      <alignment horizontal="right"/>
    </xf>
    <xf numFmtId="0" fontId="33" fillId="8" borderId="0" xfId="0" applyFont="1" applyFill="1" applyProtection="1"/>
    <xf numFmtId="0" fontId="0" fillId="8" borderId="0" xfId="0" applyFont="1" applyFill="1" applyProtection="1"/>
    <xf numFmtId="0" fontId="50" fillId="0" borderId="0" xfId="0" applyFont="1" applyProtection="1"/>
    <xf numFmtId="9" fontId="50" fillId="0" borderId="0" xfId="1" applyFont="1" applyProtection="1"/>
    <xf numFmtId="0" fontId="39" fillId="0" borderId="0" xfId="0" applyFont="1" applyAlignment="1" applyProtection="1">
      <alignment horizontal="right"/>
    </xf>
    <xf numFmtId="0" fontId="42" fillId="0" borderId="0" xfId="0" applyFont="1" applyAlignment="1" applyProtection="1">
      <alignment horizontal="center" vertical="center"/>
    </xf>
    <xf numFmtId="0" fontId="0" fillId="0" borderId="0" xfId="0" applyFont="1" applyBorder="1" applyAlignment="1" applyProtection="1">
      <alignment horizontal="center"/>
    </xf>
    <xf numFmtId="0" fontId="0" fillId="0" borderId="24" xfId="0" applyBorder="1" applyAlignment="1">
      <alignment horizontal="center" wrapText="1"/>
    </xf>
    <xf numFmtId="0" fontId="0" fillId="0" borderId="0" xfId="0" applyFont="1" applyAlignment="1" applyProtection="1">
      <alignment horizontal="center" vertical="center"/>
    </xf>
    <xf numFmtId="38" fontId="27" fillId="0" borderId="28" xfId="0" applyNumberFormat="1" applyFont="1" applyBorder="1" applyAlignment="1" applyProtection="1">
      <alignment horizontal="center" vertical="center"/>
      <protection locked="0"/>
    </xf>
    <xf numFmtId="38" fontId="27" fillId="0" borderId="12" xfId="0" applyNumberFormat="1" applyFont="1" applyBorder="1" applyAlignment="1" applyProtection="1">
      <alignment horizontal="center" vertical="center"/>
      <protection locked="0"/>
    </xf>
    <xf numFmtId="0" fontId="0" fillId="0" borderId="0" xfId="0" applyFont="1" applyAlignment="1" applyProtection="1">
      <alignment horizontal="right" vertical="center"/>
    </xf>
    <xf numFmtId="38" fontId="0" fillId="0" borderId="24" xfId="0" applyNumberFormat="1" applyFont="1" applyBorder="1" applyAlignment="1" applyProtection="1">
      <alignment horizontal="center" vertical="center"/>
    </xf>
    <xf numFmtId="38" fontId="0" fillId="0" borderId="29" xfId="0" applyNumberFormat="1" applyFont="1" applyBorder="1" applyAlignment="1" applyProtection="1">
      <alignment horizontal="center" vertical="center"/>
    </xf>
    <xf numFmtId="9" fontId="0" fillId="0" borderId="13" xfId="0" applyNumberFormat="1" applyFont="1" applyBorder="1" applyAlignment="1" applyProtection="1">
      <alignment horizontal="center" vertical="center"/>
    </xf>
    <xf numFmtId="0" fontId="0" fillId="0" borderId="13" xfId="0" applyFont="1" applyBorder="1" applyProtection="1"/>
    <xf numFmtId="9" fontId="0" fillId="0" borderId="15" xfId="0" applyNumberFormat="1" applyFont="1" applyBorder="1" applyAlignment="1" applyProtection="1">
      <alignment horizontal="center" vertical="center"/>
    </xf>
    <xf numFmtId="0" fontId="0" fillId="0" borderId="15" xfId="0" applyFont="1" applyBorder="1" applyProtection="1"/>
    <xf numFmtId="10" fontId="0" fillId="0" borderId="13" xfId="0" applyNumberFormat="1" applyFont="1" applyBorder="1" applyAlignment="1" applyProtection="1">
      <alignment horizontal="center" vertical="center"/>
    </xf>
    <xf numFmtId="10" fontId="0" fillId="0" borderId="15" xfId="0" applyNumberFormat="1" applyFont="1" applyBorder="1" applyAlignment="1" applyProtection="1">
      <alignment horizontal="center" vertical="center"/>
    </xf>
    <xf numFmtId="0" fontId="51" fillId="0" borderId="0" xfId="0" applyFont="1" applyAlignment="1" applyProtection="1">
      <alignment horizontal="center" vertical="center" wrapText="1"/>
    </xf>
    <xf numFmtId="10" fontId="0" fillId="0" borderId="24" xfId="0" applyNumberFormat="1" applyFont="1" applyBorder="1" applyAlignment="1" applyProtection="1">
      <alignment horizontal="center" vertical="center"/>
    </xf>
    <xf numFmtId="10" fontId="0" fillId="0" borderId="29" xfId="0" applyNumberFormat="1" applyFont="1" applyBorder="1" applyAlignment="1" applyProtection="1">
      <alignment horizontal="center" vertical="center"/>
    </xf>
    <xf numFmtId="0" fontId="0" fillId="0" borderId="13" xfId="0" applyFont="1" applyBorder="1" applyAlignment="1" applyProtection="1">
      <alignment horizontal="right" vertical="center"/>
    </xf>
    <xf numFmtId="0" fontId="0" fillId="0" borderId="13" xfId="0" applyFont="1" applyBorder="1" applyAlignment="1" applyProtection="1">
      <alignment horizontal="right"/>
    </xf>
    <xf numFmtId="0" fontId="0" fillId="0" borderId="31" xfId="0" applyFont="1" applyBorder="1" applyProtection="1"/>
    <xf numFmtId="10" fontId="0" fillId="0" borderId="32" xfId="1" applyNumberFormat="1" applyFont="1" applyBorder="1" applyAlignment="1" applyProtection="1">
      <alignment horizontal="center" vertical="center"/>
    </xf>
    <xf numFmtId="0" fontId="22" fillId="0" borderId="0" xfId="0" applyFont="1" applyAlignment="1" applyProtection="1">
      <alignment horizontal="left" vertical="center"/>
    </xf>
    <xf numFmtId="6" fontId="0" fillId="0" borderId="0" xfId="0" applyNumberFormat="1" applyFont="1" applyFill="1" applyProtection="1"/>
    <xf numFmtId="0" fontId="51" fillId="0" borderId="0" xfId="0" applyFont="1" applyAlignment="1" applyProtection="1">
      <alignment horizontal="right" vertical="center"/>
    </xf>
    <xf numFmtId="0" fontId="54" fillId="0" borderId="0" xfId="0" applyFont="1" applyProtection="1"/>
    <xf numFmtId="9" fontId="54" fillId="0" borderId="0" xfId="0" applyNumberFormat="1" applyFont="1" applyProtection="1"/>
    <xf numFmtId="0" fontId="41" fillId="0" borderId="0" xfId="0" applyFont="1" applyProtection="1"/>
    <xf numFmtId="0" fontId="42" fillId="0" borderId="0" xfId="0" applyFont="1" applyBorder="1" applyProtection="1"/>
    <xf numFmtId="0" fontId="42" fillId="0" borderId="14" xfId="0" applyFont="1" applyBorder="1" applyProtection="1"/>
    <xf numFmtId="0" fontId="36" fillId="4" borderId="0" xfId="0" applyFont="1" applyFill="1" applyBorder="1" applyProtection="1"/>
    <xf numFmtId="0" fontId="0" fillId="0" borderId="0" xfId="0" quotePrefix="1" applyFont="1" applyProtection="1"/>
    <xf numFmtId="0" fontId="5" fillId="0" borderId="0" xfId="0" applyFont="1" applyAlignment="1" applyProtection="1">
      <alignment horizontal="right"/>
    </xf>
    <xf numFmtId="0" fontId="0" fillId="0" borderId="0" xfId="0" applyFont="1" applyAlignment="1" applyProtection="1">
      <alignment horizontal="center"/>
    </xf>
    <xf numFmtId="0" fontId="55" fillId="0" borderId="0" xfId="0" applyFont="1" applyAlignment="1" applyProtection="1">
      <alignment vertical="center"/>
    </xf>
    <xf numFmtId="0" fontId="0" fillId="9" borderId="0" xfId="0" applyFill="1" applyProtection="1"/>
    <xf numFmtId="0" fontId="0" fillId="0" borderId="0" xfId="0" applyFont="1" applyBorder="1" applyProtection="1"/>
    <xf numFmtId="0" fontId="0" fillId="0" borderId="0" xfId="0" quotePrefix="1" applyFont="1" applyBorder="1" applyProtection="1"/>
    <xf numFmtId="0" fontId="39" fillId="0" borderId="0" xfId="0" applyFont="1" applyAlignment="1" applyProtection="1">
      <alignment horizontal="left"/>
    </xf>
    <xf numFmtId="0" fontId="0" fillId="9" borderId="0" xfId="0" applyFont="1" applyFill="1" applyProtection="1"/>
    <xf numFmtId="6" fontId="1" fillId="9" borderId="0" xfId="0" applyNumberFormat="1" applyFont="1" applyFill="1" applyProtection="1"/>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Fill="1" applyAlignment="1" applyProtection="1">
      <alignment horizontal="center" vertical="center" wrapText="1"/>
    </xf>
    <xf numFmtId="0" fontId="38" fillId="0" borderId="28" xfId="0" quotePrefix="1" applyFont="1" applyBorder="1" applyAlignment="1" applyProtection="1">
      <alignment horizontal="center"/>
    </xf>
    <xf numFmtId="8" fontId="0" fillId="0" borderId="0" xfId="0" quotePrefix="1" applyNumberFormat="1" applyFont="1" applyBorder="1" applyAlignment="1" applyProtection="1">
      <alignment horizontal="center"/>
    </xf>
    <xf numFmtId="0" fontId="58" fillId="0" borderId="0" xfId="0" applyFont="1" applyProtection="1"/>
    <xf numFmtId="0" fontId="1" fillId="0" borderId="0" xfId="0" applyFont="1" applyFill="1" applyBorder="1" applyAlignment="1" applyProtection="1">
      <alignment horizontal="left" vertical="center"/>
    </xf>
    <xf numFmtId="0" fontId="0" fillId="0" borderId="0" xfId="0" quotePrefix="1" applyFont="1" applyBorder="1" applyAlignment="1" applyProtection="1"/>
    <xf numFmtId="10" fontId="1" fillId="4" borderId="17" xfId="0" applyNumberFormat="1" applyFont="1" applyFill="1" applyBorder="1" applyAlignment="1" applyProtection="1">
      <alignment horizontal="center"/>
    </xf>
    <xf numFmtId="9" fontId="1" fillId="0" borderId="0" xfId="1" applyFont="1" applyProtection="1"/>
    <xf numFmtId="0" fontId="19" fillId="0" borderId="0" xfId="0" applyFont="1" applyFill="1" applyAlignment="1" applyProtection="1">
      <alignment horizontal="center"/>
    </xf>
    <xf numFmtId="40" fontId="9" fillId="0" borderId="17" xfId="0" applyNumberFormat="1" applyFont="1" applyFill="1" applyBorder="1" applyProtection="1"/>
    <xf numFmtId="6" fontId="50" fillId="0" borderId="0" xfId="0" applyNumberFormat="1" applyFont="1" applyProtection="1"/>
    <xf numFmtId="0" fontId="48" fillId="0" borderId="0" xfId="0" applyFont="1"/>
    <xf numFmtId="0" fontId="49" fillId="0" borderId="0" xfId="0" applyFont="1"/>
    <xf numFmtId="0" fontId="60" fillId="0" borderId="0" xfId="0" applyFont="1"/>
    <xf numFmtId="0" fontId="0" fillId="0" borderId="0" xfId="0" quotePrefix="1"/>
    <xf numFmtId="0" fontId="1" fillId="0" borderId="0" xfId="0" applyFont="1"/>
    <xf numFmtId="0" fontId="26" fillId="0" borderId="0" xfId="0" quotePrefix="1" applyFont="1"/>
    <xf numFmtId="0" fontId="0" fillId="0" borderId="0" xfId="0" applyAlignment="1">
      <alignment horizontal="left" vertical="center"/>
    </xf>
    <xf numFmtId="9" fontId="27" fillId="0" borderId="4" xfId="0" applyNumberFormat="1" applyFont="1" applyBorder="1" applyAlignment="1">
      <alignment horizontal="center"/>
    </xf>
    <xf numFmtId="6" fontId="27" fillId="0" borderId="4" xfId="0" applyNumberFormat="1" applyFont="1" applyBorder="1" applyAlignment="1">
      <alignment horizontal="center"/>
    </xf>
    <xf numFmtId="0" fontId="62" fillId="0" borderId="0" xfId="0" applyFont="1" applyProtection="1"/>
    <xf numFmtId="0" fontId="0" fillId="0" borderId="0" xfId="0" applyFont="1" applyBorder="1" applyAlignment="1" applyProtection="1">
      <alignment horizontal="center"/>
    </xf>
    <xf numFmtId="0" fontId="1" fillId="0" borderId="0" xfId="0" quotePrefix="1" applyFont="1" applyProtection="1"/>
    <xf numFmtId="173" fontId="27" fillId="0" borderId="4" xfId="0" applyNumberFormat="1" applyFont="1" applyBorder="1" applyAlignment="1">
      <alignment horizontal="center"/>
    </xf>
    <xf numFmtId="0" fontId="63" fillId="0" borderId="0" xfId="0" quotePrefix="1" applyFont="1"/>
    <xf numFmtId="0" fontId="41" fillId="0" borderId="0" xfId="0" applyFont="1" applyAlignment="1">
      <alignment horizontal="center"/>
    </xf>
    <xf numFmtId="0" fontId="41" fillId="0" borderId="0" xfId="0" applyFont="1"/>
    <xf numFmtId="0" fontId="22" fillId="0" borderId="0" xfId="0" applyFont="1" applyAlignment="1" applyProtection="1">
      <alignment horizontal="right"/>
    </xf>
    <xf numFmtId="40" fontId="7" fillId="6" borderId="4" xfId="0" applyNumberFormat="1" applyFont="1" applyFill="1" applyBorder="1" applyProtection="1"/>
    <xf numFmtId="0" fontId="41" fillId="0" borderId="0" xfId="0" applyFont="1" applyAlignment="1" applyProtection="1">
      <alignment horizontal="left" vertical="top" wrapText="1"/>
    </xf>
    <xf numFmtId="0" fontId="41" fillId="0" borderId="33" xfId="0" applyFont="1" applyBorder="1" applyAlignment="1">
      <alignment horizontal="left" vertical="center" wrapText="1"/>
    </xf>
    <xf numFmtId="0" fontId="41" fillId="0" borderId="0" xfId="0" applyFont="1" applyBorder="1" applyAlignment="1">
      <alignment horizontal="left" vertical="center" wrapText="1"/>
    </xf>
    <xf numFmtId="171" fontId="53" fillId="0" borderId="28" xfId="0" applyNumberFormat="1" applyFont="1" applyBorder="1" applyAlignment="1">
      <alignment horizontal="center"/>
    </xf>
    <xf numFmtId="0" fontId="31" fillId="0" borderId="24" xfId="0" applyFont="1" applyBorder="1" applyAlignment="1" applyProtection="1">
      <alignment horizontal="center"/>
    </xf>
    <xf numFmtId="0" fontId="45" fillId="0" borderId="0" xfId="0" applyFont="1" applyAlignment="1" applyProtection="1">
      <alignment horizontal="center" vertical="center" wrapText="1"/>
    </xf>
    <xf numFmtId="0" fontId="27" fillId="7" borderId="4" xfId="0" applyFont="1" applyFill="1" applyBorder="1" applyAlignment="1" applyProtection="1">
      <alignment horizontal="center"/>
    </xf>
    <xf numFmtId="8" fontId="1" fillId="0" borderId="17" xfId="0" applyNumberFormat="1" applyFont="1" applyBorder="1" applyAlignment="1" applyProtection="1">
      <alignment horizontal="right" indent="1"/>
    </xf>
    <xf numFmtId="0" fontId="7" fillId="0" borderId="4" xfId="0" applyFont="1" applyFill="1" applyBorder="1" applyAlignment="1" applyProtection="1">
      <alignment horizontal="left"/>
      <protection locked="0"/>
    </xf>
    <xf numFmtId="0" fontId="0" fillId="0" borderId="28" xfId="0" applyBorder="1" applyAlignment="1" applyProtection="1">
      <alignment horizontal="center"/>
    </xf>
    <xf numFmtId="0" fontId="52" fillId="0" borderId="0" xfId="0" applyFont="1" applyAlignment="1" applyProtection="1">
      <alignment horizontal="left" wrapText="1"/>
    </xf>
    <xf numFmtId="0" fontId="0" fillId="0" borderId="5" xfId="0" applyFont="1" applyBorder="1" applyAlignment="1" applyProtection="1">
      <alignment horizontal="center"/>
    </xf>
    <xf numFmtId="8" fontId="0" fillId="0" borderId="19" xfId="0" quotePrefix="1" applyNumberFormat="1" applyFont="1" applyBorder="1" applyAlignment="1" applyProtection="1">
      <alignment horizontal="right" indent="1"/>
    </xf>
    <xf numFmtId="0" fontId="27" fillId="0" borderId="4" xfId="0" applyFont="1" applyBorder="1" applyAlignment="1" applyProtection="1">
      <alignment horizontal="center"/>
      <protection locked="0"/>
    </xf>
    <xf numFmtId="0" fontId="0" fillId="0" borderId="0" xfId="0" applyFont="1" applyBorder="1" applyAlignment="1" applyProtection="1">
      <alignment horizontal="center"/>
    </xf>
    <xf numFmtId="8" fontId="1" fillId="0" borderId="28" xfId="0" applyNumberFormat="1" applyFont="1" applyBorder="1" applyAlignment="1">
      <alignment horizontal="right" indent="1"/>
    </xf>
    <xf numFmtId="0" fontId="8" fillId="0" borderId="0" xfId="0" applyFont="1" applyAlignment="1" applyProtection="1">
      <alignment horizontal="center" vertical="center" wrapText="1"/>
    </xf>
    <xf numFmtId="168" fontId="47" fillId="0" borderId="0" xfId="1" applyNumberFormat="1" applyFont="1" applyFill="1" applyAlignment="1" applyProtection="1">
      <alignment horizontal="center"/>
      <protection locked="0"/>
    </xf>
    <xf numFmtId="0" fontId="27" fillId="0" borderId="4" xfId="0" applyFont="1" applyBorder="1" applyAlignment="1" applyProtection="1">
      <alignment horizontal="center" shrinkToFit="1"/>
      <protection locked="0"/>
    </xf>
    <xf numFmtId="0" fontId="47" fillId="0" borderId="0" xfId="0" applyFont="1" applyAlignment="1" applyProtection="1">
      <alignment horizontal="center"/>
      <protection locked="0"/>
    </xf>
    <xf numFmtId="0" fontId="19" fillId="0" borderId="0" xfId="0" applyFont="1" applyFill="1" applyAlignment="1" applyProtection="1">
      <alignment horizontal="center"/>
    </xf>
    <xf numFmtId="0" fontId="0" fillId="0" borderId="0" xfId="0" applyAlignment="1" applyProtection="1">
      <alignment horizontal="center"/>
    </xf>
    <xf numFmtId="0" fontId="0" fillId="0" borderId="28" xfId="0" applyFont="1" applyBorder="1" applyAlignment="1" applyProtection="1">
      <alignment horizontal="center"/>
    </xf>
    <xf numFmtId="6" fontId="0" fillId="0" borderId="28" xfId="0" applyNumberFormat="1" applyFont="1" applyBorder="1" applyAlignment="1" applyProtection="1">
      <alignment horizontal="center"/>
    </xf>
    <xf numFmtId="0" fontId="27" fillId="0" borderId="4" xfId="0" applyFont="1" applyBorder="1" applyAlignment="1" applyProtection="1">
      <alignment horizontal="left" vertical="center" indent="1"/>
      <protection locked="0"/>
    </xf>
    <xf numFmtId="49" fontId="27" fillId="0" borderId="6" xfId="0" applyNumberFormat="1" applyFont="1" applyBorder="1" applyAlignment="1" applyProtection="1">
      <alignment horizontal="left" vertical="top" wrapText="1"/>
      <protection locked="0"/>
    </xf>
    <xf numFmtId="49" fontId="27" fillId="0" borderId="5" xfId="0" applyNumberFormat="1" applyFont="1" applyBorder="1" applyAlignment="1" applyProtection="1">
      <alignment horizontal="left" vertical="top"/>
      <protection locked="0"/>
    </xf>
    <xf numFmtId="49" fontId="27" fillId="0" borderId="7" xfId="0" applyNumberFormat="1" applyFont="1" applyBorder="1" applyAlignment="1" applyProtection="1">
      <alignment horizontal="left" vertical="top"/>
      <protection locked="0"/>
    </xf>
    <xf numFmtId="49" fontId="27" fillId="0" borderId="8" xfId="0" applyNumberFormat="1" applyFont="1" applyBorder="1" applyAlignment="1" applyProtection="1">
      <alignment horizontal="left" vertical="top"/>
      <protection locked="0"/>
    </xf>
    <xf numFmtId="49" fontId="27" fillId="0" borderId="0" xfId="0" applyNumberFormat="1" applyFont="1" applyBorder="1" applyAlignment="1" applyProtection="1">
      <alignment horizontal="left" vertical="top"/>
      <protection locked="0"/>
    </xf>
    <xf numFmtId="49" fontId="27" fillId="0" borderId="9" xfId="0" applyNumberFormat="1" applyFont="1" applyBorder="1" applyAlignment="1" applyProtection="1">
      <alignment horizontal="left" vertical="top"/>
      <protection locked="0"/>
    </xf>
    <xf numFmtId="49" fontId="27" fillId="0" borderId="10" xfId="0" applyNumberFormat="1" applyFont="1" applyBorder="1" applyAlignment="1" applyProtection="1">
      <alignment horizontal="left" vertical="top"/>
      <protection locked="0"/>
    </xf>
    <xf numFmtId="49" fontId="27" fillId="0" borderId="4" xfId="0" applyNumberFormat="1" applyFont="1" applyBorder="1" applyAlignment="1" applyProtection="1">
      <alignment horizontal="left" vertical="top"/>
      <protection locked="0"/>
    </xf>
    <xf numFmtId="49" fontId="27" fillId="0" borderId="11" xfId="0" applyNumberFormat="1" applyFont="1" applyBorder="1" applyAlignment="1" applyProtection="1">
      <alignment horizontal="left" vertical="top"/>
      <protection locked="0"/>
    </xf>
    <xf numFmtId="49" fontId="27" fillId="0" borderId="5" xfId="0" applyNumberFormat="1" applyFont="1" applyBorder="1" applyAlignment="1" applyProtection="1">
      <alignment horizontal="left" vertical="top" wrapText="1"/>
      <protection locked="0"/>
    </xf>
    <xf numFmtId="49" fontId="27" fillId="0" borderId="7" xfId="0" applyNumberFormat="1" applyFont="1" applyBorder="1" applyAlignment="1" applyProtection="1">
      <alignment horizontal="left" vertical="top" wrapText="1"/>
      <protection locked="0"/>
    </xf>
    <xf numFmtId="49" fontId="27" fillId="0" borderId="8" xfId="0" applyNumberFormat="1" applyFont="1" applyBorder="1" applyAlignment="1" applyProtection="1">
      <alignment horizontal="left" vertical="top" wrapText="1"/>
      <protection locked="0"/>
    </xf>
    <xf numFmtId="49" fontId="27" fillId="0" borderId="0" xfId="0" applyNumberFormat="1" applyFont="1" applyBorder="1" applyAlignment="1" applyProtection="1">
      <alignment horizontal="left" vertical="top" wrapText="1"/>
      <protection locked="0"/>
    </xf>
    <xf numFmtId="49" fontId="27" fillId="0" borderId="9" xfId="0" applyNumberFormat="1" applyFont="1" applyBorder="1" applyAlignment="1" applyProtection="1">
      <alignment horizontal="left" vertical="top" wrapText="1"/>
      <protection locked="0"/>
    </xf>
    <xf numFmtId="49" fontId="27" fillId="0" borderId="10" xfId="0" applyNumberFormat="1" applyFont="1" applyBorder="1" applyAlignment="1" applyProtection="1">
      <alignment horizontal="left" vertical="top" wrapText="1"/>
      <protection locked="0"/>
    </xf>
    <xf numFmtId="49" fontId="27" fillId="0" borderId="4" xfId="0" applyNumberFormat="1" applyFont="1" applyBorder="1" applyAlignment="1" applyProtection="1">
      <alignment horizontal="left" vertical="top" wrapText="1"/>
      <protection locked="0"/>
    </xf>
    <xf numFmtId="49" fontId="27" fillId="0" borderId="11" xfId="0" applyNumberFormat="1" applyFont="1" applyBorder="1" applyAlignment="1" applyProtection="1">
      <alignment horizontal="left" vertical="top" wrapText="1"/>
      <protection locked="0"/>
    </xf>
    <xf numFmtId="0" fontId="27" fillId="0" borderId="4" xfId="0" applyFont="1" applyBorder="1" applyAlignment="1" applyProtection="1">
      <alignment horizontal="left"/>
      <protection locked="0"/>
    </xf>
    <xf numFmtId="0" fontId="27" fillId="0" borderId="4" xfId="0" applyFont="1" applyBorder="1" applyAlignment="1" applyProtection="1">
      <alignment horizontal="center" vertical="center"/>
      <protection locked="0"/>
    </xf>
    <xf numFmtId="0" fontId="0" fillId="0" borderId="17" xfId="0" applyFont="1" applyBorder="1" applyAlignment="1" applyProtection="1">
      <alignment horizontal="center"/>
    </xf>
    <xf numFmtId="0" fontId="0" fillId="0" borderId="30" xfId="0" applyFont="1" applyBorder="1" applyAlignment="1" applyProtection="1">
      <alignment horizontal="right" vertical="center" wrapText="1"/>
    </xf>
    <xf numFmtId="0" fontId="0" fillId="0" borderId="31" xfId="0" applyFont="1" applyBorder="1" applyAlignment="1" applyProtection="1">
      <alignment horizontal="right" vertical="center" wrapText="1"/>
    </xf>
    <xf numFmtId="0" fontId="33" fillId="0" borderId="0" xfId="0" applyFont="1" applyAlignment="1" applyProtection="1">
      <alignment horizontal="center" vertical="center" wrapText="1"/>
    </xf>
    <xf numFmtId="0" fontId="0" fillId="0" borderId="12" xfId="0" applyBorder="1" applyAlignment="1" applyProtection="1">
      <alignment horizontal="center"/>
    </xf>
    <xf numFmtId="172" fontId="11" fillId="0" borderId="28" xfId="0" applyNumberFormat="1" applyFont="1" applyBorder="1" applyAlignment="1">
      <alignment horizontal="center"/>
    </xf>
    <xf numFmtId="170" fontId="53" fillId="0" borderId="28" xfId="0" applyNumberFormat="1" applyFont="1" applyBorder="1" applyAlignment="1">
      <alignment horizontal="center"/>
    </xf>
    <xf numFmtId="0" fontId="38" fillId="0" borderId="21" xfId="0" applyFont="1" applyBorder="1" applyAlignment="1" applyProtection="1">
      <alignment horizontal="center" vertical="top" wrapText="1"/>
    </xf>
    <xf numFmtId="0" fontId="38" fillId="0" borderId="20" xfId="0" applyFont="1" applyBorder="1" applyAlignment="1" applyProtection="1">
      <alignment horizontal="center" vertical="top" wrapText="1"/>
    </xf>
    <xf numFmtId="0" fontId="38" fillId="0" borderId="22" xfId="0" applyFont="1" applyBorder="1" applyAlignment="1" applyProtection="1">
      <alignment horizontal="center" vertical="top" wrapText="1"/>
    </xf>
    <xf numFmtId="0" fontId="38" fillId="0" borderId="26" xfId="0" applyFont="1" applyBorder="1" applyAlignment="1" applyProtection="1">
      <alignment horizontal="center" vertical="top" wrapText="1"/>
    </xf>
    <xf numFmtId="0" fontId="38" fillId="0" borderId="0" xfId="0" applyFont="1" applyBorder="1" applyAlignment="1" applyProtection="1">
      <alignment horizontal="center" vertical="top" wrapText="1"/>
    </xf>
    <xf numFmtId="0" fontId="38" fillId="0" borderId="27" xfId="0" applyFont="1" applyBorder="1" applyAlignment="1" applyProtection="1">
      <alignment horizontal="center" vertical="top" wrapText="1"/>
    </xf>
    <xf numFmtId="0" fontId="38" fillId="0" borderId="23" xfId="0" applyFont="1" applyBorder="1" applyAlignment="1" applyProtection="1">
      <alignment horizontal="center" vertical="top" wrapText="1"/>
    </xf>
    <xf numFmtId="0" fontId="38" fillId="0" borderId="24" xfId="0" applyFont="1" applyBorder="1" applyAlignment="1" applyProtection="1">
      <alignment horizontal="center" vertical="top" wrapText="1"/>
    </xf>
    <xf numFmtId="0" fontId="38" fillId="0" borderId="25" xfId="0" applyFont="1" applyBorder="1" applyAlignment="1" applyProtection="1">
      <alignment horizontal="center" vertical="top" wrapText="1"/>
    </xf>
    <xf numFmtId="0" fontId="41" fillId="0" borderId="15" xfId="0" applyFont="1" applyBorder="1" applyAlignment="1" applyProtection="1">
      <alignment horizontal="left" vertical="center" wrapText="1"/>
    </xf>
    <xf numFmtId="0" fontId="61" fillId="0" borderId="15" xfId="0" applyFont="1" applyBorder="1" applyAlignment="1" applyProtection="1">
      <alignment horizontal="left" vertical="center" wrapText="1"/>
    </xf>
    <xf numFmtId="0" fontId="41" fillId="0" borderId="14" xfId="0" applyFont="1" applyBorder="1" applyAlignment="1" applyProtection="1">
      <alignment horizontal="left" vertical="top" wrapText="1"/>
    </xf>
    <xf numFmtId="0" fontId="41" fillId="0" borderId="0" xfId="0" applyFont="1" applyBorder="1" applyAlignment="1" applyProtection="1">
      <alignment horizontal="left" vertical="top" wrapText="1"/>
    </xf>
    <xf numFmtId="0" fontId="41" fillId="0" borderId="13" xfId="0" applyFont="1" applyBorder="1" applyAlignment="1" applyProtection="1">
      <alignment horizontal="left" vertical="top" wrapText="1"/>
    </xf>
    <xf numFmtId="0" fontId="35" fillId="4" borderId="14" xfId="0" applyFont="1" applyFill="1" applyBorder="1" applyAlignment="1" applyProtection="1">
      <alignment horizontal="left" vertical="top" wrapText="1"/>
    </xf>
    <xf numFmtId="0" fontId="35" fillId="4" borderId="0" xfId="0" applyFont="1" applyFill="1" applyBorder="1" applyAlignment="1" applyProtection="1">
      <alignment horizontal="left" vertical="top" wrapText="1"/>
    </xf>
    <xf numFmtId="0" fontId="41" fillId="0" borderId="14" xfId="0" applyFont="1" applyBorder="1" applyAlignment="1" applyProtection="1">
      <alignment horizontal="left" vertical="center" wrapText="1"/>
    </xf>
    <xf numFmtId="0" fontId="41" fillId="0" borderId="13" xfId="0" applyFont="1" applyBorder="1" applyAlignment="1" applyProtection="1">
      <alignment horizontal="left" vertical="center" wrapText="1"/>
    </xf>
    <xf numFmtId="0" fontId="43" fillId="0" borderId="15" xfId="0" applyFont="1" applyBorder="1" applyAlignment="1" applyProtection="1">
      <alignment horizontal="left" vertical="center" wrapText="1"/>
    </xf>
    <xf numFmtId="0" fontId="38" fillId="0" borderId="21" xfId="0" applyFont="1" applyBorder="1" applyAlignment="1" applyProtection="1">
      <alignment horizontal="center" vertical="center" wrapText="1"/>
    </xf>
    <xf numFmtId="0" fontId="38" fillId="0" borderId="20" xfId="0" applyFont="1" applyBorder="1" applyAlignment="1" applyProtection="1">
      <alignment horizontal="center" vertical="center" wrapText="1"/>
    </xf>
    <xf numFmtId="0" fontId="38" fillId="0" borderId="22" xfId="0" applyFont="1" applyBorder="1" applyAlignment="1" applyProtection="1">
      <alignment horizontal="center" vertical="center" wrapText="1"/>
    </xf>
    <xf numFmtId="0" fontId="38" fillId="0" borderId="26"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27" xfId="0" applyFont="1" applyBorder="1" applyAlignment="1" applyProtection="1">
      <alignment horizontal="center" vertical="center" wrapText="1"/>
    </xf>
    <xf numFmtId="0" fontId="38" fillId="0" borderId="23" xfId="0" applyFont="1" applyBorder="1" applyAlignment="1" applyProtection="1">
      <alignment horizontal="center" vertical="center" wrapText="1"/>
    </xf>
    <xf numFmtId="0" fontId="38" fillId="0" borderId="24" xfId="0" applyFont="1" applyBorder="1" applyAlignment="1" applyProtection="1">
      <alignment horizontal="center" vertical="center" wrapText="1"/>
    </xf>
    <xf numFmtId="0" fontId="38" fillId="0" borderId="25" xfId="0" applyFont="1" applyBorder="1" applyAlignment="1" applyProtection="1">
      <alignment horizontal="center" vertical="center" wrapText="1"/>
    </xf>
  </cellXfs>
  <cellStyles count="2">
    <cellStyle name="Normal" xfId="0" builtinId="0"/>
    <cellStyle name="Percent" xfId="1" builtinId="5"/>
  </cellStyles>
  <dxfs count="115">
    <dxf>
      <fill>
        <patternFill>
          <bgColor rgb="FFFFEBFF"/>
        </patternFill>
      </fill>
    </dxf>
    <dxf>
      <font>
        <b/>
        <i val="0"/>
        <color rgb="FFC00000"/>
      </font>
      <fill>
        <patternFill>
          <bgColor rgb="FFFFE6FF"/>
        </patternFill>
      </fill>
    </dxf>
    <dxf>
      <font>
        <b/>
        <i val="0"/>
        <color rgb="FFC00000"/>
      </font>
      <fill>
        <patternFill>
          <bgColor rgb="FFFFE6FF"/>
        </patternFill>
      </fill>
    </dxf>
    <dxf>
      <font>
        <b/>
        <i/>
        <color rgb="FFFF0000"/>
      </font>
    </dxf>
    <dxf>
      <font>
        <b/>
        <i val="0"/>
        <color rgb="FFFF0000"/>
      </font>
    </dxf>
    <dxf>
      <font>
        <b/>
        <i val="0"/>
        <color rgb="FFFF0000"/>
      </font>
    </dxf>
    <dxf>
      <font>
        <b/>
        <i val="0"/>
        <color rgb="FFFF0000"/>
      </font>
    </dxf>
    <dxf>
      <font>
        <b/>
        <i/>
        <color rgb="FFFF0000"/>
      </font>
    </dxf>
    <dxf>
      <font>
        <b/>
        <i/>
        <color rgb="FFFF0000"/>
      </font>
    </dxf>
    <dxf>
      <font>
        <b/>
        <i/>
        <color rgb="FFFF0000"/>
      </font>
      <fill>
        <patternFill patternType="none">
          <bgColor auto="1"/>
        </patternFill>
      </fill>
    </dxf>
    <dxf>
      <font>
        <b/>
        <i/>
        <color rgb="FFFF0000"/>
      </font>
    </dxf>
    <dxf>
      <fill>
        <patternFill>
          <bgColor rgb="FFCCFFCC"/>
        </patternFill>
      </fill>
    </dxf>
    <dxf>
      <fill>
        <patternFill>
          <bgColor rgb="FFCCFFCC"/>
        </patternFill>
      </fill>
    </dxf>
    <dxf>
      <fill>
        <patternFill>
          <bgColor rgb="FFFFE6FF"/>
        </patternFill>
      </fill>
    </dxf>
    <dxf>
      <fill>
        <patternFill>
          <bgColor rgb="FFFFEBFF"/>
        </patternFill>
      </fill>
    </dxf>
    <dxf>
      <font>
        <b/>
        <i/>
        <color rgb="FFFF0000"/>
      </font>
      <fill>
        <patternFill>
          <bgColor rgb="FFFFEBFF"/>
        </patternFill>
      </fill>
    </dxf>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ont>
        <color rgb="FFC00000"/>
      </font>
      <fill>
        <patternFill>
          <bgColor rgb="FFFFEBFF"/>
        </patternFill>
      </fill>
    </dxf>
    <dxf>
      <font>
        <color rgb="FFC0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ill>
        <patternFill>
          <bgColor rgb="FFFFEBFF"/>
        </patternFill>
      </fill>
    </dxf>
    <dxf>
      <fill>
        <patternFill>
          <bgColor rgb="FFFFEBFF"/>
        </patternFill>
      </fill>
    </dxf>
    <dxf>
      <font>
        <b/>
        <i/>
        <color rgb="FFFF0000"/>
      </font>
      <fill>
        <patternFill>
          <bgColor rgb="FFFFEBFF"/>
        </patternFill>
      </fill>
    </dxf>
    <dxf>
      <font>
        <b/>
        <i val="0"/>
        <color rgb="FFC00000"/>
      </font>
      <fill>
        <patternFill>
          <bgColor rgb="FFFFCC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b val="0"/>
        <i/>
        <color rgb="FFFF0000"/>
      </font>
    </dxf>
    <dxf>
      <fill>
        <patternFill>
          <bgColor rgb="FFCCFFCC"/>
        </patternFill>
      </fill>
    </dxf>
    <dxf>
      <font>
        <b/>
        <i val="0"/>
        <color rgb="FF00B050"/>
      </font>
      <fill>
        <patternFill patternType="none">
          <bgColor auto="1"/>
        </patternFill>
      </fill>
    </dxf>
    <dxf>
      <font>
        <b/>
        <i val="0"/>
        <color rgb="FFFF0000"/>
      </font>
    </dxf>
    <dxf>
      <font>
        <b/>
        <i val="0"/>
        <color rgb="FF00B050"/>
      </font>
      <fill>
        <patternFill patternType="none">
          <bgColor auto="1"/>
        </patternFill>
      </fill>
    </dxf>
    <dxf>
      <font>
        <b/>
        <i val="0"/>
        <color rgb="FFFF0000"/>
      </font>
    </dxf>
    <dxf>
      <font>
        <b val="0"/>
        <i/>
        <color rgb="FFFF0000"/>
      </font>
    </dxf>
    <dxf>
      <font>
        <b/>
        <i/>
        <color rgb="FFFF0000"/>
      </font>
      <fill>
        <patternFill>
          <bgColor rgb="FFFFEBFF"/>
        </patternFill>
      </fill>
    </dxf>
    <dxf>
      <font>
        <b/>
        <i/>
        <color rgb="FFFF0000"/>
      </font>
      <fill>
        <patternFill>
          <bgColor rgb="FFFFEBFF"/>
        </patternFill>
      </fill>
    </dxf>
    <dxf>
      <fill>
        <patternFill patternType="none">
          <bgColor auto="1"/>
        </patternFill>
      </fill>
    </dxf>
    <dxf>
      <font>
        <b/>
        <i/>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dxf>
    <dxf>
      <font>
        <b/>
        <i val="0"/>
        <color rgb="FFFF0000"/>
      </font>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FFEBFF"/>
        </patternFill>
      </fill>
    </dxf>
    <dxf>
      <fill>
        <patternFill>
          <bgColor rgb="FFC8FFC8"/>
        </patternFill>
      </fill>
    </dxf>
    <dxf>
      <fill>
        <patternFill>
          <bgColor rgb="FFFFEBFF"/>
        </patternFill>
      </fill>
    </dxf>
    <dxf>
      <fill>
        <patternFill>
          <bgColor rgb="FFC8FFC8"/>
        </patternFill>
      </fill>
    </dxf>
  </dxfs>
  <tableStyles count="0" defaultTableStyle="TableStyleMedium9" defaultPivotStyle="PivotStyleLight16"/>
  <colors>
    <mruColors>
      <color rgb="FFFFE6FF"/>
      <color rgb="FFCCFFCC"/>
      <color rgb="FFFFEBFF"/>
      <color rgb="FF0000FF"/>
      <color rgb="FF81DEFF"/>
      <color rgb="FFFFCCFF"/>
      <color rgb="FFDDFFDD"/>
      <color rgb="FF89E0FF"/>
      <color rgb="FFFFCCE6"/>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61"/>
  <sheetViews>
    <sheetView tabSelected="1" zoomScaleNormal="100" zoomScaleSheetLayoutView="100" zoomScalePageLayoutView="120" workbookViewId="0">
      <selection activeCell="K32" sqref="K32:N32"/>
    </sheetView>
  </sheetViews>
  <sheetFormatPr defaultColWidth="9.33203125" defaultRowHeight="13.2" x14ac:dyDescent="0.25"/>
  <cols>
    <col min="1" max="1" width="1.5546875" style="85" customWidth="1"/>
    <col min="2" max="2" width="3.5546875" style="85" customWidth="1"/>
    <col min="3" max="3" width="3.44140625" style="85" customWidth="1"/>
    <col min="4" max="4" width="2.5546875" style="85" customWidth="1"/>
    <col min="5" max="5" width="9.44140625" style="85" customWidth="1"/>
    <col min="6" max="6" width="19.5546875" style="85" customWidth="1"/>
    <col min="7" max="7" width="3.5546875" style="85" customWidth="1"/>
    <col min="8" max="8" width="15.5546875" style="85" customWidth="1"/>
    <col min="9" max="9" width="2.5546875" style="85" customWidth="1"/>
    <col min="10" max="10" width="3.5546875" style="85" customWidth="1"/>
    <col min="11" max="11" width="15.5546875" style="85" customWidth="1"/>
    <col min="12" max="12" width="2.5546875" style="85" customWidth="1"/>
    <col min="13" max="13" width="3.5546875" style="85" customWidth="1"/>
    <col min="14" max="14" width="16.5546875" style="85" customWidth="1"/>
    <col min="15" max="15" width="1.5546875" style="85" customWidth="1"/>
    <col min="16" max="16" width="5.44140625" style="85" customWidth="1"/>
    <col min="17" max="17" width="16.6640625" style="85" customWidth="1"/>
    <col min="18" max="18" width="9.33203125" style="85"/>
    <col min="19" max="20" width="11.6640625" style="85" customWidth="1"/>
    <col min="21" max="21" width="14" style="85" customWidth="1"/>
    <col min="22" max="22" width="20.5546875" style="85" customWidth="1"/>
    <col min="23" max="23" width="10.44140625" style="85" customWidth="1"/>
    <col min="24" max="16384" width="9.33203125" style="85"/>
  </cols>
  <sheetData>
    <row r="1" spans="1:16" ht="3.75" customHeight="1" x14ac:dyDescent="0.25">
      <c r="A1" s="82"/>
      <c r="B1" s="82"/>
      <c r="C1" s="82"/>
      <c r="D1" s="82"/>
      <c r="E1" s="82"/>
      <c r="F1" s="82"/>
      <c r="G1" s="82"/>
      <c r="H1" s="82"/>
      <c r="I1" s="82"/>
      <c r="J1" s="82"/>
      <c r="K1" s="82"/>
      <c r="L1" s="82"/>
      <c r="M1" s="82"/>
      <c r="N1" s="82"/>
      <c r="O1" s="82"/>
      <c r="P1" s="82"/>
    </row>
    <row r="2" spans="1:16" x14ac:dyDescent="0.25">
      <c r="A2" s="1"/>
      <c r="B2" s="123" t="s">
        <v>446</v>
      </c>
      <c r="C2" s="83"/>
      <c r="D2" s="1"/>
      <c r="E2" s="1"/>
      <c r="F2" s="1"/>
      <c r="G2" s="1"/>
      <c r="H2" s="1"/>
      <c r="I2" s="1"/>
      <c r="J2" s="1"/>
      <c r="K2" s="1"/>
      <c r="L2" s="1"/>
      <c r="M2" s="1"/>
      <c r="N2" s="1"/>
      <c r="O2" s="84"/>
      <c r="P2" s="3" t="s">
        <v>249</v>
      </c>
    </row>
    <row r="3" spans="1:16" x14ac:dyDescent="0.25">
      <c r="A3" s="1"/>
      <c r="B3" s="25"/>
      <c r="C3" s="25"/>
      <c r="D3" s="1"/>
      <c r="E3" s="1"/>
      <c r="F3" s="1"/>
      <c r="G3" s="1"/>
      <c r="H3" s="1"/>
      <c r="I3" s="1"/>
      <c r="J3" s="1"/>
      <c r="K3" s="1"/>
      <c r="L3" s="1"/>
      <c r="M3" s="1"/>
      <c r="N3" s="1"/>
      <c r="O3" s="84"/>
      <c r="P3" s="84"/>
    </row>
    <row r="4" spans="1:16" x14ac:dyDescent="0.25">
      <c r="A4" s="1"/>
      <c r="B4" s="1"/>
      <c r="C4" s="1"/>
      <c r="D4" s="26" t="s">
        <v>0</v>
      </c>
      <c r="E4" s="112">
        <v>1</v>
      </c>
      <c r="F4" s="113" t="s">
        <v>346</v>
      </c>
      <c r="G4" s="83"/>
      <c r="H4" s="83"/>
      <c r="I4" s="83"/>
      <c r="J4" s="83"/>
      <c r="K4" s="83"/>
      <c r="L4" s="83"/>
      <c r="M4" s="83"/>
      <c r="N4" s="83"/>
      <c r="O4" s="84"/>
      <c r="P4" s="84"/>
    </row>
    <row r="5" spans="1:16" x14ac:dyDescent="0.25">
      <c r="A5" s="1"/>
      <c r="B5" s="1"/>
      <c r="C5" s="28"/>
      <c r="D5" s="28"/>
      <c r="E5" s="114"/>
      <c r="F5" s="113" t="s">
        <v>337</v>
      </c>
      <c r="G5" s="83"/>
      <c r="H5" s="83"/>
      <c r="I5" s="83"/>
      <c r="J5" s="83"/>
      <c r="K5" s="83"/>
      <c r="L5" s="83"/>
      <c r="M5" s="83"/>
      <c r="N5" s="83"/>
      <c r="O5" s="84"/>
      <c r="P5" s="84"/>
    </row>
    <row r="6" spans="1:16" hidden="1" x14ac:dyDescent="0.25">
      <c r="A6" s="1"/>
      <c r="B6" s="1"/>
      <c r="C6" s="28"/>
      <c r="D6" s="28"/>
      <c r="E6" s="114"/>
      <c r="F6" s="167" t="s">
        <v>206</v>
      </c>
      <c r="G6" s="168"/>
      <c r="H6" s="168"/>
      <c r="I6" s="168"/>
      <c r="J6" s="168"/>
      <c r="K6" s="168"/>
      <c r="L6" s="168"/>
      <c r="M6" s="168"/>
      <c r="N6" s="168"/>
      <c r="O6" s="84"/>
      <c r="P6" s="84"/>
    </row>
    <row r="7" spans="1:16" hidden="1" x14ac:dyDescent="0.25">
      <c r="A7" s="1"/>
      <c r="B7" s="1"/>
      <c r="C7" s="28"/>
      <c r="D7" s="28"/>
      <c r="E7" s="114"/>
      <c r="F7" s="167" t="s">
        <v>207</v>
      </c>
      <c r="G7" s="168"/>
      <c r="H7" s="168"/>
      <c r="I7" s="168"/>
      <c r="J7" s="168"/>
      <c r="K7" s="168"/>
      <c r="L7" s="168"/>
      <c r="M7" s="168"/>
      <c r="N7" s="168"/>
      <c r="O7" s="84"/>
      <c r="P7" s="84"/>
    </row>
    <row r="8" spans="1:16" x14ac:dyDescent="0.25">
      <c r="A8" s="1"/>
      <c r="B8" s="1"/>
      <c r="C8" s="28"/>
      <c r="D8" s="28"/>
      <c r="E8" s="112">
        <f>MAX(E$4:E7)+1</f>
        <v>2</v>
      </c>
      <c r="F8" s="113" t="s">
        <v>333</v>
      </c>
      <c r="G8" s="83"/>
      <c r="H8" s="83"/>
      <c r="I8" s="83"/>
      <c r="J8" s="83"/>
      <c r="K8" s="83"/>
      <c r="L8" s="83"/>
      <c r="M8" s="83"/>
      <c r="N8" s="83"/>
      <c r="O8" s="84"/>
      <c r="P8" s="84"/>
    </row>
    <row r="9" spans="1:16" x14ac:dyDescent="0.25">
      <c r="A9" s="1"/>
      <c r="B9" s="1"/>
      <c r="C9" s="28"/>
      <c r="D9" s="28"/>
      <c r="E9" s="112"/>
      <c r="F9" s="113" t="s">
        <v>233</v>
      </c>
      <c r="G9" s="83"/>
      <c r="H9" s="83"/>
      <c r="I9" s="83"/>
      <c r="J9" s="83"/>
      <c r="K9" s="83"/>
      <c r="L9" s="83"/>
      <c r="M9" s="83"/>
      <c r="N9" s="83"/>
      <c r="O9" s="84"/>
      <c r="P9" s="84"/>
    </row>
    <row r="10" spans="1:16" hidden="1" x14ac:dyDescent="0.25">
      <c r="A10" s="1"/>
      <c r="B10" s="1"/>
      <c r="C10" s="28"/>
      <c r="D10" s="28"/>
      <c r="E10" s="112"/>
      <c r="F10" s="167" t="s">
        <v>218</v>
      </c>
      <c r="G10" s="83"/>
      <c r="H10" s="83"/>
      <c r="I10" s="83"/>
      <c r="J10" s="83"/>
      <c r="K10" s="83"/>
      <c r="L10" s="83"/>
      <c r="M10" s="83"/>
      <c r="N10" s="83"/>
      <c r="O10" s="84"/>
      <c r="P10" s="84"/>
    </row>
    <row r="11" spans="1:16" x14ac:dyDescent="0.25">
      <c r="A11" s="1"/>
      <c r="B11" s="1"/>
      <c r="C11" s="1"/>
      <c r="D11" s="1"/>
      <c r="E11" s="112">
        <f>MAX(E$4:E8)+1</f>
        <v>3</v>
      </c>
      <c r="F11" s="113" t="s">
        <v>104</v>
      </c>
      <c r="G11" s="83"/>
      <c r="H11" s="83"/>
      <c r="I11" s="83"/>
      <c r="J11" s="83"/>
      <c r="K11" s="83"/>
      <c r="L11" s="83"/>
      <c r="M11" s="83"/>
      <c r="N11" s="83"/>
      <c r="O11" s="84"/>
      <c r="P11" s="84"/>
    </row>
    <row r="12" spans="1:16" x14ac:dyDescent="0.25">
      <c r="A12" s="1"/>
      <c r="B12" s="1"/>
      <c r="C12" s="1"/>
      <c r="D12" s="1"/>
      <c r="E12" s="115"/>
      <c r="F12" s="113" t="s">
        <v>204</v>
      </c>
      <c r="G12" s="83"/>
      <c r="H12" s="83"/>
      <c r="I12" s="83"/>
      <c r="J12" s="83"/>
      <c r="K12" s="83"/>
      <c r="L12" s="83"/>
      <c r="M12" s="83"/>
      <c r="N12" s="83"/>
      <c r="O12" s="84"/>
      <c r="P12" s="84"/>
    </row>
    <row r="13" spans="1:16" x14ac:dyDescent="0.25">
      <c r="A13" s="1"/>
      <c r="B13" s="1"/>
      <c r="C13" s="1"/>
      <c r="D13" s="1"/>
      <c r="E13" s="115"/>
      <c r="F13" s="113" t="s">
        <v>205</v>
      </c>
      <c r="G13" s="83"/>
      <c r="H13" s="83"/>
      <c r="I13" s="83"/>
      <c r="J13" s="83"/>
      <c r="K13" s="83"/>
      <c r="L13" s="83"/>
      <c r="M13" s="83"/>
      <c r="N13" s="83"/>
      <c r="O13" s="84"/>
      <c r="P13" s="84"/>
    </row>
    <row r="14" spans="1:16" x14ac:dyDescent="0.25">
      <c r="A14" s="1"/>
      <c r="B14" s="1"/>
      <c r="C14" s="1"/>
      <c r="D14" s="1"/>
      <c r="E14" s="112">
        <f>MAX(E$4:E13)+1</f>
        <v>4</v>
      </c>
      <c r="F14" s="113" t="s">
        <v>421</v>
      </c>
      <c r="G14" s="83"/>
      <c r="H14" s="83"/>
      <c r="I14" s="83"/>
      <c r="J14" s="83"/>
      <c r="K14" s="83"/>
      <c r="L14" s="83"/>
      <c r="M14" s="83"/>
      <c r="N14" s="83"/>
      <c r="O14" s="84"/>
      <c r="P14" s="84"/>
    </row>
    <row r="15" spans="1:16" x14ac:dyDescent="0.25">
      <c r="A15" s="1"/>
      <c r="B15" s="1"/>
      <c r="C15" s="1"/>
      <c r="D15" s="1"/>
      <c r="E15" s="115"/>
      <c r="F15" s="113" t="s">
        <v>422</v>
      </c>
      <c r="G15" s="116"/>
      <c r="H15" s="116"/>
      <c r="I15" s="116"/>
      <c r="J15" s="116"/>
      <c r="K15" s="116"/>
      <c r="L15" s="116"/>
      <c r="M15" s="116"/>
      <c r="N15" s="116"/>
      <c r="O15" s="84"/>
      <c r="P15" s="84"/>
    </row>
    <row r="16" spans="1:16" x14ac:dyDescent="0.25">
      <c r="A16" s="1"/>
      <c r="B16" s="1"/>
      <c r="C16" s="1"/>
      <c r="D16" s="1"/>
      <c r="E16" s="115"/>
      <c r="F16" s="113" t="s">
        <v>423</v>
      </c>
      <c r="G16" s="116"/>
      <c r="H16" s="116"/>
      <c r="I16" s="116"/>
      <c r="J16" s="116"/>
      <c r="K16" s="116"/>
      <c r="L16" s="116"/>
      <c r="M16" s="116"/>
      <c r="N16" s="116"/>
      <c r="O16" s="84"/>
      <c r="P16" s="84"/>
    </row>
    <row r="17" spans="1:19" x14ac:dyDescent="0.25">
      <c r="A17" s="1"/>
      <c r="B17" s="1"/>
      <c r="C17" s="1"/>
      <c r="D17" s="1"/>
      <c r="E17" s="117"/>
      <c r="F17" s="113" t="s">
        <v>286</v>
      </c>
      <c r="G17" s="83"/>
      <c r="H17" s="83"/>
      <c r="I17" s="83"/>
      <c r="J17" s="83"/>
      <c r="K17" s="83"/>
      <c r="L17" s="83"/>
      <c r="M17" s="83"/>
      <c r="N17" s="83"/>
      <c r="O17" s="84"/>
      <c r="P17" s="84"/>
    </row>
    <row r="18" spans="1:19" x14ac:dyDescent="0.25">
      <c r="A18" s="1"/>
      <c r="B18" s="1"/>
      <c r="C18" s="1"/>
      <c r="D18" s="1"/>
      <c r="E18" s="30"/>
      <c r="F18" s="28" t="s">
        <v>424</v>
      </c>
      <c r="G18" s="1"/>
      <c r="H18" s="1"/>
      <c r="I18" s="1"/>
      <c r="J18" s="1"/>
      <c r="K18" s="1"/>
      <c r="L18" s="1"/>
      <c r="M18" s="1"/>
      <c r="N18" s="1"/>
      <c r="O18" s="84"/>
      <c r="P18" s="84"/>
    </row>
    <row r="19" spans="1:19" x14ac:dyDescent="0.25">
      <c r="A19" s="1"/>
      <c r="B19" s="1"/>
      <c r="C19" s="1"/>
      <c r="D19" s="1"/>
      <c r="E19" s="112">
        <f>MAX(E$4:E17)+1</f>
        <v>5</v>
      </c>
      <c r="F19" s="156" t="s">
        <v>159</v>
      </c>
      <c r="G19" s="1"/>
      <c r="H19" s="1"/>
      <c r="I19" s="1"/>
      <c r="J19" s="1"/>
      <c r="K19" s="1"/>
      <c r="L19" s="1"/>
      <c r="M19" s="1"/>
      <c r="N19" s="1"/>
      <c r="O19" s="84"/>
      <c r="P19" s="84"/>
    </row>
    <row r="20" spans="1:19" x14ac:dyDescent="0.25">
      <c r="A20" s="1"/>
      <c r="B20" s="1"/>
      <c r="C20" s="1"/>
      <c r="D20" s="1"/>
      <c r="E20" s="30"/>
      <c r="F20" s="28" t="s">
        <v>231</v>
      </c>
      <c r="G20" s="1"/>
      <c r="H20" s="1"/>
      <c r="I20" s="1"/>
      <c r="J20" s="1"/>
      <c r="K20" s="1"/>
      <c r="L20" s="1"/>
      <c r="M20" s="1"/>
      <c r="N20" s="1"/>
      <c r="O20" s="84"/>
      <c r="P20" s="84"/>
    </row>
    <row r="21" spans="1:19" x14ac:dyDescent="0.25">
      <c r="A21" s="1"/>
      <c r="B21" s="1"/>
      <c r="C21" s="1"/>
      <c r="D21" s="1"/>
      <c r="E21" s="30"/>
      <c r="F21" s="28" t="s">
        <v>210</v>
      </c>
      <c r="G21" s="1"/>
      <c r="H21" s="1"/>
      <c r="I21" s="1"/>
      <c r="J21" s="1"/>
      <c r="K21" s="1"/>
      <c r="L21" s="1"/>
      <c r="M21" s="1"/>
      <c r="N21" s="1"/>
      <c r="O21" s="84"/>
      <c r="P21" s="84"/>
    </row>
    <row r="22" spans="1:19" x14ac:dyDescent="0.25">
      <c r="A22" s="1"/>
      <c r="B22" s="1"/>
      <c r="C22" s="1"/>
      <c r="D22" s="1"/>
      <c r="E22" s="107"/>
      <c r="F22" s="28" t="s">
        <v>211</v>
      </c>
      <c r="G22" s="1"/>
      <c r="H22" s="1"/>
      <c r="I22" s="1"/>
      <c r="J22" s="1"/>
      <c r="K22" s="1"/>
      <c r="L22" s="1"/>
      <c r="M22" s="1"/>
      <c r="N22" s="1"/>
      <c r="O22" s="84"/>
      <c r="P22" s="84"/>
    </row>
    <row r="23" spans="1:19" x14ac:dyDescent="0.25">
      <c r="A23" s="1"/>
      <c r="B23" s="1"/>
      <c r="C23" s="1"/>
      <c r="D23" s="1"/>
      <c r="E23" s="27"/>
      <c r="F23" s="28" t="s">
        <v>212</v>
      </c>
      <c r="G23" s="1"/>
      <c r="H23" s="1"/>
      <c r="I23" s="1"/>
      <c r="J23" s="1"/>
      <c r="K23" s="1"/>
      <c r="L23" s="1"/>
      <c r="M23" s="1"/>
      <c r="N23" s="1"/>
      <c r="O23" s="84"/>
      <c r="P23" s="84"/>
    </row>
    <row r="24" spans="1:19" x14ac:dyDescent="0.25">
      <c r="A24" s="1"/>
      <c r="B24" s="1"/>
      <c r="C24" s="1"/>
      <c r="D24" s="1"/>
      <c r="E24" s="107">
        <f>MAX(E$4:E23)+1</f>
        <v>6</v>
      </c>
      <c r="F24" s="28" t="s">
        <v>213</v>
      </c>
      <c r="G24" s="1"/>
      <c r="H24" s="1"/>
      <c r="I24" s="1"/>
      <c r="J24" s="1"/>
      <c r="K24" s="1"/>
      <c r="L24" s="1"/>
      <c r="M24" s="1"/>
      <c r="N24" s="1"/>
      <c r="O24" s="84"/>
      <c r="P24" s="84"/>
    </row>
    <row r="25" spans="1:19" x14ac:dyDescent="0.25">
      <c r="A25" s="1"/>
      <c r="B25" s="1"/>
      <c r="C25" s="1"/>
      <c r="D25" s="1"/>
      <c r="E25" s="27"/>
      <c r="F25" s="28" t="s">
        <v>284</v>
      </c>
      <c r="G25" s="1"/>
      <c r="H25" s="1"/>
      <c r="I25" s="1"/>
      <c r="J25" s="1"/>
      <c r="K25" s="1"/>
      <c r="L25" s="1"/>
      <c r="M25" s="1"/>
      <c r="N25" s="1"/>
      <c r="O25" s="84"/>
      <c r="P25" s="84"/>
    </row>
    <row r="26" spans="1:19" x14ac:dyDescent="0.25">
      <c r="A26" s="1"/>
      <c r="B26" s="1"/>
      <c r="C26" s="1"/>
      <c r="D26" s="1"/>
      <c r="E26" s="83"/>
      <c r="F26" s="28" t="s">
        <v>285</v>
      </c>
      <c r="G26" s="1"/>
      <c r="H26" s="1"/>
      <c r="I26" s="1"/>
      <c r="J26" s="1"/>
      <c r="K26" s="1"/>
      <c r="L26" s="1"/>
      <c r="M26" s="1"/>
      <c r="N26" s="1"/>
      <c r="O26" s="84"/>
      <c r="P26" s="84"/>
    </row>
    <row r="27" spans="1:19" x14ac:dyDescent="0.25">
      <c r="A27" s="1"/>
      <c r="B27" s="1"/>
      <c r="C27" s="1"/>
      <c r="D27" s="1"/>
      <c r="E27" s="83"/>
      <c r="F27" s="28" t="s">
        <v>347</v>
      </c>
      <c r="G27" s="1"/>
      <c r="H27" s="1"/>
      <c r="I27" s="1"/>
      <c r="J27" s="1"/>
      <c r="K27" s="1"/>
      <c r="L27" s="1"/>
      <c r="M27" s="1"/>
      <c r="N27" s="1"/>
      <c r="O27" s="84"/>
      <c r="P27" s="84"/>
    </row>
    <row r="28" spans="1:19" x14ac:dyDescent="0.25">
      <c r="A28" s="1"/>
      <c r="B28" s="1"/>
      <c r="C28" s="1"/>
      <c r="D28" s="1"/>
      <c r="E28" s="27"/>
      <c r="F28" s="83"/>
      <c r="G28" s="1"/>
      <c r="H28" s="1"/>
      <c r="I28" s="1"/>
      <c r="J28" s="1"/>
      <c r="K28" s="1"/>
      <c r="L28" s="1"/>
      <c r="M28" s="1"/>
      <c r="N28" s="1"/>
      <c r="O28" s="84"/>
      <c r="P28" s="84"/>
    </row>
    <row r="29" spans="1:19" x14ac:dyDescent="0.25">
      <c r="A29" s="1"/>
      <c r="B29" s="1"/>
      <c r="C29" s="31" t="s">
        <v>14</v>
      </c>
      <c r="D29" s="1"/>
      <c r="E29" s="27"/>
      <c r="F29" s="1"/>
      <c r="G29" s="1"/>
      <c r="H29" s="1"/>
      <c r="I29" s="1"/>
      <c r="J29" s="1"/>
      <c r="K29" s="1"/>
      <c r="L29" s="1"/>
      <c r="M29" s="1"/>
      <c r="N29" s="1"/>
      <c r="O29" s="84"/>
      <c r="P29" s="84"/>
    </row>
    <row r="30" spans="1:19" x14ac:dyDescent="0.25">
      <c r="A30" s="1"/>
      <c r="B30" s="1"/>
      <c r="C30" s="31" t="s">
        <v>15</v>
      </c>
      <c r="D30" s="1"/>
      <c r="E30" s="27"/>
      <c r="F30" s="28"/>
      <c r="G30" s="1"/>
      <c r="H30" s="1"/>
      <c r="I30" s="1"/>
      <c r="J30" s="1"/>
      <c r="K30" s="1"/>
      <c r="L30" s="1"/>
      <c r="M30" s="1"/>
      <c r="N30" s="1"/>
      <c r="O30" s="84"/>
      <c r="P30" s="84"/>
    </row>
    <row r="31" spans="1:19" x14ac:dyDescent="0.25">
      <c r="A31" s="1"/>
      <c r="B31" s="32"/>
      <c r="C31" s="83"/>
      <c r="D31" s="1"/>
      <c r="E31" s="1"/>
      <c r="F31" s="1"/>
      <c r="G31" s="1"/>
      <c r="H31" s="1"/>
      <c r="I31" s="1"/>
      <c r="J31" s="1"/>
      <c r="K31" s="1"/>
      <c r="L31" s="1"/>
      <c r="M31" s="1"/>
      <c r="N31" s="1"/>
      <c r="O31" s="84"/>
      <c r="P31" s="84"/>
    </row>
    <row r="32" spans="1:19" x14ac:dyDescent="0.25">
      <c r="A32" s="1"/>
      <c r="B32" s="32"/>
      <c r="C32" s="83"/>
      <c r="D32" s="1"/>
      <c r="E32" s="1"/>
      <c r="G32" s="1"/>
      <c r="I32" s="48" t="s">
        <v>115</v>
      </c>
      <c r="J32" s="1"/>
      <c r="K32" s="268" t="s">
        <v>135</v>
      </c>
      <c r="L32" s="268"/>
      <c r="M32" s="268"/>
      <c r="N32" s="268"/>
      <c r="O32" s="84"/>
      <c r="P32" s="124" t="str">
        <f>IF(K32=F473,"**","")</f>
        <v>**</v>
      </c>
      <c r="R32" s="126" t="s">
        <v>161</v>
      </c>
      <c r="S32" s="85" t="s">
        <v>162</v>
      </c>
    </row>
    <row r="33" spans="1:26" x14ac:dyDescent="0.25">
      <c r="A33" s="1"/>
      <c r="B33" s="32"/>
      <c r="C33" s="83"/>
      <c r="D33" s="1"/>
      <c r="E33" s="1"/>
      <c r="G33" s="1"/>
      <c r="I33" s="48" t="s">
        <v>195</v>
      </c>
      <c r="J33" s="1"/>
      <c r="K33" s="125" t="s">
        <v>196</v>
      </c>
      <c r="L33" s="127"/>
      <c r="M33" s="127"/>
      <c r="N33" s="127"/>
      <c r="O33" s="84"/>
      <c r="P33" s="124" t="str">
        <f>IF(N(K33)=0,"**","")</f>
        <v>**</v>
      </c>
    </row>
    <row r="34" spans="1:26" ht="12.75" customHeight="1" x14ac:dyDescent="0.25">
      <c r="A34" s="1"/>
      <c r="B34" s="32"/>
      <c r="C34" s="83"/>
      <c r="D34" s="1"/>
      <c r="E34" s="1"/>
      <c r="F34" s="1"/>
      <c r="G34" s="1"/>
      <c r="H34" s="1"/>
      <c r="I34" s="48" t="s">
        <v>425</v>
      </c>
      <c r="K34" s="268" t="s">
        <v>135</v>
      </c>
      <c r="L34" s="268"/>
      <c r="M34" s="268"/>
      <c r="N34" s="268"/>
      <c r="P34" s="124" t="str">
        <f>IF(K34=N473,"**","")</f>
        <v>**</v>
      </c>
      <c r="Q34" s="314" t="s">
        <v>228</v>
      </c>
      <c r="R34" s="315"/>
      <c r="S34" s="315"/>
      <c r="T34" s="315"/>
      <c r="U34" s="315"/>
      <c r="V34" s="315"/>
      <c r="W34" s="315"/>
      <c r="X34" s="315"/>
      <c r="Y34" s="315"/>
      <c r="Z34" s="316"/>
    </row>
    <row r="35" spans="1:26" ht="12.75" customHeight="1" x14ac:dyDescent="0.25">
      <c r="A35" s="1"/>
      <c r="B35" s="1"/>
      <c r="C35" s="1"/>
      <c r="D35" s="1"/>
      <c r="E35" s="1"/>
      <c r="F35" s="1"/>
      <c r="G35" s="1"/>
      <c r="H35" s="163">
        <v>1</v>
      </c>
      <c r="I35" s="1"/>
      <c r="J35" s="1"/>
      <c r="K35" s="163">
        <v>2</v>
      </c>
      <c r="L35" s="1"/>
      <c r="M35" s="34"/>
      <c r="N35" s="106">
        <v>3</v>
      </c>
      <c r="O35" s="84"/>
      <c r="P35" s="84"/>
      <c r="Q35" s="317"/>
      <c r="R35" s="318"/>
      <c r="S35" s="318"/>
      <c r="T35" s="318"/>
      <c r="U35" s="318"/>
      <c r="V35" s="318"/>
      <c r="W35" s="318"/>
      <c r="X35" s="318"/>
      <c r="Y35" s="318"/>
      <c r="Z35" s="319"/>
    </row>
    <row r="36" spans="1:26" ht="23.7" customHeight="1" thickBot="1" x14ac:dyDescent="0.3">
      <c r="A36" s="1"/>
      <c r="B36" s="1"/>
      <c r="C36" s="1"/>
      <c r="D36" s="1"/>
      <c r="E36" s="1"/>
      <c r="F36" s="1"/>
      <c r="G36" s="1"/>
      <c r="H36" s="213" t="s">
        <v>348</v>
      </c>
      <c r="I36" s="214"/>
      <c r="J36" s="214"/>
      <c r="K36" s="215" t="s">
        <v>108</v>
      </c>
      <c r="L36" s="215"/>
      <c r="M36" s="215"/>
      <c r="N36" s="215" t="s">
        <v>109</v>
      </c>
      <c r="O36" s="84"/>
      <c r="P36" s="84"/>
      <c r="Q36" s="320"/>
      <c r="R36" s="321"/>
      <c r="S36" s="321"/>
      <c r="T36" s="321"/>
      <c r="U36" s="321"/>
      <c r="V36" s="321"/>
      <c r="W36" s="321"/>
      <c r="X36" s="321"/>
      <c r="Y36" s="321"/>
      <c r="Z36" s="322"/>
    </row>
    <row r="37" spans="1:26" x14ac:dyDescent="0.25">
      <c r="A37" s="1"/>
      <c r="B37" s="25" t="s">
        <v>82</v>
      </c>
      <c r="C37" s="1"/>
      <c r="D37" s="1"/>
      <c r="E37" s="1"/>
      <c r="F37" s="1"/>
      <c r="G37" s="1"/>
      <c r="H37" s="1"/>
      <c r="I37" s="1"/>
      <c r="J37" s="1"/>
      <c r="K37" s="66"/>
      <c r="L37" s="66"/>
      <c r="M37" s="66"/>
      <c r="N37" s="66"/>
      <c r="O37" s="84"/>
      <c r="P37" s="84"/>
    </row>
    <row r="38" spans="1:26" x14ac:dyDescent="0.25">
      <c r="A38" s="1"/>
      <c r="B38" s="38"/>
      <c r="C38" s="39" t="s">
        <v>17</v>
      </c>
      <c r="D38" s="1"/>
      <c r="E38" s="1"/>
      <c r="F38" s="1"/>
      <c r="G38" s="1"/>
      <c r="H38" s="1"/>
      <c r="I38" s="1"/>
      <c r="J38" s="1"/>
      <c r="K38" s="66"/>
      <c r="L38" s="66"/>
      <c r="M38" s="66"/>
      <c r="N38" s="66"/>
      <c r="O38" s="84"/>
      <c r="P38" s="84"/>
      <c r="Q38" s="145"/>
    </row>
    <row r="39" spans="1:26" x14ac:dyDescent="0.25">
      <c r="A39" s="1"/>
      <c r="B39" s="38"/>
      <c r="C39" s="83"/>
      <c r="D39" s="40" t="s">
        <v>2</v>
      </c>
      <c r="E39" s="1"/>
      <c r="F39" s="1"/>
      <c r="G39" s="1"/>
      <c r="H39" s="79"/>
      <c r="I39" s="7"/>
      <c r="J39" s="8"/>
      <c r="K39" s="80"/>
      <c r="L39" s="16"/>
      <c r="M39" s="15"/>
      <c r="N39" s="67" t="str">
        <f ca="1">IF(AND(CELL("type",H39)="v",CELL("type",K39)="v")=TRUE,IF(H39+K39=0,"",H39+K39),IF(AND(CELL("type",H39)="v",CELL("type",K39)&lt;&gt;"v")=TRUE,H39,IF(AND(CELL("type",H39)&lt;&gt;"v",CELL("type",K39)="v")=TRUE,K39,"")))</f>
        <v/>
      </c>
      <c r="O39" s="84"/>
      <c r="P39" s="84"/>
    </row>
    <row r="40" spans="1:26" x14ac:dyDescent="0.25">
      <c r="B40" s="83"/>
      <c r="C40" s="83"/>
      <c r="D40" s="86"/>
      <c r="E40" s="83"/>
      <c r="F40" s="83"/>
      <c r="G40" s="83"/>
      <c r="H40" s="7"/>
      <c r="I40" s="7"/>
      <c r="J40" s="7"/>
      <c r="K40" s="15"/>
      <c r="L40" s="87"/>
      <c r="M40" s="87"/>
      <c r="N40" s="87"/>
      <c r="O40" s="84"/>
      <c r="P40" s="84"/>
    </row>
    <row r="41" spans="1:26" x14ac:dyDescent="0.25">
      <c r="A41" s="1"/>
      <c r="B41" s="38"/>
      <c r="C41" s="83"/>
      <c r="D41" s="40" t="s">
        <v>3</v>
      </c>
      <c r="E41" s="1"/>
      <c r="F41" s="1"/>
      <c r="G41" s="1"/>
      <c r="H41" s="79"/>
      <c r="I41" s="7"/>
      <c r="J41" s="8"/>
      <c r="K41" s="80"/>
      <c r="L41" s="16"/>
      <c r="M41" s="15"/>
      <c r="N41" s="67" t="str">
        <f ca="1">IF(AND(CELL("type",H41)="v",CELL("type",K41)="v")=TRUE,IF(H41+K41=0,"",H41+K41),IF(AND(CELL("type",H41)="v",CELL("type",K41)&lt;&gt;"v")=TRUE,H41,IF(AND(CELL("type",H41)&lt;&gt;"v",CELL("type",K41)="v")=TRUE,K41,"")))</f>
        <v/>
      </c>
      <c r="O41" s="84"/>
      <c r="P41" s="84"/>
      <c r="Q41" s="305" t="s">
        <v>336</v>
      </c>
      <c r="R41" s="305"/>
      <c r="S41" s="305"/>
      <c r="T41" s="305"/>
      <c r="U41" s="305"/>
      <c r="V41" s="305"/>
      <c r="W41" s="305"/>
      <c r="X41" s="305"/>
      <c r="Y41" s="305"/>
      <c r="Z41" s="305"/>
    </row>
    <row r="42" spans="1:26" x14ac:dyDescent="0.25">
      <c r="B42" s="38"/>
      <c r="C42" s="83"/>
      <c r="D42" s="86"/>
      <c r="E42" s="83"/>
      <c r="F42" s="83"/>
      <c r="G42" s="83"/>
      <c r="H42" s="7"/>
      <c r="I42" s="7"/>
      <c r="J42" s="7"/>
      <c r="K42" s="15"/>
      <c r="L42" s="87"/>
      <c r="M42" s="87"/>
      <c r="N42" s="87"/>
      <c r="O42" s="84"/>
      <c r="P42" s="84"/>
      <c r="Q42" s="305"/>
      <c r="R42" s="305"/>
      <c r="S42" s="305"/>
      <c r="T42" s="305"/>
      <c r="U42" s="305"/>
      <c r="V42" s="305"/>
      <c r="W42" s="305"/>
      <c r="X42" s="305"/>
      <c r="Y42" s="305"/>
      <c r="Z42" s="305"/>
    </row>
    <row r="43" spans="1:26" x14ac:dyDescent="0.25">
      <c r="A43" s="1"/>
      <c r="B43" s="38"/>
      <c r="C43" s="83"/>
      <c r="D43" s="40" t="s">
        <v>4</v>
      </c>
      <c r="E43" s="1"/>
      <c r="F43" s="1"/>
      <c r="G43" s="1"/>
      <c r="H43" s="79"/>
      <c r="I43" s="7"/>
      <c r="J43" s="8"/>
      <c r="K43" s="80"/>
      <c r="L43" s="16"/>
      <c r="M43" s="15"/>
      <c r="N43" s="67" t="str">
        <f ca="1">IF(AND(CELL("type",H43)="v",CELL("type",K43)="v")=TRUE,IF(H43+K43=0,"",H43+K43),IF(AND(CELL("type",H43)="v",CELL("type",K43)&lt;&gt;"v")=TRUE,H43,IF(AND(CELL("type",H43)&lt;&gt;"v",CELL("type",K43)="v")=TRUE,K43,"")))</f>
        <v/>
      </c>
      <c r="O43" s="84"/>
      <c r="P43" s="84"/>
    </row>
    <row r="44" spans="1:26" x14ac:dyDescent="0.25">
      <c r="B44" s="38"/>
      <c r="C44" s="83"/>
      <c r="D44" s="86"/>
      <c r="E44" s="83"/>
      <c r="F44" s="83"/>
      <c r="G44" s="83"/>
      <c r="H44" s="7"/>
      <c r="I44" s="7"/>
      <c r="J44" s="7"/>
      <c r="K44" s="15"/>
      <c r="L44" s="87"/>
      <c r="M44" s="87"/>
      <c r="N44" s="87"/>
      <c r="O44" s="84"/>
      <c r="P44" s="84"/>
    </row>
    <row r="45" spans="1:26" ht="12.75" customHeight="1" x14ac:dyDescent="0.25">
      <c r="A45" s="1"/>
      <c r="B45" s="38"/>
      <c r="C45" s="83"/>
      <c r="D45" s="41" t="s">
        <v>11</v>
      </c>
      <c r="E45" s="1"/>
      <c r="F45" s="1"/>
      <c r="G45" s="1"/>
      <c r="H45" s="79"/>
      <c r="I45" s="7"/>
      <c r="J45" s="8"/>
      <c r="K45" s="80"/>
      <c r="L45" s="16"/>
      <c r="M45" s="15"/>
      <c r="N45" s="67" t="str">
        <f ca="1">IF(AND(CELL("type",H45)="v",CELL("type",K45)="v")=TRUE,IF(H45+K45=0,"",H45+K45),IF(AND(CELL("type",H45)="v",CELL("type",K45)&lt;&gt;"v")=TRUE,H45,IF(AND(CELL("type",H45)&lt;&gt;"v",CELL("type",K45)="v")=TRUE,K45,"")))</f>
        <v/>
      </c>
      <c r="O45" s="84"/>
      <c r="P45" s="84"/>
      <c r="Q45" s="128"/>
      <c r="R45" s="128"/>
      <c r="S45" s="128"/>
      <c r="T45" s="128"/>
      <c r="U45" s="128"/>
      <c r="V45" s="128"/>
      <c r="W45" s="128"/>
      <c r="X45" s="128"/>
      <c r="Y45" s="128"/>
      <c r="Z45" s="128"/>
    </row>
    <row r="46" spans="1:26" x14ac:dyDescent="0.25">
      <c r="B46" s="38"/>
      <c r="C46" s="83"/>
      <c r="D46" s="86"/>
      <c r="E46" s="83"/>
      <c r="F46" s="83"/>
      <c r="G46" s="83"/>
      <c r="H46" s="7"/>
      <c r="I46" s="7"/>
      <c r="J46" s="7"/>
      <c r="K46" s="15"/>
      <c r="L46" s="87"/>
      <c r="M46" s="87"/>
      <c r="N46" s="87"/>
      <c r="O46" s="84"/>
      <c r="P46" s="84"/>
      <c r="Q46" s="128"/>
      <c r="R46" s="128"/>
      <c r="S46" s="128"/>
      <c r="T46" s="128"/>
      <c r="U46" s="128"/>
      <c r="V46" s="128"/>
      <c r="W46" s="128"/>
      <c r="X46" s="128"/>
      <c r="Y46" s="128"/>
      <c r="Z46" s="128"/>
    </row>
    <row r="47" spans="1:26" x14ac:dyDescent="0.25">
      <c r="A47" s="1"/>
      <c r="B47" s="38"/>
      <c r="C47" s="83"/>
      <c r="D47" s="40" t="s">
        <v>5</v>
      </c>
      <c r="E47" s="1"/>
      <c r="F47" s="1"/>
      <c r="G47" s="1"/>
      <c r="H47" s="79"/>
      <c r="I47" s="7"/>
      <c r="J47" s="8"/>
      <c r="K47" s="80"/>
      <c r="L47" s="16"/>
      <c r="M47" s="15"/>
      <c r="N47" s="67" t="str">
        <f ca="1">IF(AND(CELL("type",H47)="v",CELL("type",K47)="v")=TRUE,IF(H47+K47=0,"",H47+K47),IF(AND(CELL("type",H47)="v",CELL("type",K47)&lt;&gt;"v")=TRUE,H47,IF(AND(CELL("type",H47)&lt;&gt;"v",CELL("type",K47)="v")=TRUE,K47,"")))</f>
        <v/>
      </c>
      <c r="O47" s="84"/>
      <c r="P47" s="84"/>
      <c r="Q47" s="128"/>
      <c r="R47" s="128"/>
      <c r="S47" s="128"/>
      <c r="T47" s="128"/>
      <c r="U47" s="128"/>
      <c r="V47" s="128"/>
      <c r="W47" s="128"/>
      <c r="X47" s="128"/>
      <c r="Y47" s="128"/>
      <c r="Z47" s="128"/>
    </row>
    <row r="48" spans="1:26" x14ac:dyDescent="0.25">
      <c r="B48" s="38"/>
      <c r="C48" s="83"/>
      <c r="D48" s="86"/>
      <c r="E48" s="83"/>
      <c r="F48" s="83"/>
      <c r="G48" s="83"/>
      <c r="H48" s="7"/>
      <c r="I48" s="7"/>
      <c r="J48" s="7"/>
      <c r="K48" s="15"/>
      <c r="L48" s="87"/>
      <c r="M48" s="87"/>
      <c r="N48" s="87"/>
      <c r="O48" s="84"/>
      <c r="P48" s="84"/>
      <c r="Q48" s="128"/>
      <c r="R48" s="128"/>
      <c r="S48" s="128"/>
      <c r="T48" s="128"/>
      <c r="U48" s="128"/>
      <c r="V48" s="128"/>
      <c r="W48" s="128"/>
      <c r="X48" s="128"/>
      <c r="Y48" s="128"/>
      <c r="Z48" s="128"/>
    </row>
    <row r="49" spans="1:26" x14ac:dyDescent="0.25">
      <c r="A49" s="1"/>
      <c r="B49" s="38"/>
      <c r="C49" s="83"/>
      <c r="D49" s="40" t="s">
        <v>6</v>
      </c>
      <c r="E49" s="1"/>
      <c r="F49" s="1"/>
      <c r="G49" s="1"/>
      <c r="H49" s="79"/>
      <c r="I49" s="7"/>
      <c r="J49" s="8"/>
      <c r="K49" s="80"/>
      <c r="L49" s="16"/>
      <c r="M49" s="15"/>
      <c r="N49" s="67" t="str">
        <f ca="1">IF(AND(CELL("type",H49)="v",CELL("type",K49)="v")=TRUE,IF(H49+K49=0,"",H49+K49),IF(AND(CELL("type",H49)="v",CELL("type",K49)&lt;&gt;"v")=TRUE,H49,IF(AND(CELL("type",H49)&lt;&gt;"v",CELL("type",K49)="v")=TRUE,K49,"")))</f>
        <v/>
      </c>
      <c r="O49" s="84"/>
      <c r="P49" s="84"/>
    </row>
    <row r="50" spans="1:26" x14ac:dyDescent="0.25">
      <c r="B50" s="38"/>
      <c r="C50" s="83"/>
      <c r="D50" s="86"/>
      <c r="E50" s="83"/>
      <c r="F50" s="83"/>
      <c r="G50" s="83"/>
      <c r="H50" s="7"/>
      <c r="I50" s="7"/>
      <c r="J50" s="7"/>
      <c r="K50" s="15"/>
      <c r="L50" s="87"/>
      <c r="M50" s="87"/>
      <c r="N50" s="87"/>
      <c r="O50" s="84"/>
      <c r="P50" s="84"/>
    </row>
    <row r="51" spans="1:26" x14ac:dyDescent="0.25">
      <c r="A51" s="1"/>
      <c r="B51" s="38"/>
      <c r="C51" s="83"/>
      <c r="D51" s="40" t="s">
        <v>7</v>
      </c>
      <c r="E51" s="1"/>
      <c r="F51" s="1"/>
      <c r="G51" s="1"/>
      <c r="H51" s="79"/>
      <c r="I51" s="7"/>
      <c r="J51" s="8"/>
      <c r="K51" s="80"/>
      <c r="L51" s="16"/>
      <c r="M51" s="15"/>
      <c r="N51" s="67" t="str">
        <f ca="1">IF(AND(CELL("type",H51)="v",CELL("type",K51)="v")=TRUE,IF(H51+K51=0,"",H51+K51),IF(AND(CELL("type",H51)="v",CELL("type",K51)&lt;&gt;"v")=TRUE,H51,IF(AND(CELL("type",H51)&lt;&gt;"v",CELL("type",K51)="v")=TRUE,K51,"")))</f>
        <v/>
      </c>
      <c r="O51" s="84"/>
      <c r="P51" s="84"/>
    </row>
    <row r="52" spans="1:26" x14ac:dyDescent="0.25">
      <c r="B52" s="38"/>
      <c r="C52" s="83"/>
      <c r="D52" s="86"/>
      <c r="E52" s="83"/>
      <c r="F52" s="83"/>
      <c r="G52" s="83"/>
      <c r="H52" s="7"/>
      <c r="I52" s="7"/>
      <c r="J52" s="7"/>
      <c r="K52" s="15"/>
      <c r="L52" s="87"/>
      <c r="M52" s="87"/>
      <c r="N52" s="87"/>
      <c r="O52" s="84"/>
      <c r="P52" s="84"/>
    </row>
    <row r="53" spans="1:26" x14ac:dyDescent="0.25">
      <c r="B53" s="38"/>
      <c r="C53" s="83"/>
      <c r="D53" s="92" t="s">
        <v>10</v>
      </c>
      <c r="E53" s="83"/>
      <c r="F53" s="83"/>
      <c r="G53" s="83"/>
      <c r="H53" s="79"/>
      <c r="I53" s="7"/>
      <c r="J53" s="8"/>
      <c r="K53" s="80"/>
      <c r="L53" s="16"/>
      <c r="M53" s="15"/>
      <c r="N53" s="67" t="str">
        <f ca="1">IF(AND(CELL("type",H53)="v",CELL("type",K53)="v")=TRUE,IF(H53+K53=0,"",H53+K53),IF(AND(CELL("type",H53)="v",CELL("type",K53)&lt;&gt;"v")=TRUE,H53,IF(AND(CELL("type",H53)&lt;&gt;"v",CELL("type",K53)="v")=TRUE,K53,"")))</f>
        <v/>
      </c>
      <c r="O53" s="84"/>
      <c r="P53" s="84"/>
      <c r="Q53" s="304" t="s">
        <v>155</v>
      </c>
      <c r="R53" s="304"/>
      <c r="S53" s="304"/>
      <c r="T53" s="304"/>
      <c r="U53" s="304"/>
      <c r="V53" s="304"/>
      <c r="W53" s="304"/>
      <c r="X53" s="304"/>
      <c r="Y53" s="304"/>
      <c r="Z53" s="304"/>
    </row>
    <row r="54" spans="1:26" x14ac:dyDescent="0.25">
      <c r="B54" s="38"/>
      <c r="C54" s="83"/>
      <c r="D54" s="86"/>
      <c r="E54" s="83"/>
      <c r="F54" s="83"/>
      <c r="G54" s="83"/>
      <c r="H54" s="7" t="s">
        <v>240</v>
      </c>
      <c r="I54" s="7"/>
      <c r="J54" s="7"/>
      <c r="K54" s="15"/>
      <c r="L54" s="87"/>
      <c r="M54" s="87"/>
      <c r="N54" s="87"/>
      <c r="O54" s="84"/>
      <c r="P54" s="84"/>
      <c r="Q54" s="311"/>
      <c r="R54" s="311"/>
      <c r="S54" s="311"/>
      <c r="T54" s="311"/>
      <c r="U54" s="311"/>
      <c r="V54" s="311"/>
      <c r="W54" s="311"/>
      <c r="X54" s="311"/>
      <c r="Y54" s="311"/>
      <c r="Z54" s="311"/>
    </row>
    <row r="55" spans="1:26" ht="12.75" customHeight="1" x14ac:dyDescent="0.25">
      <c r="A55" s="1"/>
      <c r="B55" s="38"/>
      <c r="C55" s="83"/>
      <c r="D55" s="41" t="s">
        <v>8</v>
      </c>
      <c r="E55" s="1"/>
      <c r="F55" s="1"/>
      <c r="G55" s="1"/>
      <c r="H55" s="80"/>
      <c r="I55" s="7"/>
      <c r="J55" s="8"/>
      <c r="K55" s="80"/>
      <c r="L55" s="16"/>
      <c r="M55" s="15"/>
      <c r="N55" s="67" t="str">
        <f ca="1">IF(AND(CELL("type",H55)="v",CELL("type",K55)="v")=TRUE,IF(H55+K55=0,"",H55+K55),IF(AND(CELL("type",H55)="v",CELL("type",K55)&lt;&gt;"v")=TRUE,H55,IF(AND(CELL("type",H55)&lt;&gt;"v",CELL("type",K55)="v")=TRUE,K55,"")))</f>
        <v/>
      </c>
      <c r="O55" s="84"/>
      <c r="P55" s="84"/>
      <c r="Q55" s="304" t="s">
        <v>124</v>
      </c>
      <c r="R55" s="304"/>
      <c r="S55" s="304"/>
      <c r="T55" s="304"/>
      <c r="U55" s="304"/>
      <c r="V55" s="304"/>
      <c r="W55" s="304"/>
      <c r="X55" s="304"/>
      <c r="Y55" s="304"/>
      <c r="Z55" s="304"/>
    </row>
    <row r="56" spans="1:26" x14ac:dyDescent="0.25">
      <c r="B56" s="38"/>
      <c r="C56" s="83"/>
      <c r="D56" s="83"/>
      <c r="E56" s="83"/>
      <c r="F56" s="83"/>
      <c r="G56" s="83"/>
      <c r="H56" s="15"/>
      <c r="I56" s="7"/>
      <c r="J56" s="7"/>
      <c r="K56" s="15"/>
      <c r="L56" s="87"/>
      <c r="M56" s="87"/>
      <c r="N56" s="87"/>
      <c r="O56" s="84"/>
      <c r="P56" s="84"/>
      <c r="Q56" s="304"/>
      <c r="R56" s="304"/>
      <c r="S56" s="304"/>
      <c r="T56" s="304"/>
      <c r="U56" s="304"/>
      <c r="V56" s="304"/>
      <c r="W56" s="304"/>
      <c r="X56" s="304"/>
      <c r="Y56" s="304"/>
      <c r="Z56" s="304"/>
    </row>
    <row r="57" spans="1:26" x14ac:dyDescent="0.25">
      <c r="A57" s="1"/>
      <c r="B57" s="42" t="s">
        <v>12</v>
      </c>
      <c r="C57" s="43" t="s">
        <v>1</v>
      </c>
      <c r="D57" s="1"/>
      <c r="E57" s="1"/>
      <c r="F57" s="1"/>
      <c r="G57" s="42" t="s">
        <v>9</v>
      </c>
      <c r="H57" s="67" t="str">
        <f>IF(SUM(H39:H56)=0,"",SUM(H39:H56))</f>
        <v/>
      </c>
      <c r="I57" s="7"/>
      <c r="J57" s="10" t="s">
        <v>9</v>
      </c>
      <c r="K57" s="67" t="str">
        <f>IF(SUM(K39:K56)=0,"",SUM(K39:K56))</f>
        <v/>
      </c>
      <c r="L57" s="15"/>
      <c r="M57" s="68" t="s">
        <v>9</v>
      </c>
      <c r="N57" s="67" t="str">
        <f ca="1">IF(AND(CELL("type",H57)="v",CELL("type",K57)="v")=TRUE,IF(H57+K57=0,"",H57+K57),IF(AND(CELL("type",H57)="v",CELL("type",K57)&lt;&gt;"v")=TRUE,H57,IF(AND(CELL("type",H57)&lt;&gt;"v",CELL("type",K57)="v")=TRUE,K57,"")))</f>
        <v/>
      </c>
      <c r="O57" s="84"/>
      <c r="P57" s="84"/>
    </row>
    <row r="58" spans="1:26" x14ac:dyDescent="0.25">
      <c r="B58" s="83"/>
      <c r="C58" s="83"/>
      <c r="D58" s="83"/>
      <c r="E58" s="83"/>
      <c r="F58" s="83"/>
      <c r="G58" s="83"/>
      <c r="H58" s="87"/>
      <c r="I58" s="88"/>
      <c r="J58" s="88"/>
      <c r="K58" s="87"/>
      <c r="L58" s="87"/>
      <c r="M58" s="87"/>
      <c r="N58" s="87"/>
      <c r="O58" s="84"/>
      <c r="P58" s="84"/>
      <c r="V58" s="128"/>
    </row>
    <row r="59" spans="1:26" ht="13.8" x14ac:dyDescent="0.25">
      <c r="B59" s="42" t="s">
        <v>13</v>
      </c>
      <c r="C59" s="43" t="s">
        <v>215</v>
      </c>
      <c r="D59" s="1"/>
      <c r="E59" s="1"/>
      <c r="F59" s="1"/>
      <c r="G59" s="1"/>
      <c r="H59" s="15"/>
      <c r="I59" s="7"/>
      <c r="J59" s="7"/>
      <c r="K59" s="15"/>
      <c r="L59" s="87"/>
      <c r="M59" s="87"/>
      <c r="N59" s="87"/>
      <c r="O59" s="84"/>
      <c r="P59" s="84"/>
      <c r="Q59" s="129">
        <v>0.14000000000000001</v>
      </c>
      <c r="R59" s="130" t="s">
        <v>150</v>
      </c>
      <c r="S59" s="131"/>
      <c r="T59" s="131"/>
      <c r="U59" s="131"/>
      <c r="V59" s="132">
        <f ca="1">IF(ISERROR(ROUNDDOWN(N(N57)*N(Q59),0)),0,ROUNDDOWN(N(N57)*N(Q59),0))</f>
        <v>0</v>
      </c>
      <c r="W59" s="130" t="s">
        <v>151</v>
      </c>
      <c r="X59" s="131"/>
      <c r="Y59" s="131"/>
      <c r="Z59" s="131"/>
    </row>
    <row r="60" spans="1:26" x14ac:dyDescent="0.25">
      <c r="B60" s="42"/>
      <c r="C60" s="43" t="str">
        <f>"(Max. "&amp;TEXT(Q59,"0%")&amp;" of A1.1., column 3)"</f>
        <v>(Max. 14% of A1.1., column 3)</v>
      </c>
      <c r="D60" s="1"/>
      <c r="E60" s="1"/>
      <c r="F60" s="1"/>
      <c r="G60" s="42" t="s">
        <v>9</v>
      </c>
      <c r="H60" s="81"/>
      <c r="I60" s="24"/>
      <c r="J60" s="10" t="s">
        <v>9</v>
      </c>
      <c r="K60" s="81"/>
      <c r="L60" s="87"/>
      <c r="M60" s="68" t="s">
        <v>9</v>
      </c>
      <c r="N60" s="67" t="str">
        <f ca="1">IF(AND(CELL("type",H60)="v",CELL("type",K60)="v")=TRUE,IF(H60+K60=0,"",H60+K60),IF(AND(CELL("type",H60)="v",CELL("type",K60)&lt;&gt;"v")=TRUE,H60,IF(AND(CELL("type",H60)&lt;&gt;"v",CELL("type",K60)="v")=TRUE,K60,"")))</f>
        <v/>
      </c>
      <c r="O60" s="84"/>
      <c r="P60" s="124" t="str">
        <f ca="1">IF(Q60="No","**","")</f>
        <v/>
      </c>
      <c r="Q60" s="133" t="str">
        <f ca="1">IF(OR(AND(N(N60)=0,N(N57)&gt;0),N(N60)&gt;V59),"No","Yes")</f>
        <v>Yes</v>
      </c>
      <c r="R60" s="134" t="s">
        <v>119</v>
      </c>
      <c r="S60" s="134"/>
      <c r="T60" s="134"/>
      <c r="U60" s="134"/>
      <c r="V60" s="134"/>
      <c r="W60" s="134"/>
      <c r="X60" s="134"/>
      <c r="Y60" s="134"/>
      <c r="Z60" s="134"/>
    </row>
    <row r="61" spans="1:26" x14ac:dyDescent="0.25">
      <c r="B61" s="83"/>
      <c r="C61" s="83"/>
      <c r="D61" s="83"/>
      <c r="E61" s="83"/>
      <c r="F61" s="83"/>
      <c r="G61" s="83"/>
      <c r="H61" s="87"/>
      <c r="I61" s="88"/>
      <c r="J61" s="88"/>
      <c r="K61" s="87"/>
      <c r="L61" s="87"/>
      <c r="M61" s="87"/>
      <c r="N61" s="87"/>
      <c r="O61" s="84"/>
      <c r="P61" s="84"/>
      <c r="Q61" s="135" t="str">
        <f ca="1">IF(Q60="No",IF(N(N60)=0,"The GC Fee must be disclosed.  If it is not, the RFA requires the scorer to add the maximum GC Fee ("&amp;TEXT(ROUNDDOWN(N(N57)*Q59,0),"$#,##0.00")&amp;").","")&amp;IF(N(N60)&gt;V59,"The amount entered for 'General Contractor Fee' is too high by "&amp;TEXT(N(N60)-N(V59),"$#,##0.00")&amp;".  ",""),"")</f>
        <v/>
      </c>
      <c r="R61" s="136"/>
      <c r="S61" s="136"/>
      <c r="T61" s="136"/>
      <c r="U61" s="136"/>
      <c r="V61" s="136"/>
      <c r="W61" s="136"/>
      <c r="X61" s="136"/>
      <c r="Y61" s="136"/>
      <c r="Z61" s="136"/>
    </row>
    <row r="62" spans="1:26" x14ac:dyDescent="0.25">
      <c r="B62" s="42" t="s">
        <v>30</v>
      </c>
      <c r="C62" s="11" t="s">
        <v>56</v>
      </c>
      <c r="D62" s="1"/>
      <c r="E62" s="1"/>
      <c r="F62" s="1"/>
      <c r="G62" s="83"/>
      <c r="H62" s="87"/>
      <c r="I62" s="88"/>
      <c r="J62" s="88"/>
      <c r="K62" s="87"/>
      <c r="L62" s="87"/>
      <c r="M62" s="87"/>
      <c r="N62" s="87"/>
      <c r="O62" s="84"/>
      <c r="P62" s="84"/>
    </row>
    <row r="63" spans="1:26" x14ac:dyDescent="0.25">
      <c r="B63" s="42"/>
      <c r="C63" s="11"/>
      <c r="D63" s="11" t="s">
        <v>57</v>
      </c>
      <c r="E63" s="1"/>
      <c r="F63" s="1"/>
      <c r="G63" s="42" t="s">
        <v>9</v>
      </c>
      <c r="H63" s="67" t="str">
        <f>IF(SUM(H57:H62)=0,"",SUM(H57:H62))</f>
        <v/>
      </c>
      <c r="I63" s="7"/>
      <c r="J63" s="10" t="s">
        <v>9</v>
      </c>
      <c r="K63" s="67" t="str">
        <f>IF(SUM(K57:K62)=0,"",SUM(K57:K62))</f>
        <v/>
      </c>
      <c r="L63" s="15"/>
      <c r="M63" s="68" t="s">
        <v>9</v>
      </c>
      <c r="N63" s="67" t="str">
        <f ca="1">IF(AND(CELL("type",H63)="v",CELL("type",K63)="v")=TRUE,IF(H63+K63=0,"",H63+K63),IF(AND(CELL("type",H63)="v",CELL("type",K63)&lt;&gt;"v")=TRUE,H63,IF(AND(CELL("type",H63)&lt;&gt;"v",CELL("type",K63)="v")=TRUE,K63,"")))</f>
        <v/>
      </c>
      <c r="O63" s="84"/>
      <c r="P63" s="84"/>
      <c r="Q63" s="158"/>
      <c r="R63" s="137"/>
      <c r="V63" s="128"/>
    </row>
    <row r="64" spans="1:26" x14ac:dyDescent="0.25">
      <c r="B64" s="83"/>
      <c r="C64" s="83"/>
      <c r="D64" s="83"/>
      <c r="E64" s="83"/>
      <c r="F64" s="83"/>
      <c r="G64" s="83"/>
      <c r="H64" s="87"/>
      <c r="I64" s="88"/>
      <c r="J64" s="88"/>
      <c r="K64" s="87"/>
      <c r="L64" s="87"/>
      <c r="M64" s="87"/>
      <c r="N64" s="87"/>
      <c r="O64" s="84"/>
      <c r="P64" s="84"/>
      <c r="Q64" s="129" t="str">
        <f>IF(K32=F473,"TBD",IF(OR(K32="New Construction (w/ or w/o Acquisition)",K32="Redevelopment (w/ or w/o Acquisition)"),5%,15%))</f>
        <v>TBD</v>
      </c>
      <c r="R64" s="130" t="s">
        <v>152</v>
      </c>
      <c r="S64" s="131"/>
      <c r="T64" s="131"/>
      <c r="U64" s="131"/>
      <c r="V64" s="132" t="str">
        <f ca="1">IF(ISERROR(N(N63)*N(Q64)),0,IF(K32=F473,"TBD",N(N63)*N(Q64)))</f>
        <v>TBD</v>
      </c>
      <c r="W64" s="130" t="s">
        <v>153</v>
      </c>
      <c r="X64" s="131"/>
      <c r="Y64" s="131"/>
      <c r="Z64" s="131"/>
    </row>
    <row r="65" spans="1:27" ht="13.8" x14ac:dyDescent="0.25">
      <c r="B65" s="42" t="s">
        <v>114</v>
      </c>
      <c r="C65" s="100" t="s">
        <v>216</v>
      </c>
      <c r="D65" s="83"/>
      <c r="E65" s="83"/>
      <c r="F65" s="83"/>
      <c r="G65" s="42" t="s">
        <v>9</v>
      </c>
      <c r="H65" s="81"/>
      <c r="I65" s="24"/>
      <c r="J65" s="10" t="s">
        <v>9</v>
      </c>
      <c r="K65" s="81"/>
      <c r="L65" s="87"/>
      <c r="M65" s="68" t="s">
        <v>9</v>
      </c>
      <c r="N65" s="67" t="str">
        <f ca="1">IF(AND(CELL("type",H65)="v",CELL("type",K65)="v")=TRUE,IF(H65+K65=0,"",H65+K65),IF(AND(CELL("type",H65)="v",CELL("type",K65)&lt;&gt;"v")=TRUE,H65,IF(AND(CELL("type",H65)&lt;&gt;"v",CELL("type",K65)="v")=TRUE,K65,"")))</f>
        <v/>
      </c>
      <c r="O65" s="84"/>
      <c r="P65" s="124" t="str">
        <f ca="1">IF(OR(Q65="No",AND(N(N65)&gt;0,Q65="TBD")),"**","")</f>
        <v/>
      </c>
      <c r="Q65" s="133" t="str">
        <f ca="1">IF(V64="TBD","TBD",IF(N(N65)&lt;=V64,"Yes","No"))</f>
        <v>TBD</v>
      </c>
      <c r="R65" s="134" t="s">
        <v>127</v>
      </c>
      <c r="S65" s="134"/>
      <c r="T65" s="134"/>
      <c r="U65" s="134"/>
      <c r="V65" s="134"/>
      <c r="W65" s="134"/>
      <c r="X65" s="134"/>
      <c r="Y65" s="134"/>
      <c r="Z65" s="134"/>
    </row>
    <row r="66" spans="1:27" x14ac:dyDescent="0.25">
      <c r="B66" s="83"/>
      <c r="C66" s="83"/>
      <c r="D66" s="83"/>
      <c r="E66" s="83"/>
      <c r="F66" s="83"/>
      <c r="G66" s="83"/>
      <c r="H66" s="87"/>
      <c r="I66" s="88"/>
      <c r="J66" s="88"/>
      <c r="K66" s="87"/>
      <c r="L66" s="87"/>
      <c r="M66" s="87"/>
      <c r="N66" s="87"/>
      <c r="O66" s="84"/>
      <c r="P66" s="84"/>
      <c r="Q66" s="135" t="str">
        <f ca="1">IF(AND(Q64="TBD",N(N63)&gt;0),"Please select the applicable Development Category from the drop-down menu at the top of the Development Cost Pro Forma.",IF(Q65="No","The amount entered for 'Hard Cost Contingency' is too high by "&amp;TEXT(N(N65)-N(V64),"$#,##0.00")&amp;".  ",""))</f>
        <v/>
      </c>
      <c r="R66" s="136"/>
      <c r="S66" s="136"/>
      <c r="T66" s="136"/>
      <c r="U66" s="136"/>
      <c r="V66" s="136"/>
      <c r="W66" s="136"/>
      <c r="X66" s="136"/>
      <c r="Y66" s="136"/>
      <c r="Z66" s="136"/>
    </row>
    <row r="67" spans="1:27" ht="3.75" customHeight="1" thickBot="1" x14ac:dyDescent="0.3">
      <c r="B67" s="83"/>
      <c r="C67" s="83"/>
      <c r="D67" s="40"/>
      <c r="E67" s="1"/>
      <c r="F67" s="1"/>
      <c r="G67" s="1"/>
      <c r="H67" s="105"/>
      <c r="I67" s="7"/>
      <c r="J67" s="8"/>
      <c r="K67" s="111"/>
      <c r="L67" s="45"/>
      <c r="M67" s="66"/>
      <c r="N67" s="18"/>
      <c r="O67" s="84"/>
      <c r="P67" s="84"/>
      <c r="Q67" s="128"/>
      <c r="R67" s="128"/>
      <c r="S67" s="128"/>
      <c r="T67" s="128"/>
      <c r="U67" s="128"/>
      <c r="V67" s="128"/>
      <c r="W67" s="128"/>
      <c r="X67" s="128"/>
      <c r="Y67" s="128"/>
      <c r="Z67" s="128"/>
      <c r="AA67" s="128"/>
    </row>
    <row r="68" spans="1:27" ht="3.75" customHeight="1" x14ac:dyDescent="0.25">
      <c r="A68" s="82"/>
      <c r="B68" s="89"/>
      <c r="C68" s="89"/>
      <c r="D68" s="89"/>
      <c r="E68" s="89"/>
      <c r="F68" s="89"/>
      <c r="G68" s="89"/>
      <c r="H68" s="89"/>
      <c r="I68" s="89"/>
      <c r="J68" s="89"/>
      <c r="K68" s="90"/>
      <c r="L68" s="90"/>
      <c r="M68" s="90"/>
      <c r="N68" s="90"/>
      <c r="O68" s="91"/>
      <c r="P68" s="91"/>
    </row>
    <row r="69" spans="1:27" x14ac:dyDescent="0.25">
      <c r="B69" s="64" t="str">
        <f>B$2</f>
        <v>RFA 2021-106 DEVELOPMENT COST PRO FORMA</v>
      </c>
      <c r="C69" s="83"/>
      <c r="D69" s="86"/>
      <c r="E69" s="83"/>
      <c r="F69" s="83"/>
      <c r="G69" s="83"/>
      <c r="H69" s="1"/>
      <c r="I69" s="1"/>
      <c r="J69" s="1"/>
      <c r="K69" s="66"/>
      <c r="L69" s="86"/>
      <c r="M69" s="86"/>
      <c r="N69" s="86"/>
      <c r="O69" s="84"/>
      <c r="P69" s="3" t="s">
        <v>250</v>
      </c>
    </row>
    <row r="70" spans="1:27" x14ac:dyDescent="0.25">
      <c r="B70" s="83"/>
      <c r="C70" s="83"/>
      <c r="D70" s="86"/>
      <c r="E70" s="83"/>
      <c r="F70" s="83"/>
      <c r="G70" s="83"/>
      <c r="H70" s="163">
        <f>H$35</f>
        <v>1</v>
      </c>
      <c r="I70" s="1"/>
      <c r="J70" s="1"/>
      <c r="K70" s="163">
        <f>K$35</f>
        <v>2</v>
      </c>
      <c r="L70" s="1"/>
      <c r="M70" s="34"/>
      <c r="N70" s="163">
        <f>N$35</f>
        <v>3</v>
      </c>
      <c r="O70" s="84"/>
      <c r="P70" s="84"/>
    </row>
    <row r="71" spans="1:27" ht="22.35" customHeight="1" x14ac:dyDescent="0.25">
      <c r="B71" s="83"/>
      <c r="C71" s="83"/>
      <c r="D71" s="86"/>
      <c r="E71" s="83"/>
      <c r="F71" s="83"/>
      <c r="G71" s="83"/>
      <c r="H71" s="36" t="str">
        <f>H$36</f>
        <v>HC ELIGIBLE
COSTS</v>
      </c>
      <c r="I71" s="33"/>
      <c r="J71" s="33"/>
      <c r="K71" s="36" t="str">
        <f>K$36</f>
        <v>HC INELIGIBLE
COSTS</v>
      </c>
      <c r="L71" s="37"/>
      <c r="M71" s="71"/>
      <c r="N71" s="36" t="str">
        <f>N$36</f>
        <v>TOTAL
COSTS</v>
      </c>
      <c r="O71" s="84"/>
      <c r="P71" s="84"/>
    </row>
    <row r="72" spans="1:27" x14ac:dyDescent="0.25">
      <c r="B72" s="83"/>
      <c r="C72" s="39" t="s">
        <v>31</v>
      </c>
      <c r="D72" s="86"/>
      <c r="E72" s="83"/>
      <c r="F72" s="83"/>
      <c r="G72" s="83"/>
      <c r="H72" s="1"/>
      <c r="I72" s="1"/>
      <c r="J72" s="1"/>
      <c r="K72" s="66"/>
      <c r="L72" s="86"/>
      <c r="M72" s="86"/>
      <c r="N72" s="86"/>
      <c r="O72" s="84"/>
      <c r="P72" s="84"/>
    </row>
    <row r="73" spans="1:27" x14ac:dyDescent="0.25">
      <c r="B73" s="83"/>
      <c r="C73" s="39"/>
      <c r="D73" s="40" t="s">
        <v>32</v>
      </c>
      <c r="E73" s="83"/>
      <c r="F73" s="83"/>
      <c r="G73" s="83"/>
      <c r="H73" s="80"/>
      <c r="I73" s="7"/>
      <c r="J73" s="8"/>
      <c r="K73" s="80"/>
      <c r="L73" s="17"/>
      <c r="M73" s="15"/>
      <c r="N73" s="67" t="str">
        <f ca="1">IF(AND(CELL("type",H73)="v",CELL("type",K73)="v")=TRUE,IF(H73+K73=0,"",H73+K73),IF(AND(CELL("type",H73)="v",CELL("type",K73)&lt;&gt;"v")=TRUE,H73,IF(AND(CELL("type",H73)&lt;&gt;"v",CELL("type",K73)="v")=TRUE,K73,"")))</f>
        <v/>
      </c>
      <c r="O73" s="84"/>
      <c r="P73" s="84"/>
      <c r="Q73" s="304" t="s">
        <v>201</v>
      </c>
      <c r="R73" s="304"/>
      <c r="S73" s="304"/>
      <c r="T73" s="304"/>
      <c r="U73" s="304"/>
      <c r="V73" s="304"/>
      <c r="W73" s="304"/>
      <c r="X73" s="304"/>
      <c r="Y73" s="304"/>
      <c r="Z73" s="304"/>
    </row>
    <row r="74" spans="1:27" x14ac:dyDescent="0.25">
      <c r="B74" s="83"/>
      <c r="C74" s="39"/>
      <c r="D74" s="86"/>
      <c r="E74" s="83"/>
      <c r="F74" s="83"/>
      <c r="G74" s="83"/>
      <c r="H74" s="1"/>
      <c r="I74" s="1"/>
      <c r="J74" s="1"/>
      <c r="K74" s="66"/>
      <c r="L74" s="86"/>
      <c r="M74" s="86"/>
      <c r="N74" s="86"/>
      <c r="O74" s="84"/>
      <c r="P74" s="84"/>
      <c r="Q74" s="304"/>
      <c r="R74" s="304"/>
      <c r="S74" s="304"/>
      <c r="T74" s="304"/>
      <c r="U74" s="304"/>
      <c r="V74" s="304"/>
      <c r="W74" s="304"/>
      <c r="X74" s="304"/>
      <c r="Y74" s="304"/>
      <c r="Z74" s="304"/>
    </row>
    <row r="75" spans="1:27" x14ac:dyDescent="0.25">
      <c r="B75" s="83"/>
      <c r="C75" s="39"/>
      <c r="D75" s="40" t="s">
        <v>33</v>
      </c>
      <c r="E75" s="83"/>
      <c r="F75" s="83"/>
      <c r="G75" s="83"/>
      <c r="H75" s="79"/>
      <c r="I75" s="7"/>
      <c r="J75" s="8"/>
      <c r="K75" s="80"/>
      <c r="L75" s="45"/>
      <c r="M75" s="66"/>
      <c r="N75" s="67" t="str">
        <f ca="1">IF(AND(CELL("type",H75)="v",CELL("type",K75)="v")=TRUE,IF(H75+K75=0,"",H75+K75),IF(AND(CELL("type",H75)="v",CELL("type",K75)&lt;&gt;"v")=TRUE,H75,IF(AND(CELL("type",H75)&lt;&gt;"v",CELL("type",K75)="v")=TRUE,K75,"")))</f>
        <v/>
      </c>
      <c r="O75" s="84"/>
      <c r="P75" s="84"/>
    </row>
    <row r="76" spans="1:27" x14ac:dyDescent="0.25">
      <c r="B76" s="83"/>
      <c r="C76" s="39"/>
      <c r="D76" s="86"/>
      <c r="E76" s="83"/>
      <c r="F76" s="83"/>
      <c r="G76" s="83"/>
      <c r="H76" s="1"/>
      <c r="I76" s="1"/>
      <c r="J76" s="1"/>
      <c r="K76" s="66"/>
      <c r="L76" s="86"/>
      <c r="M76" s="86"/>
      <c r="N76" s="86"/>
      <c r="O76" s="84"/>
      <c r="P76" s="84"/>
    </row>
    <row r="77" spans="1:27" x14ac:dyDescent="0.25">
      <c r="B77" s="83"/>
      <c r="C77" s="83"/>
      <c r="D77" s="40" t="s">
        <v>38</v>
      </c>
      <c r="E77" s="1"/>
      <c r="F77" s="1"/>
      <c r="G77" s="1"/>
      <c r="H77" s="80"/>
      <c r="I77" s="7"/>
      <c r="J77" s="8"/>
      <c r="K77" s="80"/>
      <c r="L77" s="17"/>
      <c r="M77" s="15"/>
      <c r="N77" s="67" t="str">
        <f ca="1">IF(AND(CELL("type",H77)="v",CELL("type",K77)="v")=TRUE,IF(H77+K77=0,"",H77+K77),IF(AND(CELL("type",H77)="v",CELL("type",K77)&lt;&gt;"v")=TRUE,H77,IF(AND(CELL("type",H77)&lt;&gt;"v",CELL("type",K77)="v")=TRUE,K77,"")))</f>
        <v/>
      </c>
      <c r="O77" s="84"/>
      <c r="P77" s="84"/>
      <c r="Q77" s="304" t="s">
        <v>156</v>
      </c>
      <c r="R77" s="304"/>
      <c r="S77" s="304"/>
      <c r="T77" s="304"/>
      <c r="U77" s="304"/>
      <c r="V77" s="304"/>
      <c r="W77" s="304"/>
      <c r="X77" s="304"/>
      <c r="Y77" s="304"/>
      <c r="Z77" s="304"/>
    </row>
    <row r="78" spans="1:27" x14ac:dyDescent="0.25">
      <c r="B78" s="83"/>
      <c r="C78" s="83"/>
      <c r="D78" s="92"/>
      <c r="E78" s="83"/>
      <c r="F78" s="83"/>
      <c r="G78" s="83"/>
      <c r="H78" s="7"/>
      <c r="I78" s="7"/>
      <c r="J78" s="7"/>
      <c r="K78" s="15"/>
      <c r="L78" s="87"/>
      <c r="M78" s="87"/>
      <c r="N78" s="87"/>
      <c r="O78" s="84"/>
      <c r="P78" s="84"/>
      <c r="Q78" s="304"/>
      <c r="R78" s="304"/>
      <c r="S78" s="304"/>
      <c r="T78" s="304"/>
      <c r="U78" s="304"/>
      <c r="V78" s="304"/>
      <c r="W78" s="304"/>
      <c r="X78" s="304"/>
      <c r="Y78" s="304"/>
      <c r="Z78" s="304"/>
    </row>
    <row r="79" spans="1:27" x14ac:dyDescent="0.25">
      <c r="B79" s="83"/>
      <c r="C79" s="83"/>
      <c r="D79" s="40" t="s">
        <v>34</v>
      </c>
      <c r="E79" s="1"/>
      <c r="F79" s="1"/>
      <c r="G79" s="1"/>
      <c r="H79" s="80"/>
      <c r="I79" s="7"/>
      <c r="J79" s="8"/>
      <c r="K79" s="80"/>
      <c r="L79" s="17"/>
      <c r="M79" s="15"/>
      <c r="N79" s="67" t="str">
        <f ca="1">IF(AND(CELL("type",H79)="v",CELL("type",K79)="v")=TRUE,IF(H79+K79=0,"",H79+K79),IF(AND(CELL("type",H79)="v",CELL("type",K79)&lt;&gt;"v")=TRUE,H79,IF(AND(CELL("type",H79)&lt;&gt;"v",CELL("type",K79)="v")=TRUE,K79,"")))</f>
        <v/>
      </c>
      <c r="O79" s="84"/>
      <c r="P79" s="84"/>
    </row>
    <row r="80" spans="1:27" x14ac:dyDescent="0.25">
      <c r="B80" s="83"/>
      <c r="C80" s="83"/>
      <c r="D80" s="92"/>
      <c r="E80" s="83"/>
      <c r="F80" s="83"/>
      <c r="G80" s="83"/>
      <c r="H80" s="7"/>
      <c r="I80" s="7"/>
      <c r="J80" s="7"/>
      <c r="K80" s="15"/>
      <c r="L80" s="87"/>
      <c r="M80" s="87"/>
      <c r="N80" s="87"/>
      <c r="O80" s="84"/>
      <c r="P80" s="84"/>
    </row>
    <row r="81" spans="2:26" x14ac:dyDescent="0.25">
      <c r="B81" s="83"/>
      <c r="C81" s="83"/>
      <c r="D81" s="40" t="s">
        <v>35</v>
      </c>
      <c r="E81" s="1"/>
      <c r="F81" s="1"/>
      <c r="G81" s="1"/>
      <c r="H81" s="80"/>
      <c r="I81" s="7"/>
      <c r="J81" s="8"/>
      <c r="K81" s="80"/>
      <c r="L81" s="17"/>
      <c r="M81" s="15"/>
      <c r="N81" s="67" t="str">
        <f ca="1">IF(AND(CELL("type",H81)="v",CELL("type",K81)="v")=TRUE,IF(H81+K81=0,"",H81+K81),IF(AND(CELL("type",H81)="v",CELL("type",K81)&lt;&gt;"v")=TRUE,H81,IF(AND(CELL("type",H81)&lt;&gt;"v",CELL("type",K81)="v")=TRUE,K81,"")))</f>
        <v/>
      </c>
      <c r="O81" s="84"/>
      <c r="P81" s="84"/>
    </row>
    <row r="82" spans="2:26" x14ac:dyDescent="0.25">
      <c r="B82" s="83"/>
      <c r="C82" s="83"/>
      <c r="D82" s="92"/>
      <c r="E82" s="83"/>
      <c r="F82" s="83"/>
      <c r="G82" s="83"/>
      <c r="H82" s="7"/>
      <c r="I82" s="7"/>
      <c r="J82" s="7"/>
      <c r="K82" s="15"/>
      <c r="L82" s="87"/>
      <c r="M82" s="87"/>
      <c r="N82" s="87"/>
      <c r="O82" s="84"/>
      <c r="P82" s="84"/>
    </row>
    <row r="83" spans="2:26" x14ac:dyDescent="0.25">
      <c r="B83" s="83"/>
      <c r="C83" s="83"/>
      <c r="D83" s="40" t="s">
        <v>36</v>
      </c>
      <c r="E83" s="1"/>
      <c r="F83" s="1"/>
      <c r="G83" s="1"/>
      <c r="H83" s="80"/>
      <c r="I83" s="7"/>
      <c r="J83" s="8"/>
      <c r="K83" s="80"/>
      <c r="L83" s="17"/>
      <c r="M83" s="15"/>
      <c r="N83" s="67" t="str">
        <f ca="1">IF(AND(CELL("type",H83)="v",CELL("type",K83)="v")=TRUE,IF(H83+K83=0,"",H83+K83),IF(AND(CELL("type",H83)="v",CELL("type",K83)&lt;&gt;"v")=TRUE,H83,IF(AND(CELL("type",H83)&lt;&gt;"v",CELL("type",K83)="v")=TRUE,K83,"")))</f>
        <v/>
      </c>
      <c r="O83" s="84"/>
      <c r="P83" s="84"/>
    </row>
    <row r="84" spans="2:26" x14ac:dyDescent="0.25">
      <c r="B84" s="83"/>
      <c r="C84" s="83"/>
      <c r="D84" s="92"/>
      <c r="E84" s="83"/>
      <c r="F84" s="83"/>
      <c r="G84" s="83"/>
      <c r="H84" s="7"/>
      <c r="I84" s="7"/>
      <c r="J84" s="7"/>
      <c r="K84" s="15"/>
      <c r="L84" s="87"/>
      <c r="M84" s="87"/>
      <c r="N84" s="87"/>
      <c r="O84" s="84"/>
      <c r="P84" s="84"/>
    </row>
    <row r="85" spans="2:26" x14ac:dyDescent="0.25">
      <c r="B85" s="83"/>
      <c r="C85" s="83"/>
      <c r="D85" s="92" t="s">
        <v>53</v>
      </c>
      <c r="E85" s="83"/>
      <c r="F85" s="83"/>
      <c r="G85" s="83"/>
      <c r="H85" s="80"/>
      <c r="I85" s="7"/>
      <c r="J85" s="8"/>
      <c r="K85" s="80"/>
      <c r="L85" s="17"/>
      <c r="M85" s="17"/>
      <c r="N85" s="67" t="str">
        <f ca="1">IF(AND(CELL("type",H85)="v",CELL("type",K85)="v")=TRUE,IF(H85+K85=0,"",H85+K85),IF(AND(CELL("type",H85)="v",CELL("type",K85)&lt;&gt;"v")=TRUE,H85,IF(AND(CELL("type",H85)&lt;&gt;"v",CELL("type",K85)="v")=TRUE,K85,"")))</f>
        <v/>
      </c>
      <c r="O85" s="84"/>
      <c r="P85" s="84"/>
    </row>
    <row r="86" spans="2:26" x14ac:dyDescent="0.25">
      <c r="B86" s="83"/>
      <c r="C86" s="83"/>
      <c r="D86" s="92"/>
      <c r="E86" s="83"/>
      <c r="F86" s="83"/>
      <c r="G86" s="83"/>
      <c r="H86" s="7"/>
      <c r="I86" s="7"/>
      <c r="J86" s="7"/>
      <c r="K86" s="15"/>
      <c r="L86" s="87"/>
      <c r="M86" s="87"/>
      <c r="N86" s="87"/>
      <c r="O86" s="84"/>
      <c r="P86" s="84"/>
    </row>
    <row r="87" spans="2:26" ht="12.75" customHeight="1" x14ac:dyDescent="0.25">
      <c r="B87" s="83"/>
      <c r="C87" s="83"/>
      <c r="D87" s="44" t="s">
        <v>52</v>
      </c>
      <c r="E87" s="1"/>
      <c r="F87" s="1"/>
      <c r="G87" s="1"/>
      <c r="H87" s="80"/>
      <c r="I87" s="7"/>
      <c r="J87" s="8"/>
      <c r="K87" s="80"/>
      <c r="L87" s="17"/>
      <c r="M87" s="17"/>
      <c r="N87" s="67" t="str">
        <f ca="1">IF(AND(CELL("type",H87)="v",CELL("type",K87)="v")=TRUE,IF(H87+K87=0,"",H87+K87),IF(AND(CELL("type",H87)="v",CELL("type",K87)&lt;&gt;"v")=TRUE,H87,IF(AND(CELL("type",H87)&lt;&gt;"v",CELL("type",K87)="v")=TRUE,K87,"")))</f>
        <v/>
      </c>
      <c r="O87" s="84"/>
      <c r="P87" s="84"/>
      <c r="Q87" s="304" t="s">
        <v>156</v>
      </c>
      <c r="R87" s="304"/>
      <c r="S87" s="304"/>
      <c r="T87" s="304"/>
      <c r="U87" s="304"/>
      <c r="V87" s="304"/>
      <c r="W87" s="304"/>
      <c r="X87" s="304"/>
      <c r="Y87" s="304"/>
      <c r="Z87" s="304"/>
    </row>
    <row r="88" spans="2:26" x14ac:dyDescent="0.25">
      <c r="B88" s="83"/>
      <c r="C88" s="83"/>
      <c r="D88" s="92"/>
      <c r="E88" s="83"/>
      <c r="F88" s="83"/>
      <c r="G88" s="83"/>
      <c r="H88" s="7"/>
      <c r="I88" s="7"/>
      <c r="J88" s="7"/>
      <c r="K88" s="15"/>
      <c r="L88" s="87"/>
      <c r="M88" s="87"/>
      <c r="N88" s="87"/>
      <c r="O88" s="84"/>
      <c r="P88" s="84"/>
      <c r="Q88" s="304"/>
      <c r="R88" s="304"/>
      <c r="S88" s="304"/>
      <c r="T88" s="304"/>
      <c r="U88" s="304"/>
      <c r="V88" s="304"/>
      <c r="W88" s="304"/>
      <c r="X88" s="304"/>
      <c r="Y88" s="304"/>
      <c r="Z88" s="304"/>
    </row>
    <row r="89" spans="2:26" x14ac:dyDescent="0.25">
      <c r="B89" s="83"/>
      <c r="C89" s="83"/>
      <c r="D89" s="44" t="s">
        <v>37</v>
      </c>
      <c r="E89" s="1"/>
      <c r="F89" s="1"/>
      <c r="G89" s="1"/>
      <c r="H89" s="80"/>
      <c r="I89" s="7"/>
      <c r="J89" s="8"/>
      <c r="K89" s="80"/>
      <c r="L89" s="17"/>
      <c r="M89" s="17"/>
      <c r="N89" s="67" t="str">
        <f ca="1">IF(AND(CELL("type",H89)="v",CELL("type",K89)="v")=TRUE,IF(H89+K89=0,"",H89+K89),IF(AND(CELL("type",H89)="v",CELL("type",K89)&lt;&gt;"v")=TRUE,H89,IF(AND(CELL("type",H89)&lt;&gt;"v",CELL("type",K89)="v")=TRUE,K89,"")))</f>
        <v/>
      </c>
      <c r="O89" s="84"/>
      <c r="P89" s="84"/>
      <c r="Q89" s="304" t="s">
        <v>120</v>
      </c>
      <c r="R89" s="304"/>
      <c r="S89" s="304"/>
      <c r="T89" s="304"/>
      <c r="U89" s="304"/>
      <c r="V89" s="304"/>
      <c r="W89" s="304"/>
      <c r="X89" s="304"/>
      <c r="Y89" s="304"/>
      <c r="Z89" s="304"/>
    </row>
    <row r="90" spans="2:26" x14ac:dyDescent="0.25">
      <c r="B90" s="83"/>
      <c r="C90" s="83"/>
      <c r="D90" s="92"/>
      <c r="E90" s="83"/>
      <c r="F90" s="83"/>
      <c r="G90" s="83"/>
      <c r="H90" s="7"/>
      <c r="I90" s="7"/>
      <c r="J90" s="7"/>
      <c r="K90" s="15"/>
      <c r="L90" s="87"/>
      <c r="M90" s="87"/>
      <c r="N90" s="87"/>
      <c r="O90" s="84"/>
      <c r="P90" s="84"/>
      <c r="Q90" s="304"/>
      <c r="R90" s="304"/>
      <c r="S90" s="304"/>
      <c r="T90" s="304"/>
      <c r="U90" s="304"/>
      <c r="V90" s="304"/>
      <c r="W90" s="304"/>
      <c r="X90" s="304"/>
      <c r="Y90" s="304"/>
      <c r="Z90" s="304"/>
    </row>
    <row r="91" spans="2:26" ht="13.8" x14ac:dyDescent="0.25">
      <c r="B91" s="83"/>
      <c r="C91" s="83"/>
      <c r="D91" s="44" t="s">
        <v>219</v>
      </c>
      <c r="E91" s="1"/>
      <c r="F91" s="1"/>
      <c r="G91" s="1"/>
      <c r="H91" s="93"/>
      <c r="I91" s="7"/>
      <c r="J91" s="8"/>
      <c r="K91" s="80"/>
      <c r="L91" s="17"/>
      <c r="M91" s="17"/>
      <c r="N91" s="67" t="str">
        <f ca="1">IF(AND(CELL("type",H91)="v",CELL("type",K91)="v")=TRUE,IF(H91+K91=0,"",H91+K91),IF(AND(CELL("type",H91)="v",CELL("type",K91)&lt;&gt;"v")=TRUE,H91,IF(AND(CELL("type",H91)&lt;&gt;"v",CELL("type",K91)="v")=TRUE,K91,"")))</f>
        <v/>
      </c>
      <c r="O91" s="84"/>
      <c r="P91" s="84"/>
    </row>
    <row r="92" spans="2:26" x14ac:dyDescent="0.25">
      <c r="B92" s="83"/>
      <c r="C92" s="83"/>
      <c r="D92" s="92"/>
      <c r="E92" s="83"/>
      <c r="F92" s="83"/>
      <c r="G92" s="83"/>
      <c r="H92" s="7"/>
      <c r="I92" s="7"/>
      <c r="J92" s="7"/>
      <c r="K92" s="15"/>
      <c r="L92" s="87"/>
      <c r="M92" s="87"/>
      <c r="N92" s="87"/>
      <c r="O92" s="84"/>
      <c r="P92" s="84"/>
    </row>
    <row r="93" spans="2:26" ht="13.8" x14ac:dyDescent="0.25">
      <c r="B93" s="83"/>
      <c r="C93" s="83"/>
      <c r="D93" s="44" t="s">
        <v>221</v>
      </c>
      <c r="E93" s="1"/>
      <c r="F93" s="1"/>
      <c r="G93" s="1"/>
      <c r="H93" s="80"/>
      <c r="I93" s="7"/>
      <c r="J93" s="8"/>
      <c r="K93" s="80"/>
      <c r="L93" s="17"/>
      <c r="M93" s="17"/>
      <c r="N93" s="67" t="str">
        <f ca="1">IF(AND(CELL("type",H93)="v",CELL("type",K93)="v")=TRUE,IF(H93+K93=0,"",H93+K93),IF(AND(CELL("type",H93)="v",CELL("type",K93)&lt;&gt;"v")=TRUE,H93,IF(AND(CELL("type",H93)&lt;&gt;"v",CELL("type",K93)="v")=TRUE,K93,"")))</f>
        <v/>
      </c>
      <c r="O93" s="84"/>
      <c r="P93" s="84"/>
      <c r="Q93" s="305" t="s">
        <v>335</v>
      </c>
      <c r="R93" s="305"/>
      <c r="S93" s="305"/>
      <c r="T93" s="305"/>
      <c r="U93" s="305"/>
      <c r="V93" s="305"/>
      <c r="W93" s="305"/>
      <c r="X93" s="305"/>
      <c r="Y93" s="305"/>
      <c r="Z93" s="305"/>
    </row>
    <row r="94" spans="2:26" x14ac:dyDescent="0.25">
      <c r="B94" s="83"/>
      <c r="C94" s="83"/>
      <c r="D94" s="92"/>
      <c r="E94" s="83"/>
      <c r="F94" s="83"/>
      <c r="G94" s="83"/>
      <c r="H94" s="7"/>
      <c r="I94" s="7"/>
      <c r="J94" s="7"/>
      <c r="K94" s="15"/>
      <c r="L94" s="87"/>
      <c r="M94" s="87"/>
      <c r="N94" s="87"/>
      <c r="O94" s="84"/>
      <c r="P94" s="84"/>
      <c r="Q94" s="305"/>
      <c r="R94" s="305"/>
      <c r="S94" s="305"/>
      <c r="T94" s="305"/>
      <c r="U94" s="305"/>
      <c r="V94" s="305"/>
      <c r="W94" s="305"/>
      <c r="X94" s="305"/>
      <c r="Y94" s="305"/>
      <c r="Z94" s="305"/>
    </row>
    <row r="95" spans="2:26" ht="13.8" x14ac:dyDescent="0.25">
      <c r="B95" s="83"/>
      <c r="C95" s="83"/>
      <c r="D95" s="44" t="s">
        <v>220</v>
      </c>
      <c r="E95" s="1"/>
      <c r="F95" s="1"/>
      <c r="G95" s="1"/>
      <c r="H95" s="12"/>
      <c r="I95" s="7"/>
      <c r="J95" s="8"/>
      <c r="K95" s="80"/>
      <c r="L95" s="17"/>
      <c r="M95" s="17"/>
      <c r="N95" s="67" t="str">
        <f ca="1">IF(AND(CELL("type",H95)="v",CELL("type",K95)="v")=TRUE,IF(H95+K95=0,"",H95+K95),IF(AND(CELL("type",H95)="v",CELL("type",K95)&lt;&gt;"v")=TRUE,H95,IF(AND(CELL("type",H95)&lt;&gt;"v",CELL("type",K95)="v")=TRUE,K95,"")))</f>
        <v/>
      </c>
      <c r="O95" s="84"/>
      <c r="P95" s="84"/>
    </row>
    <row r="96" spans="2:26" x14ac:dyDescent="0.25">
      <c r="B96" s="83"/>
      <c r="C96" s="83"/>
      <c r="D96" s="92"/>
      <c r="E96" s="83"/>
      <c r="F96" s="83"/>
      <c r="G96" s="83"/>
      <c r="H96" s="7"/>
      <c r="I96" s="7"/>
      <c r="J96" s="7"/>
      <c r="K96" s="15"/>
      <c r="L96" s="87"/>
      <c r="M96" s="87"/>
      <c r="N96" s="87"/>
      <c r="O96" s="84"/>
      <c r="P96" s="84"/>
    </row>
    <row r="97" spans="2:26" ht="12.75" customHeight="1" x14ac:dyDescent="0.25">
      <c r="B97" s="83"/>
      <c r="C97" s="83"/>
      <c r="D97" s="44" t="s">
        <v>323</v>
      </c>
      <c r="E97" s="1"/>
      <c r="F97" s="1"/>
      <c r="G97" s="1"/>
      <c r="H97" s="80"/>
      <c r="I97" s="7"/>
      <c r="J97" s="8"/>
      <c r="K97" s="80"/>
      <c r="L97" s="17"/>
      <c r="M97" s="17"/>
      <c r="N97" s="67" t="str">
        <f ca="1">IF(AND(CELL("type",H97)="v",CELL("type",K97)="v")=TRUE,IF(H97+K97=0,"",H97+K97),IF(AND(CELL("type",H97)="v",CELL("type",K97)&lt;&gt;"v")=TRUE,H97,IF(AND(CELL("type",H97)&lt;&gt;"v",CELL("type",K97)="v")=TRUE,K97,"")))</f>
        <v/>
      </c>
      <c r="O97" s="84"/>
      <c r="P97" s="84"/>
      <c r="Q97" s="305" t="s">
        <v>335</v>
      </c>
      <c r="R97" s="305"/>
      <c r="S97" s="305"/>
      <c r="T97" s="305"/>
      <c r="U97" s="305"/>
      <c r="V97" s="305"/>
      <c r="W97" s="305"/>
      <c r="X97" s="305"/>
      <c r="Y97" s="305"/>
      <c r="Z97" s="305"/>
    </row>
    <row r="98" spans="2:26" x14ac:dyDescent="0.25">
      <c r="B98" s="83"/>
      <c r="C98" s="83"/>
      <c r="D98" s="94"/>
      <c r="E98" s="83"/>
      <c r="F98" s="83"/>
      <c r="G98" s="83"/>
      <c r="H98" s="88"/>
      <c r="I98" s="88"/>
      <c r="J98" s="88"/>
      <c r="K98" s="87"/>
      <c r="L98" s="87"/>
      <c r="M98" s="87"/>
      <c r="N98" s="95"/>
      <c r="O98" s="84"/>
      <c r="P98" s="84"/>
      <c r="Q98" s="305"/>
      <c r="R98" s="305"/>
      <c r="S98" s="305"/>
      <c r="T98" s="305"/>
      <c r="U98" s="305"/>
      <c r="V98" s="305"/>
      <c r="W98" s="305"/>
      <c r="X98" s="305"/>
      <c r="Y98" s="305"/>
      <c r="Z98" s="305"/>
    </row>
    <row r="99" spans="2:26" x14ac:dyDescent="0.25">
      <c r="B99" s="83"/>
      <c r="C99" s="83"/>
      <c r="D99" s="44" t="s">
        <v>50</v>
      </c>
      <c r="E99" s="1"/>
      <c r="F99" s="83"/>
      <c r="G99" s="83"/>
      <c r="H99" s="88"/>
      <c r="I99" s="88"/>
      <c r="J99" s="88"/>
      <c r="K99" s="87"/>
      <c r="L99" s="87"/>
      <c r="M99" s="87"/>
      <c r="N99" s="95"/>
      <c r="O99" s="84"/>
      <c r="P99" s="84"/>
    </row>
    <row r="100" spans="2:26" x14ac:dyDescent="0.25">
      <c r="B100" s="83"/>
      <c r="C100" s="83"/>
      <c r="D100" s="44"/>
      <c r="E100" s="1" t="s">
        <v>51</v>
      </c>
      <c r="F100" s="83"/>
      <c r="G100" s="83"/>
      <c r="H100" s="80"/>
      <c r="I100" s="7"/>
      <c r="J100" s="8"/>
      <c r="K100" s="80"/>
      <c r="L100" s="17"/>
      <c r="M100" s="17"/>
      <c r="N100" s="67" t="str">
        <f ca="1">IF(AND(CELL("type",H100)="v",CELL("type",K100)="v")=TRUE,IF(H100+K100=0,"",H100+K100),IF(AND(CELL("type",H100)="v",CELL("type",K100)&lt;&gt;"v")=TRUE,H100,IF(AND(CELL("type",H100)&lt;&gt;"v",CELL("type",K100)="v")=TRUE,K100,"")))</f>
        <v/>
      </c>
      <c r="O100" s="84"/>
      <c r="P100" s="84"/>
    </row>
    <row r="101" spans="2:26" x14ac:dyDescent="0.25">
      <c r="B101" s="83"/>
      <c r="C101" s="83"/>
      <c r="D101" s="94"/>
      <c r="E101" s="83"/>
      <c r="F101" s="83"/>
      <c r="G101" s="83"/>
      <c r="H101" s="88"/>
      <c r="I101" s="88"/>
      <c r="J101" s="88"/>
      <c r="K101" s="87"/>
      <c r="L101" s="87"/>
      <c r="M101" s="87"/>
      <c r="N101" s="95"/>
      <c r="O101" s="84"/>
      <c r="P101" s="84"/>
    </row>
    <row r="102" spans="2:26" x14ac:dyDescent="0.25">
      <c r="B102" s="83"/>
      <c r="C102" s="83"/>
      <c r="D102" s="45" t="s">
        <v>39</v>
      </c>
      <c r="E102" s="1"/>
      <c r="F102" s="1"/>
      <c r="G102" s="1"/>
      <c r="H102" s="80"/>
      <c r="I102" s="7"/>
      <c r="J102" s="8"/>
      <c r="K102" s="80"/>
      <c r="L102" s="17"/>
      <c r="M102" s="17"/>
      <c r="N102" s="67" t="str">
        <f ca="1">IF(AND(CELL("type",H102)="v",CELL("type",K102)="v")=TRUE,IF(H102+K102=0,"",H102+K102),IF(AND(CELL("type",H102)="v",CELL("type",K102)&lt;&gt;"v")=TRUE,H102,IF(AND(CELL("type",H102)&lt;&gt;"v",CELL("type",K102)="v")=TRUE,K102,"")))</f>
        <v/>
      </c>
      <c r="O102" s="84"/>
      <c r="P102" s="84"/>
      <c r="Q102" s="304" t="s">
        <v>136</v>
      </c>
      <c r="R102" s="304"/>
      <c r="S102" s="304"/>
      <c r="T102" s="304"/>
      <c r="U102" s="304"/>
      <c r="V102" s="304"/>
      <c r="W102" s="304"/>
      <c r="X102" s="304"/>
      <c r="Y102" s="304"/>
      <c r="Z102" s="304"/>
    </row>
    <row r="103" spans="2:26" x14ac:dyDescent="0.25">
      <c r="B103" s="83"/>
      <c r="C103" s="83"/>
      <c r="D103" s="46"/>
      <c r="E103" s="35"/>
      <c r="F103" s="35"/>
      <c r="G103" s="35"/>
      <c r="H103" s="13"/>
      <c r="I103" s="13"/>
      <c r="J103" s="13"/>
      <c r="K103" s="72"/>
      <c r="L103" s="72"/>
      <c r="M103" s="87"/>
      <c r="N103" s="87"/>
      <c r="O103" s="84"/>
      <c r="P103" s="84"/>
      <c r="Q103" s="304"/>
      <c r="R103" s="304"/>
      <c r="S103" s="304"/>
      <c r="T103" s="304"/>
      <c r="U103" s="304"/>
      <c r="V103" s="304"/>
      <c r="W103" s="304"/>
      <c r="X103" s="304"/>
      <c r="Y103" s="304"/>
      <c r="Z103" s="304"/>
    </row>
    <row r="104" spans="2:26" x14ac:dyDescent="0.25">
      <c r="B104" s="83"/>
      <c r="C104" s="83"/>
      <c r="D104" s="44" t="s">
        <v>40</v>
      </c>
      <c r="E104" s="1"/>
      <c r="F104" s="1"/>
      <c r="G104" s="1"/>
      <c r="H104" s="80"/>
      <c r="I104" s="7"/>
      <c r="J104" s="8"/>
      <c r="K104" s="80"/>
      <c r="L104" s="17"/>
      <c r="M104" s="17"/>
      <c r="N104" s="67" t="str">
        <f ca="1">IF(AND(CELL("type",H104)="v",CELL("type",K104)="v")=TRUE,IF(H104+K104=0,"",H104+K104),IF(AND(CELL("type",H104)="v",CELL("type",K104)&lt;&gt;"v")=TRUE,H104,IF(AND(CELL("type",H104)&lt;&gt;"v",CELL("type",K104)="v")=TRUE,K104,"")))</f>
        <v/>
      </c>
      <c r="O104" s="84"/>
      <c r="P104" s="84"/>
      <c r="Q104" s="305" t="s">
        <v>197</v>
      </c>
      <c r="R104" s="305"/>
      <c r="S104" s="305"/>
      <c r="T104" s="305"/>
      <c r="U104" s="305"/>
      <c r="V104" s="305"/>
      <c r="W104" s="305"/>
      <c r="X104" s="305"/>
      <c r="Y104" s="305"/>
      <c r="Z104" s="305"/>
    </row>
    <row r="105" spans="2:26" x14ac:dyDescent="0.25">
      <c r="B105" s="83"/>
      <c r="C105" s="83"/>
      <c r="D105" s="92"/>
      <c r="E105" s="83"/>
      <c r="F105" s="83"/>
      <c r="G105" s="83"/>
      <c r="H105" s="7"/>
      <c r="I105" s="7"/>
      <c r="J105" s="7"/>
      <c r="K105" s="15"/>
      <c r="L105" s="87"/>
      <c r="M105" s="87"/>
      <c r="N105" s="87"/>
      <c r="O105" s="84"/>
      <c r="P105" s="84"/>
      <c r="Q105" s="305"/>
      <c r="R105" s="305"/>
      <c r="S105" s="305"/>
      <c r="T105" s="305"/>
      <c r="U105" s="305"/>
      <c r="V105" s="305"/>
      <c r="W105" s="305"/>
      <c r="X105" s="305"/>
      <c r="Y105" s="305"/>
      <c r="Z105" s="305"/>
    </row>
    <row r="106" spans="2:26" x14ac:dyDescent="0.25">
      <c r="B106" s="83"/>
      <c r="C106" s="83"/>
      <c r="D106" s="44" t="s">
        <v>41</v>
      </c>
      <c r="E106" s="1"/>
      <c r="F106" s="1"/>
      <c r="G106" s="1"/>
      <c r="H106" s="80"/>
      <c r="I106" s="7"/>
      <c r="J106" s="8"/>
      <c r="K106" s="80"/>
      <c r="L106" s="17"/>
      <c r="M106" s="17"/>
      <c r="N106" s="67" t="str">
        <f ca="1">IF(AND(CELL("type",H106)="v",CELL("type",K106)="v")=TRUE,IF(H106+K106=0,"",H106+K106),IF(AND(CELL("type",H106)="v",CELL("type",K106)&lt;&gt;"v")=TRUE,H106,IF(AND(CELL("type",H106)&lt;&gt;"v",CELL("type",K106)="v")=TRUE,K106,"")))</f>
        <v/>
      </c>
      <c r="O106" s="84"/>
      <c r="P106" s="84"/>
    </row>
    <row r="107" spans="2:26" x14ac:dyDescent="0.25">
      <c r="B107" s="83"/>
      <c r="C107" s="83"/>
      <c r="D107" s="46"/>
      <c r="E107" s="35"/>
      <c r="F107" s="35"/>
      <c r="G107" s="35"/>
      <c r="H107" s="13"/>
      <c r="I107" s="13"/>
      <c r="J107" s="13"/>
      <c r="K107" s="72"/>
      <c r="L107" s="72"/>
      <c r="M107" s="87"/>
      <c r="N107" s="87"/>
      <c r="O107" s="84"/>
      <c r="P107" s="84"/>
    </row>
    <row r="108" spans="2:26" x14ac:dyDescent="0.25">
      <c r="B108" s="83"/>
      <c r="C108" s="83"/>
      <c r="D108" s="44" t="s">
        <v>42</v>
      </c>
      <c r="E108" s="1"/>
      <c r="F108" s="1"/>
      <c r="G108" s="1"/>
      <c r="H108" s="80"/>
      <c r="I108" s="7"/>
      <c r="J108" s="8"/>
      <c r="K108" s="80"/>
      <c r="L108" s="17"/>
      <c r="M108" s="17"/>
      <c r="N108" s="67" t="str">
        <f ca="1">IF(AND(CELL("type",H108)="v",CELL("type",K108)="v")=TRUE,IF(H108+K108=0,"",H108+K108),IF(AND(CELL("type",H108)="v",CELL("type",K108)&lt;&gt;"v")=TRUE,H108,IF(AND(CELL("type",H108)&lt;&gt;"v",CELL("type",K108)="v")=TRUE,K108,"")))</f>
        <v/>
      </c>
      <c r="O108" s="84"/>
      <c r="P108" s="84"/>
      <c r="Q108" s="305" t="s">
        <v>121</v>
      </c>
      <c r="R108" s="305"/>
      <c r="S108" s="305"/>
      <c r="T108" s="305"/>
      <c r="U108" s="305"/>
      <c r="V108" s="305"/>
      <c r="W108" s="305"/>
      <c r="X108" s="305"/>
      <c r="Y108" s="305"/>
      <c r="Z108" s="305"/>
    </row>
    <row r="109" spans="2:26" x14ac:dyDescent="0.25">
      <c r="B109" s="83"/>
      <c r="C109" s="83"/>
      <c r="D109" s="92"/>
      <c r="E109" s="83"/>
      <c r="F109" s="83"/>
      <c r="G109" s="83"/>
      <c r="H109" s="7"/>
      <c r="I109" s="7"/>
      <c r="J109" s="7"/>
      <c r="K109" s="15"/>
      <c r="L109" s="87"/>
      <c r="M109" s="87"/>
      <c r="N109" s="87"/>
      <c r="O109" s="84"/>
      <c r="P109" s="84"/>
      <c r="Q109" s="305"/>
      <c r="R109" s="305"/>
      <c r="S109" s="305"/>
      <c r="T109" s="305"/>
      <c r="U109" s="305"/>
      <c r="V109" s="305"/>
      <c r="W109" s="305"/>
      <c r="X109" s="305"/>
      <c r="Y109" s="305"/>
      <c r="Z109" s="305"/>
    </row>
    <row r="110" spans="2:26" x14ac:dyDescent="0.25">
      <c r="B110" s="83"/>
      <c r="C110" s="83"/>
      <c r="D110" s="44" t="s">
        <v>43</v>
      </c>
      <c r="E110" s="1"/>
      <c r="F110" s="1"/>
      <c r="G110" s="1"/>
      <c r="H110" s="80"/>
      <c r="I110" s="7"/>
      <c r="J110" s="8"/>
      <c r="K110" s="80"/>
      <c r="L110" s="17"/>
      <c r="M110" s="17"/>
      <c r="N110" s="67" t="str">
        <f ca="1">IF(AND(CELL("type",H110)="v",CELL("type",K110)="v")=TRUE,IF(H110+K110=0,"",H110+K110),IF(AND(CELL("type",H110)="v",CELL("type",K110)&lt;&gt;"v")=TRUE,H110,IF(AND(CELL("type",H110)&lt;&gt;"v",CELL("type",K110)="v")=TRUE,K110,"")))</f>
        <v/>
      </c>
      <c r="O110" s="84"/>
      <c r="P110" s="84"/>
      <c r="Q110" s="304" t="s">
        <v>157</v>
      </c>
      <c r="R110" s="304"/>
      <c r="S110" s="304"/>
      <c r="T110" s="304"/>
      <c r="U110" s="304"/>
      <c r="V110" s="304"/>
      <c r="W110" s="304"/>
      <c r="X110" s="304"/>
      <c r="Y110" s="304"/>
      <c r="Z110" s="304"/>
    </row>
    <row r="111" spans="2:26" x14ac:dyDescent="0.25">
      <c r="B111" s="83"/>
      <c r="C111" s="83"/>
      <c r="D111" s="92"/>
      <c r="E111" s="83"/>
      <c r="F111" s="83"/>
      <c r="G111" s="83"/>
      <c r="H111" s="7"/>
      <c r="I111" s="7"/>
      <c r="J111" s="7"/>
      <c r="K111" s="15"/>
      <c r="L111" s="87"/>
      <c r="M111" s="87"/>
      <c r="N111" s="87"/>
      <c r="O111" s="84"/>
      <c r="P111" s="84"/>
      <c r="Q111" s="304"/>
      <c r="R111" s="304"/>
      <c r="S111" s="304"/>
      <c r="T111" s="304"/>
      <c r="U111" s="304"/>
      <c r="V111" s="304"/>
      <c r="W111" s="304"/>
      <c r="X111" s="304"/>
      <c r="Y111" s="304"/>
      <c r="Z111" s="304"/>
    </row>
    <row r="112" spans="2:26" x14ac:dyDescent="0.25">
      <c r="B112" s="83"/>
      <c r="C112" s="83"/>
      <c r="D112" s="44" t="s">
        <v>44</v>
      </c>
      <c r="E112" s="1"/>
      <c r="F112" s="1"/>
      <c r="G112" s="1"/>
      <c r="H112" s="80"/>
      <c r="I112" s="7"/>
      <c r="J112" s="8"/>
      <c r="K112" s="80"/>
      <c r="L112" s="17"/>
      <c r="M112" s="17"/>
      <c r="N112" s="67" t="str">
        <f ca="1">IF(AND(CELL("type",H112)="v",CELL("type",K112)="v")=TRUE,IF(H112+K112=0,"",H112+K112),IF(AND(CELL("type",H112)="v",CELL("type",K112)&lt;&gt;"v")=TRUE,H112,IF(AND(CELL("type",H112)&lt;&gt;"v",CELL("type",K112)="v")=TRUE,K112,"")))</f>
        <v/>
      </c>
      <c r="O112" s="84"/>
      <c r="P112" s="84"/>
      <c r="Q112" s="305" t="s">
        <v>335</v>
      </c>
      <c r="R112" s="305"/>
      <c r="S112" s="305"/>
      <c r="T112" s="305"/>
      <c r="U112" s="305"/>
      <c r="V112" s="305"/>
      <c r="W112" s="305"/>
      <c r="X112" s="305"/>
      <c r="Y112" s="305"/>
      <c r="Z112" s="305"/>
    </row>
    <row r="113" spans="2:29" x14ac:dyDescent="0.25">
      <c r="B113" s="83"/>
      <c r="C113" s="83"/>
      <c r="D113" s="92"/>
      <c r="E113" s="83"/>
      <c r="F113" s="83"/>
      <c r="G113" s="83"/>
      <c r="H113" s="7"/>
      <c r="I113" s="7"/>
      <c r="J113" s="7"/>
      <c r="K113" s="15"/>
      <c r="L113" s="87"/>
      <c r="M113" s="87"/>
      <c r="N113" s="87"/>
      <c r="O113" s="84"/>
      <c r="P113" s="84"/>
      <c r="Q113" s="305"/>
      <c r="R113" s="305"/>
      <c r="S113" s="305"/>
      <c r="T113" s="305"/>
      <c r="U113" s="305"/>
      <c r="V113" s="305"/>
      <c r="W113" s="305"/>
      <c r="X113" s="305"/>
      <c r="Y113" s="305"/>
      <c r="Z113" s="305"/>
    </row>
    <row r="114" spans="2:29" ht="12.75" customHeight="1" x14ac:dyDescent="0.25">
      <c r="B114" s="83"/>
      <c r="C114" s="83"/>
      <c r="D114" s="44" t="s">
        <v>45</v>
      </c>
      <c r="E114" s="1"/>
      <c r="F114" s="1"/>
      <c r="G114" s="1"/>
      <c r="H114" s="80"/>
      <c r="I114" s="7"/>
      <c r="J114" s="8"/>
      <c r="K114" s="80"/>
      <c r="L114" s="17"/>
      <c r="M114" s="17"/>
      <c r="N114" s="67" t="str">
        <f ca="1">IF(AND(CELL("type",H114)="v",CELL("type",K114)="v")=TRUE,IF(H114+K114=0,"",H114+K114),IF(AND(CELL("type",H114)="v",CELL("type",K114)&lt;&gt;"v")=TRUE,H114,IF(AND(CELL("type",H114)&lt;&gt;"v",CELL("type",K114)="v")=TRUE,K114,"")))</f>
        <v/>
      </c>
      <c r="O114" s="84"/>
      <c r="P114" s="84"/>
      <c r="Q114" s="304" t="s">
        <v>158</v>
      </c>
      <c r="R114" s="304"/>
      <c r="S114" s="304"/>
      <c r="T114" s="304"/>
      <c r="U114" s="304"/>
      <c r="V114" s="304"/>
      <c r="W114" s="304"/>
      <c r="X114" s="304"/>
      <c r="Y114" s="304"/>
      <c r="Z114" s="304"/>
      <c r="AA114" s="200"/>
      <c r="AB114" s="200"/>
      <c r="AC114" s="200"/>
    </row>
    <row r="115" spans="2:29" x14ac:dyDescent="0.25">
      <c r="B115" s="83"/>
      <c r="C115" s="83"/>
      <c r="D115" s="92"/>
      <c r="E115" s="83"/>
      <c r="F115" s="83"/>
      <c r="G115" s="83"/>
      <c r="H115" s="7"/>
      <c r="I115" s="7"/>
      <c r="J115" s="7"/>
      <c r="K115" s="15"/>
      <c r="L115" s="87"/>
      <c r="M115" s="87"/>
      <c r="N115" s="87"/>
      <c r="O115" s="84"/>
      <c r="P115" s="84"/>
      <c r="Q115" s="304"/>
      <c r="R115" s="304"/>
      <c r="S115" s="304"/>
      <c r="T115" s="304"/>
      <c r="U115" s="304"/>
      <c r="V115" s="304"/>
      <c r="W115" s="304"/>
      <c r="X115" s="304"/>
      <c r="Y115" s="304"/>
      <c r="Z115" s="304"/>
      <c r="AA115" s="200"/>
      <c r="AB115" s="200"/>
      <c r="AC115" s="200"/>
    </row>
    <row r="116" spans="2:29" ht="12.75" customHeight="1" x14ac:dyDescent="0.25">
      <c r="B116" s="83"/>
      <c r="C116" s="83"/>
      <c r="D116" s="44" t="s">
        <v>46</v>
      </c>
      <c r="E116" s="1"/>
      <c r="F116" s="1"/>
      <c r="G116" s="1"/>
      <c r="H116" s="80"/>
      <c r="I116" s="7"/>
      <c r="J116" s="8"/>
      <c r="K116" s="80"/>
      <c r="L116" s="17"/>
      <c r="M116" s="17"/>
      <c r="N116" s="67" t="str">
        <f ca="1">IF(AND(CELL("type",H116)="v",CELL("type",K116)="v")=TRUE,IF(H116+K116=0,"",H116+K116),IF(AND(CELL("type",H116)="v",CELL("type",K116)&lt;&gt;"v")=TRUE,H116,IF(AND(CELL("type",H116)&lt;&gt;"v",CELL("type",K116)="v")=TRUE,K116,"")))</f>
        <v/>
      </c>
      <c r="O116" s="84"/>
      <c r="P116" s="84"/>
      <c r="Q116" s="313" t="s">
        <v>123</v>
      </c>
      <c r="R116" s="313"/>
      <c r="S116" s="313"/>
      <c r="T116" s="313"/>
      <c r="U116" s="313"/>
      <c r="V116" s="313"/>
      <c r="W116" s="313"/>
      <c r="X116" s="313"/>
      <c r="Y116" s="313"/>
      <c r="Z116" s="313"/>
      <c r="AA116" s="313"/>
      <c r="AB116" s="313"/>
      <c r="AC116" s="313"/>
    </row>
    <row r="117" spans="2:29" x14ac:dyDescent="0.25">
      <c r="B117" s="83"/>
      <c r="C117" s="83"/>
      <c r="D117" s="92"/>
      <c r="E117" s="83"/>
      <c r="F117" s="83"/>
      <c r="G117" s="83"/>
      <c r="H117" s="7"/>
      <c r="I117" s="7"/>
      <c r="J117" s="7"/>
      <c r="K117" s="15"/>
      <c r="L117" s="87"/>
      <c r="M117" s="87"/>
      <c r="N117" s="87"/>
      <c r="O117" s="84"/>
      <c r="P117" s="84"/>
      <c r="Q117" s="313"/>
      <c r="R117" s="313"/>
      <c r="S117" s="313"/>
      <c r="T117" s="313"/>
      <c r="U117" s="313"/>
      <c r="V117" s="313"/>
      <c r="W117" s="313"/>
      <c r="X117" s="313"/>
      <c r="Y117" s="313"/>
      <c r="Z117" s="313"/>
      <c r="AA117" s="313"/>
      <c r="AB117" s="313"/>
      <c r="AC117" s="313"/>
    </row>
    <row r="118" spans="2:29" x14ac:dyDescent="0.25">
      <c r="B118" s="83"/>
      <c r="C118" s="83"/>
      <c r="D118" s="44" t="s">
        <v>47</v>
      </c>
      <c r="E118" s="1"/>
      <c r="F118" s="1"/>
      <c r="G118" s="1"/>
      <c r="H118" s="80"/>
      <c r="I118" s="7"/>
      <c r="J118" s="8"/>
      <c r="K118" s="80"/>
      <c r="L118" s="17"/>
      <c r="M118" s="17"/>
      <c r="N118" s="67" t="str">
        <f ca="1">IF(AND(CELL("type",H118)="v",CELL("type",K118)="v")=TRUE,IF(H118+K118=0,"",H118+K118),IF(AND(CELL("type",H118)="v",CELL("type",K118)&lt;&gt;"v")=TRUE,H118,IF(AND(CELL("type",H118)&lt;&gt;"v",CELL("type",K118)="v")=TRUE,K118,"")))</f>
        <v/>
      </c>
      <c r="O118" s="84"/>
      <c r="P118" s="84"/>
      <c r="Q118" s="304" t="s">
        <v>122</v>
      </c>
      <c r="R118" s="304"/>
      <c r="S118" s="304"/>
      <c r="T118" s="304"/>
      <c r="U118" s="304"/>
      <c r="V118" s="304"/>
      <c r="W118" s="304"/>
      <c r="X118" s="304"/>
      <c r="Y118" s="304"/>
      <c r="Z118" s="304"/>
      <c r="AA118" s="201"/>
      <c r="AB118" s="201"/>
      <c r="AC118" s="201"/>
    </row>
    <row r="119" spans="2:29" x14ac:dyDescent="0.25">
      <c r="B119" s="83"/>
      <c r="C119" s="83"/>
      <c r="D119" s="92"/>
      <c r="E119" s="83"/>
      <c r="F119" s="83"/>
      <c r="G119" s="83"/>
      <c r="H119" s="7"/>
      <c r="I119" s="7"/>
      <c r="J119" s="7"/>
      <c r="K119" s="15"/>
      <c r="L119" s="87"/>
      <c r="M119" s="87"/>
      <c r="N119" s="87"/>
      <c r="O119" s="84"/>
      <c r="P119" s="84"/>
      <c r="Q119" s="304"/>
      <c r="R119" s="304"/>
      <c r="S119" s="304"/>
      <c r="T119" s="304"/>
      <c r="U119" s="304"/>
      <c r="V119" s="304"/>
      <c r="W119" s="304"/>
      <c r="X119" s="304"/>
      <c r="Y119" s="304"/>
      <c r="Z119" s="304"/>
      <c r="AA119" s="200"/>
      <c r="AB119" s="200"/>
      <c r="AC119" s="200"/>
    </row>
    <row r="120" spans="2:29" x14ac:dyDescent="0.25">
      <c r="B120" s="83"/>
      <c r="C120" s="83"/>
      <c r="D120" s="92" t="s">
        <v>290</v>
      </c>
      <c r="E120" s="83"/>
      <c r="F120" s="83"/>
      <c r="G120" s="83"/>
      <c r="H120" s="80"/>
      <c r="I120" s="7"/>
      <c r="J120" s="8"/>
      <c r="K120" s="80"/>
      <c r="L120" s="17"/>
      <c r="M120" s="17"/>
      <c r="N120" s="67" t="str">
        <f ca="1">IF(AND(CELL("type",H120)="v",CELL("type",K120)="v")=TRUE,IF(H120+K120=0,"",H120+K120),IF(AND(CELL("type",H120)="v",CELL("type",K120)&lt;&gt;"v")=TRUE,H120,IF(AND(CELL("type",H120)&lt;&gt;"v",CELL("type",K120)="v")=TRUE,K120,"")))</f>
        <v/>
      </c>
      <c r="O120" s="84"/>
      <c r="P120" s="84"/>
      <c r="Q120" s="311" t="s">
        <v>330</v>
      </c>
      <c r="R120" s="311"/>
      <c r="S120" s="311"/>
      <c r="T120" s="311"/>
      <c r="U120" s="311"/>
      <c r="V120" s="311"/>
      <c r="W120" s="311"/>
      <c r="X120" s="311"/>
      <c r="Y120" s="311"/>
      <c r="Z120" s="311"/>
      <c r="AA120" s="200"/>
      <c r="AB120" s="200"/>
      <c r="AC120" s="200"/>
    </row>
    <row r="121" spans="2:29" x14ac:dyDescent="0.25">
      <c r="B121" s="83"/>
      <c r="C121" s="83"/>
      <c r="D121" s="92"/>
      <c r="E121" s="83"/>
      <c r="F121" s="83"/>
      <c r="G121" s="83"/>
      <c r="H121" s="7"/>
      <c r="I121" s="7"/>
      <c r="J121" s="7"/>
      <c r="K121" s="15"/>
      <c r="L121" s="87"/>
      <c r="M121" s="87"/>
      <c r="N121" s="87"/>
      <c r="O121" s="84"/>
      <c r="P121" s="84"/>
      <c r="Q121" s="312"/>
      <c r="R121" s="312"/>
      <c r="S121" s="312"/>
      <c r="T121" s="312"/>
      <c r="U121" s="312"/>
      <c r="V121" s="312"/>
      <c r="W121" s="312"/>
      <c r="X121" s="312"/>
      <c r="Y121" s="312"/>
      <c r="Z121" s="312"/>
      <c r="AA121" s="200"/>
      <c r="AB121" s="200"/>
      <c r="AC121" s="200"/>
    </row>
    <row r="122" spans="2:29" x14ac:dyDescent="0.25">
      <c r="B122" s="83"/>
      <c r="C122" s="83"/>
      <c r="D122" s="44" t="s">
        <v>49</v>
      </c>
      <c r="E122" s="1"/>
      <c r="F122" s="1"/>
      <c r="G122" s="1"/>
      <c r="H122" s="80"/>
      <c r="I122" s="7"/>
      <c r="J122" s="8"/>
      <c r="K122" s="80"/>
      <c r="L122" s="17"/>
      <c r="M122" s="17"/>
      <c r="N122" s="67" t="str">
        <f ca="1">IF(AND(CELL("type",H122)="v",CELL("type",K122)="v")=TRUE,IF(H122+K122=0,"",H122+K122),IF(AND(CELL("type",H122)="v",CELL("type",K122)&lt;&gt;"v")=TRUE,H122,IF(AND(CELL("type",H122)&lt;&gt;"v",CELL("type",K122)="v")=TRUE,K122,"")))</f>
        <v/>
      </c>
      <c r="O122" s="84"/>
      <c r="P122" s="84"/>
      <c r="Q122" s="304" t="s">
        <v>198</v>
      </c>
      <c r="R122" s="304"/>
      <c r="S122" s="304"/>
      <c r="T122" s="304"/>
      <c r="U122" s="304"/>
      <c r="V122" s="304"/>
      <c r="W122" s="304"/>
      <c r="X122" s="304"/>
      <c r="Y122" s="304"/>
      <c r="Z122" s="304"/>
      <c r="AA122" s="128"/>
      <c r="AB122" s="128"/>
      <c r="AC122" s="128"/>
    </row>
    <row r="123" spans="2:29" x14ac:dyDescent="0.25">
      <c r="B123" s="83"/>
      <c r="C123" s="83"/>
      <c r="D123" s="92"/>
      <c r="E123" s="83"/>
      <c r="F123" s="83"/>
      <c r="G123" s="83"/>
      <c r="H123" s="7"/>
      <c r="I123" s="7"/>
      <c r="J123" s="7"/>
      <c r="K123" s="15"/>
      <c r="L123" s="87"/>
      <c r="M123" s="87"/>
      <c r="N123" s="87"/>
      <c r="O123" s="84"/>
      <c r="P123" s="84"/>
      <c r="Q123" s="304"/>
      <c r="R123" s="304"/>
      <c r="S123" s="304"/>
      <c r="T123" s="304"/>
      <c r="U123" s="304"/>
      <c r="V123" s="304"/>
      <c r="W123" s="304"/>
      <c r="X123" s="304"/>
      <c r="Y123" s="304"/>
      <c r="Z123" s="304"/>
    </row>
    <row r="124" spans="2:29" x14ac:dyDescent="0.25">
      <c r="B124" s="83"/>
      <c r="C124" s="83"/>
      <c r="D124" s="44" t="s">
        <v>48</v>
      </c>
      <c r="E124" s="1"/>
      <c r="F124" s="1"/>
      <c r="G124" s="1"/>
      <c r="H124" s="80"/>
      <c r="I124" s="7"/>
      <c r="J124" s="8"/>
      <c r="K124" s="80"/>
      <c r="L124" s="17"/>
      <c r="M124" s="17"/>
      <c r="N124" s="67" t="str">
        <f ca="1">IF(AND(CELL("type",H124)="v",CELL("type",K124)="v")=TRUE,IF(H124+K124=0,"",H124+K124),IF(AND(CELL("type",H124)="v",CELL("type",K124)&lt;&gt;"v")=TRUE,H124,IF(AND(CELL("type",H124)&lt;&gt;"v",CELL("type",K124)="v")=TRUE,K124,"")))</f>
        <v/>
      </c>
      <c r="O124" s="84"/>
      <c r="P124" s="84"/>
    </row>
    <row r="125" spans="2:29" x14ac:dyDescent="0.25">
      <c r="B125" s="83"/>
      <c r="C125" s="83"/>
      <c r="D125" s="92"/>
      <c r="E125" s="83"/>
      <c r="F125" s="83"/>
      <c r="G125" s="83"/>
      <c r="H125" s="7"/>
      <c r="I125" s="7"/>
      <c r="J125" s="7"/>
      <c r="K125" s="15"/>
      <c r="L125" s="87"/>
      <c r="M125" s="87"/>
      <c r="N125" s="87"/>
      <c r="O125" s="84"/>
      <c r="P125" s="84"/>
    </row>
    <row r="126" spans="2:29" ht="12.75" customHeight="1" x14ac:dyDescent="0.25">
      <c r="B126" s="83"/>
      <c r="C126" s="83"/>
      <c r="D126" s="45" t="s">
        <v>8</v>
      </c>
      <c r="E126" s="1"/>
      <c r="F126" s="1"/>
      <c r="G126" s="1"/>
      <c r="H126" s="80"/>
      <c r="I126" s="24"/>
      <c r="J126" s="9"/>
      <c r="K126" s="80"/>
      <c r="L126" s="17"/>
      <c r="M126" s="17"/>
      <c r="N126" s="67" t="str">
        <f ca="1">IF(AND(CELL("type",H126)="v",CELL("type",K126)="v")=TRUE,IF(H126+K126=0,"",H126+K126),IF(AND(CELL("type",H126)="v",CELL("type",K126)&lt;&gt;"v")=TRUE,H126,IF(AND(CELL("type",H126)&lt;&gt;"v",CELL("type",K126)="v")=TRUE,K126,"")))</f>
        <v/>
      </c>
      <c r="O126" s="84"/>
      <c r="P126" s="84"/>
      <c r="Q126" s="304" t="s">
        <v>214</v>
      </c>
      <c r="R126" s="304"/>
      <c r="S126" s="304"/>
      <c r="T126" s="304"/>
      <c r="U126" s="304"/>
      <c r="V126" s="304"/>
      <c r="W126" s="304"/>
      <c r="X126" s="304"/>
      <c r="Y126" s="304"/>
      <c r="Z126" s="304"/>
    </row>
    <row r="127" spans="2:29" x14ac:dyDescent="0.25">
      <c r="B127" s="83"/>
      <c r="C127" s="83"/>
      <c r="D127" s="83"/>
      <c r="E127" s="83"/>
      <c r="F127" s="83"/>
      <c r="G127" s="83"/>
      <c r="H127" s="88"/>
      <c r="I127" s="88"/>
      <c r="J127" s="88"/>
      <c r="K127" s="87"/>
      <c r="L127" s="87"/>
      <c r="M127" s="87"/>
      <c r="N127" s="95"/>
      <c r="O127" s="84"/>
      <c r="P127" s="84"/>
      <c r="Q127" s="304"/>
      <c r="R127" s="304"/>
      <c r="S127" s="304"/>
      <c r="T127" s="304"/>
      <c r="U127" s="304"/>
      <c r="V127" s="304"/>
      <c r="W127" s="304"/>
      <c r="X127" s="304"/>
      <c r="Y127" s="304"/>
      <c r="Z127" s="304"/>
    </row>
    <row r="128" spans="2:29" x14ac:dyDescent="0.25">
      <c r="B128" s="42" t="s">
        <v>125</v>
      </c>
      <c r="C128" s="43" t="s">
        <v>54</v>
      </c>
      <c r="D128" s="1"/>
      <c r="E128" s="1"/>
      <c r="F128" s="1"/>
      <c r="G128" s="83"/>
      <c r="H128" s="88"/>
      <c r="I128" s="88"/>
      <c r="J128" s="88"/>
      <c r="K128" s="87"/>
      <c r="L128" s="87"/>
      <c r="M128" s="87"/>
      <c r="N128" s="87"/>
      <c r="O128" s="84"/>
      <c r="P128" s="84"/>
    </row>
    <row r="129" spans="1:26" x14ac:dyDescent="0.25">
      <c r="B129" s="83"/>
      <c r="C129" s="83"/>
      <c r="D129" s="43" t="s">
        <v>55</v>
      </c>
      <c r="E129" s="83"/>
      <c r="F129" s="83"/>
      <c r="G129" s="42" t="s">
        <v>9</v>
      </c>
      <c r="H129" s="67" t="str">
        <f>IF(SUM(H72:H127)=0,"",SUM(H72:H127))</f>
        <v/>
      </c>
      <c r="I129" s="7"/>
      <c r="J129" s="10" t="s">
        <v>9</v>
      </c>
      <c r="K129" s="67" t="str">
        <f>IF(SUM(K72:K127)=0,"",SUM(K72:K127))</f>
        <v/>
      </c>
      <c r="L129" s="15"/>
      <c r="M129" s="68" t="s">
        <v>9</v>
      </c>
      <c r="N129" s="67" t="str">
        <f ca="1">IF(AND(CELL("type",H129)="v",CELL("type",K129)="v")=TRUE,IF(H129+K129=0,"",H129+K129),IF(AND(CELL("type",H129)="v",CELL("type",K129)&lt;&gt;"v")=TRUE,H129,IF(AND(CELL("type",H129)&lt;&gt;"v",CELL("type",K129)="v")=TRUE,K129,"")))</f>
        <v/>
      </c>
      <c r="O129" s="84"/>
      <c r="P129" s="84"/>
    </row>
    <row r="130" spans="1:26" ht="12.75" customHeight="1" x14ac:dyDescent="0.25">
      <c r="B130" s="83"/>
      <c r="C130" s="83"/>
      <c r="D130" s="83"/>
      <c r="E130" s="83"/>
      <c r="F130" s="83"/>
      <c r="G130" s="83"/>
      <c r="H130" s="83"/>
      <c r="I130" s="83"/>
      <c r="J130" s="83"/>
      <c r="K130" s="86"/>
      <c r="L130" s="86"/>
      <c r="M130" s="86"/>
      <c r="N130" s="96"/>
      <c r="O130" s="84"/>
      <c r="P130" s="84"/>
      <c r="Q130" s="129">
        <v>0.05</v>
      </c>
      <c r="R130" s="130" t="s">
        <v>148</v>
      </c>
      <c r="S130" s="131"/>
      <c r="T130" s="131"/>
      <c r="U130" s="131"/>
      <c r="V130" s="132">
        <f ca="1">IF(ISERROR(N(N129)*N(Q130)),0,N(N129)*N(Q130))</f>
        <v>0</v>
      </c>
      <c r="W130" s="130" t="s">
        <v>149</v>
      </c>
      <c r="X130" s="131"/>
      <c r="Y130" s="131"/>
      <c r="Z130" s="131"/>
    </row>
    <row r="131" spans="1:26" ht="12.75" customHeight="1" x14ac:dyDescent="0.25">
      <c r="B131" s="99" t="s">
        <v>126</v>
      </c>
      <c r="C131" s="100" t="s">
        <v>217</v>
      </c>
      <c r="D131" s="83"/>
      <c r="E131" s="83"/>
      <c r="F131" s="83"/>
      <c r="G131" s="42" t="s">
        <v>9</v>
      </c>
      <c r="H131" s="81"/>
      <c r="I131" s="24"/>
      <c r="J131" s="42" t="s">
        <v>9</v>
      </c>
      <c r="K131" s="81"/>
      <c r="L131" s="17"/>
      <c r="M131" s="42" t="s">
        <v>9</v>
      </c>
      <c r="N131" s="67" t="str">
        <f ca="1">IF(AND(CELL("type",H131)="v",CELL("type",K131)="v")=TRUE,IF(H131+K131=0,"",H131+K131),IF(AND(CELL("type",H131)="v",CELL("type",K131)&lt;&gt;"v")=TRUE,H131,IF(AND(CELL("type",H131)&lt;&gt;"v",CELL("type",K131)="v")=TRUE,K131,"")))</f>
        <v/>
      </c>
      <c r="O131" s="84"/>
      <c r="P131" s="124" t="str">
        <f ca="1">IF(Q131="No","**","")</f>
        <v/>
      </c>
      <c r="Q131" s="133" t="str">
        <f ca="1">IF(N(N131)&lt;=V130,"Yes","No")</f>
        <v>Yes</v>
      </c>
      <c r="R131" s="134" t="s">
        <v>128</v>
      </c>
      <c r="S131" s="134"/>
      <c r="T131" s="134"/>
      <c r="U131" s="134"/>
      <c r="V131" s="134"/>
      <c r="W131" s="134"/>
      <c r="X131" s="134"/>
      <c r="Y131" s="134"/>
      <c r="Z131" s="134"/>
    </row>
    <row r="132" spans="1:26" ht="12.75" customHeight="1" x14ac:dyDescent="0.25">
      <c r="B132" s="83"/>
      <c r="C132" s="83"/>
      <c r="D132" s="83"/>
      <c r="E132" s="83"/>
      <c r="F132" s="83"/>
      <c r="G132" s="83"/>
      <c r="H132" s="83"/>
      <c r="I132" s="83"/>
      <c r="J132" s="83"/>
      <c r="K132" s="86"/>
      <c r="L132" s="86"/>
      <c r="M132" s="86"/>
      <c r="N132" s="96"/>
      <c r="O132" s="84"/>
      <c r="P132" s="84"/>
      <c r="Q132" s="135" t="str">
        <f ca="1">IF(Q131="No","The amount entered for 'Soft Cost Contingency' is too high by "&amp;TEXT(N(N131)-N(V130),"$#,##0.00")&amp;".  ","")</f>
        <v/>
      </c>
      <c r="R132" s="136"/>
      <c r="S132" s="136"/>
      <c r="T132" s="136"/>
      <c r="U132" s="136"/>
      <c r="V132" s="136"/>
      <c r="W132" s="136"/>
      <c r="X132" s="136"/>
      <c r="Y132" s="136"/>
      <c r="Z132" s="136"/>
    </row>
    <row r="133" spans="1:26" ht="3.75" customHeight="1" thickBot="1" x14ac:dyDescent="0.3">
      <c r="B133" s="83"/>
      <c r="C133" s="83"/>
      <c r="D133" s="83"/>
      <c r="E133" s="83"/>
      <c r="F133" s="83"/>
      <c r="G133" s="83"/>
      <c r="H133" s="83"/>
      <c r="I133" s="83"/>
      <c r="J133" s="83"/>
      <c r="K133" s="86"/>
      <c r="L133" s="86"/>
      <c r="M133" s="86"/>
      <c r="N133" s="96"/>
      <c r="O133" s="84"/>
      <c r="P133" s="84"/>
      <c r="Q133" s="202"/>
      <c r="R133" s="134"/>
      <c r="S133" s="134"/>
      <c r="T133" s="134"/>
      <c r="U133" s="134"/>
      <c r="V133" s="134"/>
      <c r="W133" s="134"/>
      <c r="X133" s="134"/>
      <c r="Y133" s="134"/>
      <c r="Z133" s="134"/>
    </row>
    <row r="134" spans="1:26" ht="3.75" customHeight="1" x14ac:dyDescent="0.25">
      <c r="A134" s="82"/>
      <c r="B134" s="89"/>
      <c r="C134" s="89"/>
      <c r="D134" s="89"/>
      <c r="E134" s="89"/>
      <c r="F134" s="89"/>
      <c r="G134" s="89"/>
      <c r="H134" s="89"/>
      <c r="I134" s="89"/>
      <c r="J134" s="89"/>
      <c r="K134" s="90"/>
      <c r="L134" s="90"/>
      <c r="M134" s="90"/>
      <c r="N134" s="90"/>
      <c r="O134" s="91"/>
      <c r="P134" s="91"/>
    </row>
    <row r="135" spans="1:26" x14ac:dyDescent="0.25">
      <c r="B135" s="64" t="str">
        <f>B$2</f>
        <v>RFA 2021-106 DEVELOPMENT COST PRO FORMA</v>
      </c>
      <c r="C135" s="83"/>
      <c r="D135" s="83"/>
      <c r="E135" s="83"/>
      <c r="F135" s="83"/>
      <c r="G135" s="83"/>
      <c r="H135" s="1"/>
      <c r="I135" s="1"/>
      <c r="J135" s="1"/>
      <c r="K135" s="66"/>
      <c r="L135" s="86"/>
      <c r="M135" s="86"/>
      <c r="N135" s="86"/>
      <c r="O135" s="84"/>
      <c r="P135" s="3" t="s">
        <v>251</v>
      </c>
    </row>
    <row r="136" spans="1:26" x14ac:dyDescent="0.25">
      <c r="B136" s="83"/>
      <c r="C136" s="83"/>
      <c r="D136" s="83"/>
      <c r="E136" s="83"/>
      <c r="F136" s="83"/>
      <c r="G136" s="83"/>
      <c r="H136" s="163">
        <f>H$35</f>
        <v>1</v>
      </c>
      <c r="I136" s="1"/>
      <c r="J136" s="1"/>
      <c r="K136" s="163">
        <f>K$35</f>
        <v>2</v>
      </c>
      <c r="L136" s="1"/>
      <c r="M136" s="34"/>
      <c r="N136" s="163">
        <f>N$35</f>
        <v>3</v>
      </c>
      <c r="O136" s="84"/>
      <c r="P136" s="84"/>
    </row>
    <row r="137" spans="1:26" ht="23.1" customHeight="1" x14ac:dyDescent="0.25">
      <c r="B137" s="83"/>
      <c r="C137" s="83"/>
      <c r="D137" s="83"/>
      <c r="E137" s="83"/>
      <c r="F137" s="83"/>
      <c r="G137" s="83"/>
      <c r="H137" s="36" t="str">
        <f>H$36</f>
        <v>HC ELIGIBLE
COSTS</v>
      </c>
      <c r="I137" s="33"/>
      <c r="J137" s="33"/>
      <c r="K137" s="36" t="str">
        <f>K$36</f>
        <v>HC INELIGIBLE
COSTS</v>
      </c>
      <c r="L137" s="37"/>
      <c r="M137" s="71"/>
      <c r="N137" s="36" t="str">
        <f>N$36</f>
        <v>TOTAL
COSTS</v>
      </c>
      <c r="O137" s="84"/>
      <c r="P137" s="84"/>
    </row>
    <row r="138" spans="1:26" x14ac:dyDescent="0.25">
      <c r="B138" s="83"/>
      <c r="C138" s="39" t="s">
        <v>18</v>
      </c>
      <c r="D138" s="83"/>
      <c r="E138" s="83"/>
      <c r="F138" s="83"/>
      <c r="G138" s="83"/>
      <c r="H138" s="83"/>
      <c r="I138" s="83"/>
      <c r="J138" s="83"/>
      <c r="K138" s="86"/>
      <c r="L138" s="86"/>
      <c r="M138" s="86"/>
      <c r="N138" s="86"/>
      <c r="O138" s="84"/>
      <c r="P138" s="84"/>
    </row>
    <row r="139" spans="1:26" x14ac:dyDescent="0.25">
      <c r="B139" s="83"/>
      <c r="C139" s="39"/>
      <c r="D139" s="94" t="s">
        <v>19</v>
      </c>
      <c r="E139" s="94"/>
      <c r="F139" s="83"/>
      <c r="G139" s="83"/>
      <c r="H139" s="83"/>
      <c r="I139" s="83"/>
      <c r="J139" s="83"/>
      <c r="K139" s="86"/>
      <c r="L139" s="86"/>
      <c r="M139" s="86"/>
      <c r="N139" s="86"/>
      <c r="O139" s="84"/>
      <c r="P139" s="84"/>
    </row>
    <row r="140" spans="1:26" x14ac:dyDescent="0.25">
      <c r="B140" s="83"/>
      <c r="C140" s="39"/>
      <c r="D140" s="94"/>
      <c r="E140" s="94" t="s">
        <v>22</v>
      </c>
      <c r="F140" s="83"/>
      <c r="G140" s="83"/>
      <c r="H140" s="80"/>
      <c r="I140" s="7"/>
      <c r="J140" s="8"/>
      <c r="K140" s="80"/>
      <c r="L140" s="17"/>
      <c r="M140" s="15"/>
      <c r="N140" s="67" t="str">
        <f ca="1">IF(AND(CELL("type",H140)="v",CELL("type",K140)="v")=TRUE,IF(H140+K140=0,"",H140+K140),IF(AND(CELL("type",H140)="v",CELL("type",K140)&lt;&gt;"v")=TRUE,H140,IF(AND(CELL("type",H140)&lt;&gt;"v",CELL("type",K140)="v")=TRUE,K140,"")))</f>
        <v/>
      </c>
      <c r="O140" s="84"/>
      <c r="P140" s="84"/>
    </row>
    <row r="141" spans="1:26" x14ac:dyDescent="0.25">
      <c r="B141" s="83"/>
      <c r="C141" s="39"/>
      <c r="D141" s="94"/>
      <c r="E141" s="94"/>
      <c r="F141" s="83"/>
      <c r="G141" s="83"/>
      <c r="H141" s="88"/>
      <c r="I141" s="88"/>
      <c r="J141" s="88"/>
      <c r="K141" s="87"/>
      <c r="L141" s="87"/>
      <c r="M141" s="87"/>
      <c r="N141" s="87"/>
      <c r="O141" s="84"/>
      <c r="P141" s="84"/>
    </row>
    <row r="142" spans="1:26" x14ac:dyDescent="0.25">
      <c r="B142" s="83"/>
      <c r="C142" s="83"/>
      <c r="D142" s="94" t="s">
        <v>24</v>
      </c>
      <c r="E142" s="94"/>
      <c r="F142" s="83"/>
      <c r="G142" s="83"/>
      <c r="H142" s="88"/>
      <c r="I142" s="88"/>
      <c r="J142" s="88"/>
      <c r="K142" s="87"/>
      <c r="L142" s="87"/>
      <c r="M142" s="87"/>
      <c r="N142" s="87"/>
      <c r="O142" s="84"/>
      <c r="P142" s="84"/>
    </row>
    <row r="143" spans="1:26" x14ac:dyDescent="0.25">
      <c r="B143" s="83"/>
      <c r="C143" s="83"/>
      <c r="D143" s="94"/>
      <c r="E143" s="94" t="s">
        <v>25</v>
      </c>
      <c r="F143" s="83"/>
      <c r="G143" s="83"/>
      <c r="H143" s="80"/>
      <c r="I143" s="7"/>
      <c r="J143" s="8"/>
      <c r="K143" s="80"/>
      <c r="L143" s="17"/>
      <c r="M143" s="15"/>
      <c r="N143" s="67" t="str">
        <f ca="1">IF(AND(CELL("type",H143)="v",CELL("type",K143)="v")=TRUE,IF(H143+K143=0,"",H143+K143),IF(AND(CELL("type",H143)="v",CELL("type",K143)&lt;&gt;"v")=TRUE,H143,IF(AND(CELL("type",H143)&lt;&gt;"v",CELL("type",K143)="v")=TRUE,K143,"")))</f>
        <v/>
      </c>
      <c r="O143" s="84"/>
      <c r="P143" s="84"/>
    </row>
    <row r="144" spans="1:26" x14ac:dyDescent="0.25">
      <c r="B144" s="83"/>
      <c r="C144" s="83"/>
      <c r="D144" s="94"/>
      <c r="E144" s="94"/>
      <c r="F144" s="83"/>
      <c r="G144" s="83"/>
      <c r="H144" s="88"/>
      <c r="I144" s="88"/>
      <c r="J144" s="88"/>
      <c r="K144" s="87"/>
      <c r="L144" s="87"/>
      <c r="M144" s="87"/>
      <c r="N144" s="87"/>
      <c r="O144" s="84"/>
      <c r="P144" s="84"/>
    </row>
    <row r="145" spans="2:26" x14ac:dyDescent="0.25">
      <c r="B145" s="83"/>
      <c r="C145" s="83"/>
      <c r="D145" s="94" t="s">
        <v>20</v>
      </c>
      <c r="E145" s="94"/>
      <c r="F145" s="83"/>
      <c r="G145" s="83"/>
      <c r="H145" s="80"/>
      <c r="I145" s="7"/>
      <c r="J145" s="8"/>
      <c r="K145" s="80"/>
      <c r="L145" s="17"/>
      <c r="M145" s="15"/>
      <c r="N145" s="67" t="str">
        <f ca="1">IF(AND(CELL("type",H145)="v",CELL("type",K145)="v")=TRUE,IF(H145+K145=0,"",H145+K145),IF(AND(CELL("type",H145)="v",CELL("type",K145)&lt;&gt;"v")=TRUE,H145,IF(AND(CELL("type",H145)&lt;&gt;"v",CELL("type",K145)="v")=TRUE,K145,"")))</f>
        <v/>
      </c>
      <c r="O145" s="84"/>
      <c r="P145" s="84"/>
    </row>
    <row r="146" spans="2:26" x14ac:dyDescent="0.25">
      <c r="B146" s="83"/>
      <c r="C146" s="83"/>
      <c r="D146" s="94"/>
      <c r="E146" s="94"/>
      <c r="F146" s="83"/>
      <c r="G146" s="83"/>
      <c r="H146" s="88"/>
      <c r="I146" s="88"/>
      <c r="J146" s="88"/>
      <c r="K146" s="87"/>
      <c r="L146" s="87"/>
      <c r="M146" s="87"/>
      <c r="N146" s="86"/>
      <c r="O146" s="84"/>
      <c r="P146" s="84"/>
    </row>
    <row r="147" spans="2:26" x14ac:dyDescent="0.25">
      <c r="B147" s="83"/>
      <c r="C147" s="83"/>
      <c r="D147" s="94" t="s">
        <v>28</v>
      </c>
      <c r="E147" s="94"/>
      <c r="F147" s="83"/>
      <c r="G147" s="83"/>
      <c r="H147" s="88"/>
      <c r="I147" s="88"/>
      <c r="J147" s="88"/>
      <c r="K147" s="87"/>
      <c r="L147" s="87"/>
      <c r="M147" s="87"/>
      <c r="N147" s="87"/>
      <c r="O147" s="84"/>
      <c r="P147" s="84"/>
    </row>
    <row r="148" spans="2:26" ht="12.75" customHeight="1" x14ac:dyDescent="0.25">
      <c r="B148" s="83"/>
      <c r="C148" s="83"/>
      <c r="D148" s="94"/>
      <c r="E148" s="94" t="s">
        <v>29</v>
      </c>
      <c r="F148" s="83"/>
      <c r="G148" s="83"/>
      <c r="H148" s="80"/>
      <c r="I148" s="7"/>
      <c r="J148" s="8"/>
      <c r="K148" s="80"/>
      <c r="L148" s="17"/>
      <c r="M148" s="15"/>
      <c r="N148" s="67" t="str">
        <f ca="1">IF(AND(CELL("type",H148)="v",CELL("type",K148)="v")=TRUE,IF(H148+K148=0,"",H148+K148),IF(AND(CELL("type",H148)="v",CELL("type",K148)&lt;&gt;"v")=TRUE,H148,IF(AND(CELL("type",H148)&lt;&gt;"v",CELL("type",K148)="v")=TRUE,K148,"")))</f>
        <v/>
      </c>
      <c r="O148" s="84"/>
      <c r="P148" s="84"/>
      <c r="Q148" s="305" t="s">
        <v>129</v>
      </c>
      <c r="R148" s="305"/>
      <c r="S148" s="305"/>
      <c r="T148" s="305"/>
      <c r="U148" s="305"/>
      <c r="V148" s="305"/>
      <c r="W148" s="305"/>
      <c r="X148" s="305"/>
      <c r="Y148" s="305"/>
      <c r="Z148" s="305"/>
    </row>
    <row r="149" spans="2:26" x14ac:dyDescent="0.25">
      <c r="B149" s="83"/>
      <c r="C149" s="83"/>
      <c r="D149" s="94"/>
      <c r="E149" s="94"/>
      <c r="F149" s="83"/>
      <c r="G149" s="83"/>
      <c r="H149" s="88"/>
      <c r="I149" s="88"/>
      <c r="J149" s="88"/>
      <c r="K149" s="87"/>
      <c r="L149" s="87"/>
      <c r="M149" s="87"/>
      <c r="N149" s="86"/>
      <c r="O149" s="84"/>
      <c r="P149" s="84"/>
      <c r="Q149" s="305"/>
      <c r="R149" s="305"/>
      <c r="S149" s="305"/>
      <c r="T149" s="305"/>
      <c r="U149" s="305"/>
      <c r="V149" s="305"/>
      <c r="W149" s="305"/>
      <c r="X149" s="305"/>
      <c r="Y149" s="305"/>
      <c r="Z149" s="305"/>
    </row>
    <row r="150" spans="2:26" x14ac:dyDescent="0.25">
      <c r="B150" s="83"/>
      <c r="C150" s="83"/>
      <c r="D150" s="94" t="s">
        <v>21</v>
      </c>
      <c r="E150" s="94"/>
      <c r="F150" s="83"/>
      <c r="G150" s="83"/>
      <c r="H150" s="88"/>
      <c r="I150" s="88"/>
      <c r="J150" s="88"/>
      <c r="K150" s="87"/>
      <c r="L150" s="87"/>
      <c r="M150" s="87"/>
      <c r="N150" s="87"/>
      <c r="O150" s="84"/>
      <c r="P150" s="84"/>
      <c r="Q150" s="305" t="s">
        <v>335</v>
      </c>
      <c r="R150" s="305"/>
      <c r="S150" s="305"/>
      <c r="T150" s="305"/>
      <c r="U150" s="305"/>
      <c r="V150" s="305"/>
      <c r="W150" s="305"/>
      <c r="X150" s="305"/>
      <c r="Y150" s="305"/>
      <c r="Z150" s="305"/>
    </row>
    <row r="151" spans="2:26" x14ac:dyDescent="0.25">
      <c r="B151" s="83"/>
      <c r="C151" s="83"/>
      <c r="D151" s="94"/>
      <c r="E151" s="94" t="s">
        <v>22</v>
      </c>
      <c r="F151" s="83"/>
      <c r="G151" s="83"/>
      <c r="H151" s="80"/>
      <c r="I151" s="7"/>
      <c r="J151" s="8"/>
      <c r="K151" s="80"/>
      <c r="L151" s="17"/>
      <c r="M151" s="15"/>
      <c r="N151" s="67" t="str">
        <f ca="1">IF(AND(CELL("type",H151)="v",CELL("type",K151)="v")=TRUE,IF(H151+K151=0,"",H151+K151),IF(AND(CELL("type",H151)="v",CELL("type",K151)&lt;&gt;"v")=TRUE,H151,IF(AND(CELL("type",H151)&lt;&gt;"v",CELL("type",K151)="v")=TRUE,K151,"")))</f>
        <v/>
      </c>
      <c r="O151" s="84"/>
      <c r="P151" s="84"/>
      <c r="Q151" s="305"/>
      <c r="R151" s="305"/>
      <c r="S151" s="305"/>
      <c r="T151" s="305"/>
      <c r="U151" s="305"/>
      <c r="V151" s="305"/>
      <c r="W151" s="305"/>
      <c r="X151" s="305"/>
      <c r="Y151" s="305"/>
      <c r="Z151" s="305"/>
    </row>
    <row r="152" spans="2:26" x14ac:dyDescent="0.25">
      <c r="B152" s="83"/>
      <c r="C152" s="83"/>
      <c r="D152" s="94"/>
      <c r="E152" s="94"/>
      <c r="F152" s="83"/>
      <c r="G152" s="83"/>
      <c r="H152" s="88"/>
      <c r="I152" s="88"/>
      <c r="J152" s="88"/>
      <c r="K152" s="87"/>
      <c r="L152" s="87"/>
      <c r="M152" s="87"/>
      <c r="N152" s="87"/>
      <c r="O152" s="84"/>
      <c r="P152" s="84"/>
    </row>
    <row r="153" spans="2:26" x14ac:dyDescent="0.25">
      <c r="B153" s="83"/>
      <c r="C153" s="83"/>
      <c r="D153" s="94" t="s">
        <v>26</v>
      </c>
      <c r="E153" s="94"/>
      <c r="F153" s="83"/>
      <c r="G153" s="83"/>
      <c r="H153" s="88"/>
      <c r="I153" s="88"/>
      <c r="J153" s="88"/>
      <c r="K153" s="87"/>
      <c r="L153" s="87"/>
      <c r="M153" s="87"/>
      <c r="N153" s="87"/>
      <c r="O153" s="84"/>
      <c r="P153" s="84"/>
    </row>
    <row r="154" spans="2:26" x14ac:dyDescent="0.25">
      <c r="B154" s="83"/>
      <c r="C154" s="83"/>
      <c r="D154" s="94"/>
      <c r="E154" s="94" t="s">
        <v>25</v>
      </c>
      <c r="F154" s="83"/>
      <c r="G154" s="83"/>
      <c r="H154" s="14"/>
      <c r="I154" s="7"/>
      <c r="J154" s="8"/>
      <c r="K154" s="80"/>
      <c r="L154" s="17"/>
      <c r="M154" s="15"/>
      <c r="N154" s="67" t="str">
        <f ca="1">IF(AND(CELL("type",H154)="v",CELL("type",K154)="v")=TRUE,IF(H154+K154=0,"",H154+K154),IF(AND(CELL("type",H154)="v",CELL("type",K154)&lt;&gt;"v")=TRUE,H154,IF(AND(CELL("type",H154)&lt;&gt;"v",CELL("type",K154)="v")=TRUE,K154,"")))</f>
        <v/>
      </c>
      <c r="O154" s="84"/>
      <c r="P154" s="84"/>
    </row>
    <row r="155" spans="2:26" ht="12.75" customHeight="1" x14ac:dyDescent="0.25">
      <c r="B155" s="83"/>
      <c r="C155" s="83"/>
      <c r="D155" s="94"/>
      <c r="E155" s="94"/>
      <c r="F155" s="83"/>
      <c r="G155" s="83"/>
      <c r="H155" s="88"/>
      <c r="I155" s="88"/>
      <c r="J155" s="88"/>
      <c r="K155" s="87"/>
      <c r="L155" s="87"/>
      <c r="M155" s="87"/>
      <c r="N155" s="87"/>
      <c r="O155" s="84"/>
      <c r="P155" s="84"/>
    </row>
    <row r="156" spans="2:26" x14ac:dyDescent="0.25">
      <c r="B156" s="83"/>
      <c r="C156" s="83"/>
      <c r="D156" s="94" t="s">
        <v>23</v>
      </c>
      <c r="E156" s="94"/>
      <c r="F156" s="83"/>
      <c r="G156" s="83"/>
      <c r="H156" s="80"/>
      <c r="I156" s="7"/>
      <c r="J156" s="8"/>
      <c r="K156" s="80"/>
      <c r="L156" s="17"/>
      <c r="M156" s="15"/>
      <c r="N156" s="67" t="str">
        <f ca="1">IF(AND(CELL("type",H156)="v",CELL("type",K156)="v")=TRUE,IF(H156+K156=0,"",H156+K156),IF(AND(CELL("type",H156)="v",CELL("type",K156)&lt;&gt;"v")=TRUE,H156,IF(AND(CELL("type",H156)&lt;&gt;"v",CELL("type",K156)="v")=TRUE,K156,"")))</f>
        <v/>
      </c>
      <c r="O156" s="84"/>
      <c r="P156" s="84"/>
      <c r="Q156" s="305" t="s">
        <v>335</v>
      </c>
      <c r="R156" s="305"/>
      <c r="S156" s="305"/>
      <c r="T156" s="305"/>
      <c r="U156" s="305"/>
      <c r="V156" s="305"/>
      <c r="W156" s="305"/>
      <c r="X156" s="305"/>
      <c r="Y156" s="305"/>
      <c r="Z156" s="305"/>
    </row>
    <row r="157" spans="2:26" x14ac:dyDescent="0.25">
      <c r="B157" s="83"/>
      <c r="C157" s="83"/>
      <c r="D157" s="94"/>
      <c r="E157" s="94"/>
      <c r="F157" s="83"/>
      <c r="G157" s="83"/>
      <c r="H157" s="88"/>
      <c r="I157" s="88"/>
      <c r="J157" s="88"/>
      <c r="K157" s="87"/>
      <c r="L157" s="87"/>
      <c r="M157" s="87"/>
      <c r="N157" s="87"/>
      <c r="O157" s="84"/>
      <c r="P157" s="84"/>
      <c r="Q157" s="305"/>
      <c r="R157" s="305"/>
      <c r="S157" s="305"/>
      <c r="T157" s="305"/>
      <c r="U157" s="305"/>
      <c r="V157" s="305"/>
      <c r="W157" s="305"/>
      <c r="X157" s="305"/>
      <c r="Y157" s="305"/>
      <c r="Z157" s="305"/>
    </row>
    <row r="158" spans="2:26" x14ac:dyDescent="0.25">
      <c r="B158" s="83"/>
      <c r="C158" s="83"/>
      <c r="D158" s="94" t="s">
        <v>27</v>
      </c>
      <c r="E158" s="94"/>
      <c r="F158" s="83"/>
      <c r="G158" s="83"/>
      <c r="H158" s="88"/>
      <c r="I158" s="88"/>
      <c r="J158" s="88"/>
      <c r="K158" s="87"/>
      <c r="L158" s="87"/>
      <c r="M158" s="87"/>
      <c r="N158" s="87"/>
      <c r="O158" s="84"/>
      <c r="P158" s="84"/>
    </row>
    <row r="159" spans="2:26" x14ac:dyDescent="0.25">
      <c r="B159" s="83"/>
      <c r="C159" s="83"/>
      <c r="D159" s="94"/>
      <c r="E159" s="94" t="s">
        <v>22</v>
      </c>
      <c r="F159" s="83"/>
      <c r="G159" s="83"/>
      <c r="H159" s="80"/>
      <c r="I159" s="7"/>
      <c r="J159" s="8"/>
      <c r="K159" s="80"/>
      <c r="L159" s="17"/>
      <c r="M159" s="15"/>
      <c r="N159" s="67" t="str">
        <f ca="1">IF(AND(CELL("type",H159)="v",CELL("type",K159)="v")=TRUE,IF(H159+K159=0,"",H159+K159),IF(AND(CELL("type",H159)="v",CELL("type",K159)&lt;&gt;"v")=TRUE,H159,IF(AND(CELL("type",H159)&lt;&gt;"v",CELL("type",K159)="v")=TRUE,K159,"")))</f>
        <v/>
      </c>
      <c r="O159" s="84"/>
      <c r="P159" s="84"/>
    </row>
    <row r="160" spans="2:26" x14ac:dyDescent="0.25">
      <c r="B160" s="83"/>
      <c r="C160" s="83"/>
      <c r="D160" s="94"/>
      <c r="E160" s="94"/>
      <c r="F160" s="83"/>
      <c r="G160" s="83"/>
      <c r="H160" s="88"/>
      <c r="I160" s="88"/>
      <c r="J160" s="88"/>
      <c r="K160" s="87"/>
      <c r="L160" s="87"/>
      <c r="M160" s="87"/>
      <c r="N160" s="87"/>
      <c r="O160" s="84"/>
      <c r="P160" s="84"/>
    </row>
    <row r="161" spans="1:26" x14ac:dyDescent="0.25">
      <c r="B161" s="83"/>
      <c r="C161" s="83"/>
      <c r="D161" s="94" t="s">
        <v>91</v>
      </c>
      <c r="E161" s="94"/>
      <c r="F161" s="83"/>
      <c r="G161" s="83"/>
      <c r="H161" s="80"/>
      <c r="I161" s="7"/>
      <c r="J161" s="8"/>
      <c r="K161" s="80"/>
      <c r="L161" s="17"/>
      <c r="M161" s="15"/>
      <c r="N161" s="67" t="str">
        <f ca="1">IF(AND(CELL("type",H161)="v",CELL("type",K161)="v")=TRUE,IF(H161+K161=0,"",H161+K161),IF(AND(CELL("type",H161)="v",CELL("type",K161)&lt;&gt;"v")=TRUE,H161,IF(AND(CELL("type",H161)&lt;&gt;"v",CELL("type",K161)="v")=TRUE,K161,"")))</f>
        <v/>
      </c>
      <c r="O161" s="84"/>
      <c r="P161" s="84"/>
    </row>
    <row r="162" spans="1:26" x14ac:dyDescent="0.25">
      <c r="B162" s="83"/>
      <c r="C162" s="83"/>
      <c r="D162" s="94"/>
      <c r="E162" s="94"/>
      <c r="F162" s="83"/>
      <c r="G162" s="83"/>
      <c r="H162" s="88"/>
      <c r="I162" s="88"/>
      <c r="J162" s="88"/>
      <c r="K162" s="87"/>
      <c r="L162" s="87"/>
      <c r="M162" s="87"/>
      <c r="N162" s="87"/>
      <c r="O162" s="84"/>
      <c r="P162" s="84"/>
    </row>
    <row r="163" spans="1:26" ht="12.75" customHeight="1" x14ac:dyDescent="0.25">
      <c r="B163" s="83"/>
      <c r="C163" s="83"/>
      <c r="D163" s="41" t="s">
        <v>8</v>
      </c>
      <c r="E163" s="38"/>
      <c r="F163" s="1"/>
      <c r="G163" s="1"/>
      <c r="H163" s="80"/>
      <c r="I163" s="24"/>
      <c r="J163" s="9"/>
      <c r="K163" s="80"/>
      <c r="L163" s="17"/>
      <c r="M163" s="15"/>
      <c r="N163" s="67" t="str">
        <f ca="1">IF(AND(CELL("type",H163)="v",CELL("type",K163)="v")=TRUE,IF(H163+K163=0,"",H163+K163),IF(AND(CELL("type",H163)="v",CELL("type",K163)&lt;&gt;"v")=TRUE,H163,IF(AND(CELL("type",H163)&lt;&gt;"v",CELL("type",K163)="v")=TRUE,K163,"")))</f>
        <v/>
      </c>
      <c r="O163" s="84"/>
      <c r="P163" s="84"/>
      <c r="Q163" s="304" t="s">
        <v>349</v>
      </c>
      <c r="R163" s="304"/>
      <c r="S163" s="304"/>
      <c r="T163" s="304"/>
      <c r="U163" s="304"/>
      <c r="V163" s="304"/>
      <c r="W163" s="304"/>
      <c r="X163" s="304"/>
      <c r="Y163" s="304"/>
      <c r="Z163" s="304"/>
    </row>
    <row r="164" spans="1:26" x14ac:dyDescent="0.25">
      <c r="B164" s="83"/>
      <c r="C164" s="83"/>
      <c r="D164" s="83"/>
      <c r="E164" s="83"/>
      <c r="F164" s="83"/>
      <c r="G164" s="83"/>
      <c r="H164" s="87"/>
      <c r="I164" s="88"/>
      <c r="J164" s="88"/>
      <c r="K164" s="87"/>
      <c r="L164" s="87"/>
      <c r="M164" s="87"/>
      <c r="N164" s="87"/>
      <c r="O164" s="84"/>
      <c r="P164" s="84"/>
      <c r="Q164" s="304"/>
      <c r="R164" s="304"/>
      <c r="S164" s="304"/>
      <c r="T164" s="304"/>
      <c r="U164" s="304"/>
      <c r="V164" s="304"/>
      <c r="W164" s="304"/>
      <c r="X164" s="304"/>
      <c r="Y164" s="304"/>
      <c r="Z164" s="304"/>
    </row>
    <row r="165" spans="1:26" x14ac:dyDescent="0.25">
      <c r="B165" s="42" t="s">
        <v>58</v>
      </c>
      <c r="C165" s="43" t="s">
        <v>59</v>
      </c>
      <c r="D165" s="83"/>
      <c r="E165" s="83"/>
      <c r="F165" s="83"/>
      <c r="G165" s="42" t="s">
        <v>9</v>
      </c>
      <c r="H165" s="67" t="str">
        <f>IF(SUM(H140:H164)=0,"",SUM(H140:H164))</f>
        <v/>
      </c>
      <c r="I165" s="7"/>
      <c r="J165" s="10" t="s">
        <v>9</v>
      </c>
      <c r="K165" s="67" t="str">
        <f>IF(SUM(K140:K164)=0,"",SUM(K140:K164))</f>
        <v/>
      </c>
      <c r="L165" s="15"/>
      <c r="M165" s="68" t="s">
        <v>9</v>
      </c>
      <c r="N165" s="67" t="str">
        <f ca="1">IF(AND(CELL("type",H165)="v",CELL("type",K165)="v")=TRUE,IF(H165+K165=0,"",H165+K165),IF(AND(CELL("type",H165)="v",CELL("type",K165)&lt;&gt;"v")=TRUE,H165,IF(AND(CELL("type",H165)&lt;&gt;"v",CELL("type",K165)="v")=TRUE,K165,"")))</f>
        <v/>
      </c>
      <c r="O165" s="84"/>
      <c r="P165" s="84"/>
    </row>
    <row r="166" spans="1:26" x14ac:dyDescent="0.25">
      <c r="B166" s="83"/>
      <c r="C166" s="83"/>
      <c r="D166" s="83"/>
      <c r="E166" s="83"/>
      <c r="F166" s="83"/>
      <c r="G166" s="83"/>
      <c r="H166" s="87"/>
      <c r="I166" s="88"/>
      <c r="J166" s="88"/>
      <c r="K166" s="87"/>
      <c r="L166" s="87"/>
      <c r="M166" s="87"/>
      <c r="N166" s="87"/>
      <c r="O166" s="84"/>
      <c r="P166" s="84"/>
    </row>
    <row r="167" spans="1:26" x14ac:dyDescent="0.25">
      <c r="B167" s="42"/>
      <c r="C167" s="56" t="s">
        <v>60</v>
      </c>
      <c r="D167" s="38"/>
      <c r="E167" s="38"/>
      <c r="F167" s="38"/>
      <c r="G167" s="38"/>
      <c r="H167" s="16"/>
      <c r="I167" s="8"/>
      <c r="J167" s="8"/>
      <c r="K167" s="16"/>
      <c r="L167" s="16"/>
      <c r="M167" s="16"/>
      <c r="N167" s="16"/>
      <c r="O167" s="84"/>
      <c r="P167" s="84"/>
    </row>
    <row r="168" spans="1:26" x14ac:dyDescent="0.25">
      <c r="B168" s="38"/>
      <c r="C168" s="56" t="s">
        <v>145</v>
      </c>
      <c r="D168" s="11"/>
      <c r="E168" s="25"/>
      <c r="F168" s="25"/>
      <c r="G168" s="1"/>
      <c r="H168" s="16"/>
      <c r="I168" s="7"/>
      <c r="J168" s="8"/>
      <c r="K168" s="16"/>
      <c r="L168" s="17"/>
      <c r="M168" s="17"/>
      <c r="N168" s="17"/>
      <c r="O168" s="84"/>
      <c r="P168" s="84"/>
      <c r="Q168" s="304" t="str">
        <f>"The amount to be recognized for the allocation of the purchase price of the building cannot exceed the appraised value of the enitre proposed property, less the land allocation.  Do not include any related acquisition costs on this line.*"</f>
        <v>The amount to be recognized for the allocation of the purchase price of the building cannot exceed the appraised value of the enitre proposed property, less the land allocation.  Do not include any related acquisition costs on this line.*</v>
      </c>
      <c r="R168" s="304"/>
      <c r="S168" s="304"/>
      <c r="T168" s="304"/>
      <c r="U168" s="304"/>
      <c r="V168" s="304"/>
      <c r="W168" s="304"/>
      <c r="X168" s="304"/>
      <c r="Y168" s="304"/>
      <c r="Z168" s="304"/>
    </row>
    <row r="169" spans="1:26" ht="12.75" customHeight="1" x14ac:dyDescent="0.25">
      <c r="B169" s="1"/>
      <c r="C169" s="47"/>
      <c r="D169" s="38" t="s">
        <v>144</v>
      </c>
      <c r="E169" s="1"/>
      <c r="F169" s="1"/>
      <c r="G169" s="42"/>
      <c r="H169" s="80"/>
      <c r="I169" s="24"/>
      <c r="J169" s="10"/>
      <c r="K169" s="80"/>
      <c r="L169" s="17"/>
      <c r="M169" s="68"/>
      <c r="N169" s="122" t="str">
        <f ca="1">IF(AND(CELL("type",H169)="v",CELL("type",K169)="v")=TRUE,IF(H169+K169=0,"",H169+K169),IF(AND(CELL("type",H169)="v",CELL("type",K169)&lt;&gt;"v")=TRUE,H169,IF(AND(CELL("type",H169)&lt;&gt;"v",CELL("type",K169)="v")=TRUE,K169,"")))</f>
        <v/>
      </c>
      <c r="O169" s="84"/>
      <c r="P169" s="84"/>
      <c r="Q169" s="304"/>
      <c r="R169" s="304"/>
      <c r="S169" s="304"/>
      <c r="T169" s="304"/>
      <c r="U169" s="304"/>
      <c r="V169" s="304"/>
      <c r="W169" s="304"/>
      <c r="X169" s="304"/>
      <c r="Y169" s="304"/>
      <c r="Z169" s="304"/>
    </row>
    <row r="170" spans="1:26" ht="12.75" customHeight="1" x14ac:dyDescent="0.25">
      <c r="B170" s="83"/>
      <c r="C170" s="47"/>
      <c r="D170" s="38"/>
      <c r="E170" s="1"/>
      <c r="F170" s="1"/>
      <c r="G170" s="1"/>
      <c r="H170" s="97"/>
      <c r="I170" s="15"/>
      <c r="J170" s="16"/>
      <c r="K170" s="97"/>
      <c r="L170" s="17"/>
      <c r="M170" s="17"/>
      <c r="N170" s="18"/>
      <c r="O170" s="84"/>
      <c r="P170" s="84"/>
      <c r="Q170" s="306" t="s">
        <v>329</v>
      </c>
      <c r="R170" s="306"/>
      <c r="S170" s="306"/>
      <c r="T170" s="306"/>
      <c r="U170" s="306"/>
      <c r="V170" s="306"/>
      <c r="W170" s="306"/>
      <c r="X170" s="306"/>
      <c r="Y170" s="306"/>
      <c r="Z170" s="306"/>
    </row>
    <row r="171" spans="1:26" x14ac:dyDescent="0.25">
      <c r="B171" s="42"/>
      <c r="C171" s="11"/>
      <c r="D171" s="11" t="s">
        <v>8</v>
      </c>
      <c r="E171" s="29"/>
      <c r="F171" s="29"/>
      <c r="G171" s="42"/>
      <c r="H171" s="80"/>
      <c r="I171" s="24"/>
      <c r="J171" s="10"/>
      <c r="K171" s="80"/>
      <c r="L171" s="21"/>
      <c r="M171" s="68"/>
      <c r="N171" s="122" t="str">
        <f ca="1">IF(AND(CELL("type",H171)="v",CELL("type",K171)="v")=TRUE,IF(H171+K171=0,"",H171+K171),IF(AND(CELL("type",H171)="v",CELL("type",K171)&lt;&gt;"v")=TRUE,H171,IF(AND(CELL("type",H171)&lt;&gt;"v",CELL("type",K171)="v")=TRUE,K171,"")))</f>
        <v/>
      </c>
      <c r="O171" s="84"/>
      <c r="P171" s="84"/>
      <c r="Q171" s="307"/>
      <c r="R171" s="307"/>
      <c r="S171" s="307"/>
      <c r="T171" s="307"/>
      <c r="U171" s="307"/>
      <c r="V171" s="307"/>
      <c r="W171" s="307"/>
      <c r="X171" s="307"/>
      <c r="Y171" s="307"/>
      <c r="Z171" s="307"/>
    </row>
    <row r="172" spans="1:26" x14ac:dyDescent="0.25">
      <c r="A172" s="83"/>
      <c r="B172" s="47"/>
      <c r="C172" s="1"/>
      <c r="D172" s="38"/>
      <c r="E172" s="1"/>
      <c r="F172" s="1"/>
      <c r="G172" s="29"/>
      <c r="H172" s="98"/>
      <c r="I172" s="19"/>
      <c r="J172" s="20"/>
      <c r="K172" s="98"/>
      <c r="L172" s="21"/>
      <c r="M172" s="21"/>
      <c r="N172" s="21"/>
      <c r="O172" s="84"/>
      <c r="P172" s="84"/>
      <c r="Q172" s="308"/>
      <c r="R172" s="308"/>
      <c r="S172" s="308"/>
      <c r="T172" s="308"/>
      <c r="U172" s="308"/>
      <c r="V172" s="308"/>
      <c r="W172" s="308"/>
      <c r="X172" s="308"/>
      <c r="Y172" s="308"/>
      <c r="Z172" s="308"/>
    </row>
    <row r="173" spans="1:26" x14ac:dyDescent="0.25">
      <c r="A173" s="83"/>
      <c r="B173" s="42" t="s">
        <v>84</v>
      </c>
      <c r="C173" s="11" t="s">
        <v>146</v>
      </c>
      <c r="D173" s="38"/>
      <c r="E173" s="1"/>
      <c r="F173" s="1"/>
      <c r="G173" s="29"/>
      <c r="H173" s="98"/>
      <c r="I173" s="19"/>
      <c r="J173" s="20"/>
      <c r="K173" s="98"/>
      <c r="L173" s="21"/>
      <c r="M173" s="21"/>
      <c r="N173" s="21"/>
      <c r="O173" s="84"/>
      <c r="P173" s="84"/>
      <c r="Q173" s="304" t="str">
        <f>"The amount to be recognized for the allocation of the purchase price of the building cannot exceed the ""as is"" appraised value of the enitre proposed property, less the land allocation.*"</f>
        <v>The amount to be recognized for the allocation of the purchase price of the building cannot exceed the "as is" appraised value of the enitre proposed property, less the land allocation.*</v>
      </c>
      <c r="R173" s="304"/>
      <c r="S173" s="304"/>
      <c r="T173" s="304"/>
      <c r="U173" s="304"/>
      <c r="V173" s="304"/>
      <c r="W173" s="304"/>
      <c r="X173" s="304"/>
      <c r="Y173" s="304"/>
      <c r="Z173" s="304"/>
    </row>
    <row r="174" spans="1:26" x14ac:dyDescent="0.25">
      <c r="A174" s="83"/>
      <c r="B174" s="42"/>
      <c r="C174" s="11" t="s">
        <v>145</v>
      </c>
      <c r="D174" s="38"/>
      <c r="E174" s="1"/>
      <c r="F174" s="1"/>
      <c r="G174" s="42" t="s">
        <v>9</v>
      </c>
      <c r="H174" s="67" t="str">
        <f>IF(SUM(H169:H173)=0,"",SUM(H169:H173))</f>
        <v/>
      </c>
      <c r="I174" s="24"/>
      <c r="J174" s="10" t="s">
        <v>9</v>
      </c>
      <c r="K174" s="67" t="str">
        <f>IF(SUM(K169:K173)=0,"",SUM(K169:K173))</f>
        <v/>
      </c>
      <c r="L174" s="21"/>
      <c r="M174" s="68" t="s">
        <v>9</v>
      </c>
      <c r="N174" s="67" t="str">
        <f ca="1">IF(AND(CELL("type",H174)="v",CELL("type",K174)="v")=TRUE,IF(H174+K174=0,"",H174+K174),IF(AND(CELL("type",H174)="v",CELL("type",K174)&lt;&gt;"v")=TRUE,H174,IF(AND(CELL("type",H174)&lt;&gt;"v",CELL("type",K174)="v")=TRUE,K174,"")))</f>
        <v/>
      </c>
      <c r="O174" s="84"/>
      <c r="P174" s="84"/>
      <c r="Q174" s="304"/>
      <c r="R174" s="304"/>
      <c r="S174" s="304"/>
      <c r="T174" s="304"/>
      <c r="U174" s="304"/>
      <c r="V174" s="304"/>
      <c r="W174" s="304"/>
      <c r="X174" s="304"/>
      <c r="Y174" s="304"/>
      <c r="Z174" s="304"/>
    </row>
    <row r="175" spans="1:26" x14ac:dyDescent="0.25">
      <c r="A175" s="83"/>
      <c r="B175" s="47"/>
      <c r="C175" s="1"/>
      <c r="D175" s="38"/>
      <c r="E175" s="1"/>
      <c r="F175" s="1"/>
      <c r="G175" s="29"/>
      <c r="H175" s="98"/>
      <c r="I175" s="19"/>
      <c r="J175" s="20"/>
      <c r="K175" s="98"/>
      <c r="L175" s="21"/>
      <c r="M175" s="21"/>
      <c r="N175" s="21"/>
      <c r="O175" s="84"/>
      <c r="P175" s="84"/>
    </row>
    <row r="176" spans="1:26" x14ac:dyDescent="0.25">
      <c r="B176" s="42" t="s">
        <v>61</v>
      </c>
      <c r="C176" s="11" t="s">
        <v>65</v>
      </c>
      <c r="D176" s="11"/>
      <c r="E176" s="25"/>
      <c r="F176" s="25"/>
      <c r="G176" s="42" t="s">
        <v>9</v>
      </c>
      <c r="H176" s="67" t="str">
        <f ca="1">IF(IF(CELL("type",H63)="v",H63,0)+IF(CELL("type",H65)="v",H65,0)+IF(CELL("type",H129)="v",H129,0)+IF(CELL("type",H131)="v",H131,0)+IF(CELL("type",H165)="v",H165,0)+IF(CELL("type",H174)="v",H174,0)=0,"",IF(CELL("type",H63)="v",H63,0)+IF(CELL("type",H65)="v",H65,0)+IF(CELL("type",H129)="v",H129,0)+IF(CELL("type",H131)="v",H131,0)+IF(CELL("type",H165)="v",H165,0)+IF(CELL("type",H174)="v",H174,0))</f>
        <v/>
      </c>
      <c r="I176" s="7"/>
      <c r="J176" s="10" t="s">
        <v>9</v>
      </c>
      <c r="K176" s="67" t="str">
        <f ca="1">IF(IF(CELL("type",K63)="v",K63,0)+IF(CELL("type",K65)="v",K65,0)+IF(CELL("type",K129)="v",K129,0)+IF(CELL("type",K131)="v",K131,0)+IF(CELL("type",K165)="v",K165,0)+IF(CELL("type",K174)="v",K174,0)=0,"",IF(CELL("type",K63)="v",K63,0)+IF(CELL("type",K65)="v",K65,0)+IF(CELL("type",K129)="v",K129,0)+IF(CELL("type",K131)="v",K131,0)+IF(CELL("type",K165)="v",K165,0)+IF(CELL("type",K174)="v",K174,0))</f>
        <v/>
      </c>
      <c r="L176" s="17"/>
      <c r="M176" s="68" t="s">
        <v>9</v>
      </c>
      <c r="N176" s="67" t="str">
        <f ca="1">IF(AND(CELL("type",H176)="v",CELL("type",K176)="v")=TRUE,IF(H176+K176=0,"",H176+K176),IF(AND(CELL("type",H176)="v",CELL("type",K176)&lt;&gt;"v")=TRUE,H176,IF(AND(CELL("type",H176)&lt;&gt;"v",CELL("type",K176)="v")=TRUE,K176,"")))</f>
        <v/>
      </c>
      <c r="O176" s="84"/>
      <c r="P176" s="84"/>
    </row>
    <row r="177" spans="2:29" x14ac:dyDescent="0.25">
      <c r="B177" s="48"/>
      <c r="C177" s="1"/>
      <c r="D177" s="38" t="s">
        <v>147</v>
      </c>
      <c r="E177" s="1"/>
      <c r="F177" s="1"/>
      <c r="G177" s="1"/>
      <c r="H177" s="17"/>
      <c r="I177" s="7"/>
      <c r="J177" s="9"/>
      <c r="K177" s="17"/>
      <c r="L177" s="17"/>
      <c r="M177" s="17"/>
      <c r="N177" s="17"/>
      <c r="O177" s="84"/>
      <c r="P177" s="84"/>
    </row>
    <row r="178" spans="2:29" x14ac:dyDescent="0.25">
      <c r="B178" s="49"/>
      <c r="C178" s="50"/>
      <c r="D178" s="29"/>
      <c r="E178" s="29"/>
      <c r="F178" s="29"/>
      <c r="G178" s="29"/>
      <c r="H178" s="98"/>
      <c r="I178" s="22"/>
      <c r="J178" s="23"/>
      <c r="K178" s="98"/>
      <c r="L178" s="73"/>
      <c r="M178" s="73"/>
      <c r="N178" s="21"/>
      <c r="O178" s="84"/>
      <c r="P178" s="84"/>
      <c r="Q178" s="138" t="s">
        <v>139</v>
      </c>
      <c r="R178" s="139"/>
      <c r="S178" s="139"/>
      <c r="T178" s="139"/>
      <c r="U178" s="139"/>
      <c r="V178" s="139"/>
      <c r="W178" s="139"/>
      <c r="X178" s="139"/>
      <c r="Y178" s="139"/>
      <c r="Z178" s="139"/>
      <c r="AA178" s="139"/>
    </row>
    <row r="179" spans="2:29" x14ac:dyDescent="0.25">
      <c r="C179" s="39" t="s">
        <v>208</v>
      </c>
      <c r="D179" s="11"/>
      <c r="E179" s="1"/>
      <c r="F179" s="1"/>
      <c r="G179" s="29"/>
      <c r="H179" s="98"/>
      <c r="I179" s="22"/>
      <c r="J179" s="23"/>
      <c r="K179" s="98"/>
      <c r="L179" s="73"/>
      <c r="M179" s="73"/>
      <c r="N179" s="21"/>
      <c r="O179" s="84"/>
      <c r="P179" s="84"/>
      <c r="Q179" s="139"/>
      <c r="R179" s="139"/>
      <c r="S179" s="139"/>
      <c r="T179" s="139"/>
      <c r="U179" s="139"/>
      <c r="V179" s="139"/>
      <c r="W179" s="139"/>
      <c r="X179" s="139"/>
      <c r="Y179" s="139"/>
      <c r="Z179" s="139"/>
    </row>
    <row r="180" spans="2:29" x14ac:dyDescent="0.25">
      <c r="B180" s="118"/>
      <c r="C180" s="47"/>
      <c r="D180" s="38" t="s">
        <v>130</v>
      </c>
      <c r="E180" s="38"/>
      <c r="F180" s="38"/>
      <c r="G180" s="29"/>
      <c r="H180" s="81"/>
      <c r="I180" s="24"/>
      <c r="J180" s="9"/>
      <c r="K180" s="81"/>
      <c r="L180" s="17"/>
      <c r="M180" s="15"/>
      <c r="N180" s="67" t="str">
        <f ca="1">IF(AND(CELL("type",H180)="v",CELL("type",K180)="v")=TRUE,IF(H180+K180=0,"",H180+K180),IF(AND(CELL("type",H180)="v",CELL("type",K180)&lt;&gt;"v")=TRUE,H180,IF(AND(CELL("type",H180)&lt;&gt;"v",CELL("type",K180)="v")=TRUE,K180,"")))</f>
        <v/>
      </c>
      <c r="O180" s="84"/>
      <c r="P180" s="124" t="str">
        <f ca="1">IF(Q181="No","**","")</f>
        <v/>
      </c>
      <c r="Q180" s="159">
        <f>IF(OR(Q182=E473,Q182=""),"(select below)",Q182)</f>
        <v>0.21</v>
      </c>
      <c r="R180" s="130" t="s">
        <v>200</v>
      </c>
      <c r="S180" s="131"/>
      <c r="T180" s="131"/>
      <c r="U180" s="131"/>
      <c r="V180" s="132">
        <f ca="1">ROUNDDOWN(N(N174)*IF(N(Q$180)=21%,16%,N(Q$180)),0)</f>
        <v>0</v>
      </c>
      <c r="W180" s="141" t="str">
        <f>"= Maximum Non-Acq. Developer Fee ($)"&amp;IF(N(Q180)=21%,", exclusive of the 5% ODR portion listed on a separate line.","")</f>
        <v>= Maximum Non-Acq. Developer Fee ($), exclusive of the 5% ODR portion listed on a separate line.</v>
      </c>
      <c r="X180" s="131"/>
      <c r="Y180" s="131"/>
      <c r="Z180" s="131"/>
    </row>
    <row r="181" spans="2:29" x14ac:dyDescent="0.25">
      <c r="B181" s="118"/>
      <c r="C181" s="47"/>
      <c r="D181" s="38"/>
      <c r="E181" s="38"/>
      <c r="F181" s="38"/>
      <c r="G181" s="29"/>
      <c r="H181" s="98"/>
      <c r="I181" s="22"/>
      <c r="J181" s="23"/>
      <c r="K181" s="98"/>
      <c r="L181" s="73"/>
      <c r="M181" s="73"/>
      <c r="N181" s="21"/>
      <c r="O181" s="84"/>
      <c r="P181" s="84"/>
      <c r="Q181" s="140" t="str">
        <f ca="1">IF(AND(N(N174)&gt;0,N(N180)=0,N(N187)=0),"No",IF(N(N180)&gt;ROUNDDOWN(N(N174)*IF(N(Q$180)=21%,16%,N(Q$180)),0),"No","Yes"))</f>
        <v>Yes</v>
      </c>
      <c r="R181" s="136" t="s">
        <v>137</v>
      </c>
      <c r="S181" s="136"/>
      <c r="T181" s="136"/>
      <c r="U181" s="136"/>
      <c r="V181" s="136"/>
      <c r="W181" s="136"/>
      <c r="X181" s="136"/>
      <c r="Y181" s="136"/>
      <c r="Z181" s="136"/>
    </row>
    <row r="182" spans="2:29" x14ac:dyDescent="0.25">
      <c r="B182" s="118"/>
      <c r="C182" s="47"/>
      <c r="D182" s="38" t="s">
        <v>132</v>
      </c>
      <c r="E182" s="38"/>
      <c r="F182" s="38"/>
      <c r="G182" s="29"/>
      <c r="H182" s="81"/>
      <c r="I182" s="24"/>
      <c r="J182" s="9"/>
      <c r="K182" s="81"/>
      <c r="L182" s="17"/>
      <c r="M182" s="15"/>
      <c r="N182" s="67" t="str">
        <f ca="1">IF(AND(CELL("type",H182)="v",CELL("type",K182)="v")=TRUE,IF(H182+K182=0,"",H182+K182),IF(AND(CELL("type",H182)="v",CELL("type",K182)&lt;&gt;"v")=TRUE,H182,IF(AND(CELL("type",H182)&lt;&gt;"v",CELL("type",K182)="v")=TRUE,K182,"")))</f>
        <v/>
      </c>
      <c r="O182" s="84"/>
      <c r="P182" s="124" t="str">
        <f ca="1">IF(Q183="No","**","")</f>
        <v/>
      </c>
      <c r="Q182" s="221">
        <v>0.21</v>
      </c>
      <c r="R182" s="141" t="s">
        <v>199</v>
      </c>
      <c r="S182" s="131"/>
      <c r="T182" s="131"/>
      <c r="U182" s="131"/>
      <c r="V182" s="142">
        <f ca="1">ROUNDDOWN((N(N176)-N(N174))*IF(N(Q$182)=21%,16%,N(Q$182)),0)</f>
        <v>0</v>
      </c>
      <c r="W182" s="141" t="str">
        <f>"= Maximum Non-Acq. Developer Fee ($)"&amp;IF(N(Q182)=21%,", exclusive of the 5% ODR portion listed on a separate line.","")</f>
        <v>= Maximum Non-Acq. Developer Fee ($), exclusive of the 5% ODR portion listed on a separate line.</v>
      </c>
      <c r="X182" s="131"/>
      <c r="Y182" s="131"/>
      <c r="Z182" s="131"/>
    </row>
    <row r="183" spans="2:29" x14ac:dyDescent="0.25">
      <c r="B183" s="118"/>
      <c r="C183" s="47"/>
      <c r="D183" s="38"/>
      <c r="E183" s="38"/>
      <c r="F183" s="38"/>
      <c r="G183" s="29"/>
      <c r="H183" s="111"/>
      <c r="I183" s="119"/>
      <c r="J183" s="120"/>
      <c r="K183" s="111"/>
      <c r="L183" s="18"/>
      <c r="M183" s="121"/>
      <c r="N183" s="18"/>
      <c r="O183" s="84"/>
      <c r="P183" s="84"/>
      <c r="Q183" s="140" t="str">
        <f ca="1">IF(OR(N(N182)&gt;ROUNDDOWN((N(N176)-N(N174))*IF(N(Q$182)=21%,16%,N(Q$182)),0),AND(N(N176)-N(N174)&gt;0,N(N182)=0,N(N187)=0)),"No","Yes")</f>
        <v>Yes</v>
      </c>
      <c r="R183" s="136" t="s">
        <v>137</v>
      </c>
      <c r="S183" s="136"/>
      <c r="T183" s="136"/>
      <c r="U183" s="136"/>
      <c r="V183" s="136"/>
      <c r="W183" s="136"/>
      <c r="X183" s="136"/>
      <c r="Y183" s="136"/>
      <c r="Z183" s="136"/>
    </row>
    <row r="184" spans="2:29" x14ac:dyDescent="0.25">
      <c r="B184" s="118"/>
      <c r="C184" s="47"/>
      <c r="D184" s="28" t="s">
        <v>442</v>
      </c>
      <c r="E184" s="38"/>
      <c r="F184" s="38"/>
      <c r="G184" s="29"/>
      <c r="H184" s="111"/>
      <c r="I184" s="119"/>
      <c r="J184" s="120"/>
      <c r="K184" s="111"/>
      <c r="L184" s="18"/>
      <c r="M184" s="121"/>
      <c r="N184" s="18"/>
      <c r="O184" s="84"/>
      <c r="P184" s="84"/>
      <c r="Q184" s="161"/>
      <c r="R184" s="134"/>
      <c r="S184" s="134"/>
      <c r="T184" s="134"/>
      <c r="U184" s="134"/>
      <c r="V184" s="134"/>
      <c r="W184" s="134"/>
      <c r="X184" s="134"/>
      <c r="Y184" s="134"/>
      <c r="Z184" s="134"/>
    </row>
    <row r="185" spans="2:29" x14ac:dyDescent="0.25">
      <c r="B185" s="118"/>
      <c r="C185" s="47"/>
      <c r="D185" s="28" t="s">
        <v>443</v>
      </c>
      <c r="E185" s="38"/>
      <c r="F185" s="38"/>
      <c r="G185" s="29"/>
      <c r="H185" s="224">
        <f ca="1">IF(Q182=21%,ROUNDDOWN(5%*N(N176),0),"")</f>
        <v>0</v>
      </c>
      <c r="I185" s="24"/>
      <c r="J185" s="9"/>
      <c r="K185" s="224"/>
      <c r="L185" s="17"/>
      <c r="M185" s="15"/>
      <c r="N185" s="67">
        <f ca="1">IF(AND(CELL("type",H185)="v",CELL("type",K185)="v")=TRUE,IF(H185+K185=0,"",H185+K185),IF(AND(CELL("type",H185)="v",CELL("type",K185)&lt;&gt;"v")=TRUE,H185,IF(AND(CELL("type",H185)&lt;&gt;"v",CELL("type",K185)="v")=TRUE,K185,"")))</f>
        <v>0</v>
      </c>
      <c r="O185" s="84"/>
      <c r="P185" s="84"/>
      <c r="Q185" s="304" t="s">
        <v>209</v>
      </c>
      <c r="R185" s="304"/>
      <c r="S185" s="304"/>
      <c r="T185" s="304"/>
      <c r="U185" s="304"/>
      <c r="V185" s="304"/>
      <c r="W185" s="304"/>
      <c r="X185" s="304"/>
      <c r="Y185" s="304"/>
      <c r="Z185" s="304"/>
    </row>
    <row r="186" spans="2:29" x14ac:dyDescent="0.25">
      <c r="B186" s="118"/>
      <c r="C186" s="47"/>
      <c r="D186" s="38"/>
      <c r="E186" s="38"/>
      <c r="F186" s="38"/>
      <c r="G186" s="29"/>
      <c r="H186" s="111"/>
      <c r="I186" s="119"/>
      <c r="J186" s="120"/>
      <c r="K186" s="111"/>
      <c r="L186" s="18"/>
      <c r="M186" s="121"/>
      <c r="N186" s="18"/>
      <c r="O186" s="84"/>
      <c r="P186" s="84"/>
      <c r="Q186" s="304"/>
      <c r="R186" s="304"/>
      <c r="S186" s="304"/>
      <c r="T186" s="304"/>
      <c r="U186" s="304"/>
      <c r="V186" s="304"/>
      <c r="W186" s="304"/>
      <c r="X186" s="304"/>
      <c r="Y186" s="304"/>
      <c r="Z186" s="304"/>
    </row>
    <row r="187" spans="2:29" x14ac:dyDescent="0.25">
      <c r="B187" s="42" t="s">
        <v>62</v>
      </c>
      <c r="C187" s="11" t="s">
        <v>131</v>
      </c>
      <c r="D187" s="11"/>
      <c r="E187" s="38"/>
      <c r="F187" s="38"/>
      <c r="G187" s="42" t="s">
        <v>9</v>
      </c>
      <c r="H187" s="67" t="str">
        <f ca="1">IF(SUM(H180:H186)=0,"",SUM(H180:H186))</f>
        <v/>
      </c>
      <c r="I187" s="24"/>
      <c r="J187" s="10" t="s">
        <v>9</v>
      </c>
      <c r="K187" s="67" t="str">
        <f>IF(SUM(K180:K186)=0,"",SUM(K180:K186))</f>
        <v/>
      </c>
      <c r="L187" s="18"/>
      <c r="M187" s="74" t="s">
        <v>9</v>
      </c>
      <c r="N187" s="67" t="str">
        <f ca="1">IF(AND(CELL("type",H187)="v",CELL("type",K187)="v")=TRUE,IF(H187+K187=0,"",H187+K187),IF(AND(CELL("type",H187)="v",CELL("type",K187)&lt;&gt;"v")=TRUE,H187,IF(AND(CELL("type",H187)&lt;&gt;"v",CELL("type",K187)="v")=TRUE,K187,"")))</f>
        <v/>
      </c>
      <c r="O187" s="84"/>
      <c r="P187" s="124" t="str">
        <f ca="1">IF(Q188="No","**","")</f>
        <v/>
      </c>
      <c r="Q187" s="143"/>
      <c r="R187" s="144"/>
      <c r="S187" s="131"/>
      <c r="T187" s="131"/>
      <c r="U187" s="131"/>
      <c r="V187" s="132">
        <f ca="1">V180+V182+N(N185)</f>
        <v>0</v>
      </c>
      <c r="W187" s="130" t="s">
        <v>154</v>
      </c>
      <c r="X187" s="131"/>
      <c r="Y187" s="131"/>
      <c r="Z187" s="131"/>
    </row>
    <row r="188" spans="2:29" x14ac:dyDescent="0.25">
      <c r="B188" s="94"/>
      <c r="C188" s="94"/>
      <c r="D188" s="94"/>
      <c r="E188" s="94"/>
      <c r="F188" s="94"/>
      <c r="G188" s="83"/>
      <c r="H188" s="83"/>
      <c r="I188" s="83"/>
      <c r="J188" s="83"/>
      <c r="K188" s="86"/>
      <c r="L188" s="86"/>
      <c r="M188" s="86"/>
      <c r="N188" s="86"/>
      <c r="O188" s="84"/>
      <c r="P188" s="84"/>
      <c r="Q188" s="140" t="str">
        <f ca="1">IF(OR(AND(N(N187)=0,N(N176)&gt;0),N(N187)&gt;V187,Q181="No",Q183="No"),"No","Yes")</f>
        <v>Yes</v>
      </c>
      <c r="R188" s="136" t="s">
        <v>138</v>
      </c>
      <c r="S188" s="136"/>
      <c r="T188" s="136"/>
      <c r="U188" s="136"/>
      <c r="V188" s="136"/>
      <c r="W188" s="136"/>
      <c r="X188" s="136"/>
      <c r="Y188" s="136"/>
      <c r="Z188" s="136"/>
    </row>
    <row r="189" spans="2:29" ht="13.8" x14ac:dyDescent="0.25">
      <c r="B189" s="99" t="s">
        <v>63</v>
      </c>
      <c r="C189" s="100" t="s">
        <v>222</v>
      </c>
      <c r="G189" s="42" t="s">
        <v>9</v>
      </c>
      <c r="H189" s="157"/>
      <c r="I189" s="24"/>
      <c r="J189" s="42" t="s">
        <v>9</v>
      </c>
      <c r="K189" s="157"/>
      <c r="L189" s="17"/>
      <c r="M189" s="42" t="s">
        <v>9</v>
      </c>
      <c r="N189" s="162" t="str">
        <f ca="1">IF(AND(CELL("type",H189)="v",CELL("type",K189)="v")=TRUE,IF(H189+K189=0,"",H189+K189),IF(AND(CELL("type",H189)="v",CELL("type",K189)&lt;&gt;"v")=TRUE,H189,IF(AND(CELL("type",H189)&lt;&gt;"v",CELL("type",K189)="v")=TRUE,K189,"")))</f>
        <v/>
      </c>
      <c r="O189" s="84"/>
      <c r="P189" s="84"/>
      <c r="Q189" s="309" t="str">
        <f ca="1">IF(Q188="No",IF(AND(N(N176)&gt;0,N(N187)=0),"A Developer fee must be entered.  If it is not, the RFA requires the scorer to add the maximum Developer Fee ("&amp;TEXT(V187,"$#,##0.00")&amp;").",IF(AND(N(N187)&gt;V187,Q181="No",Q183="No"),"The amount entered for 'Total Developer Fee' is too high by "&amp;TEXT(N(N187)-V187,"$#,##0.00")&amp;".",IF(AND(Q181="No",Q183="Yes"),"The amount entered for 'Developer Fee on Acquisition Costs' is too high by "&amp;TEXT(N180-V180,"$#,##0.00")&amp;".",IF(AND(Q181="Yes",Q183="No"),"The amount entered for 'Developer Fee on Non-Acquisition Costs' is too high by "&amp;TEXT(N182-V182,"$#,##0.00")&amp;".","")))),"")</f>
        <v/>
      </c>
      <c r="R189" s="309"/>
      <c r="S189" s="309"/>
      <c r="T189" s="309"/>
      <c r="U189" s="309"/>
      <c r="V189" s="309"/>
      <c r="W189" s="309"/>
      <c r="X189" s="309"/>
      <c r="Y189" s="309"/>
      <c r="Z189" s="309"/>
    </row>
    <row r="190" spans="2:29" x14ac:dyDescent="0.25">
      <c r="B190" s="48"/>
      <c r="C190" s="1"/>
      <c r="D190" s="11"/>
      <c r="E190" s="1"/>
      <c r="F190" s="1"/>
      <c r="G190" s="1"/>
      <c r="H190" s="8"/>
      <c r="I190" s="7"/>
      <c r="J190" s="8"/>
      <c r="K190" s="16"/>
      <c r="L190" s="17"/>
      <c r="M190" s="17"/>
      <c r="N190" s="17"/>
      <c r="O190" s="84"/>
      <c r="P190" s="84"/>
      <c r="Q190" s="310"/>
      <c r="R190" s="310"/>
      <c r="S190" s="310"/>
      <c r="T190" s="310"/>
      <c r="U190" s="310"/>
      <c r="V190" s="310"/>
      <c r="W190" s="310"/>
      <c r="X190" s="310"/>
      <c r="Y190" s="310"/>
      <c r="Z190" s="310"/>
    </row>
    <row r="191" spans="2:29" ht="12.75" customHeight="1" x14ac:dyDescent="0.25">
      <c r="B191" s="42" t="s">
        <v>64</v>
      </c>
      <c r="C191" s="11" t="s">
        <v>66</v>
      </c>
      <c r="D191" s="11"/>
      <c r="E191" s="1"/>
      <c r="F191" s="1"/>
      <c r="G191" s="42"/>
      <c r="H191" s="243"/>
      <c r="I191" s="24"/>
      <c r="J191" s="10" t="s">
        <v>9</v>
      </c>
      <c r="K191" s="81"/>
      <c r="L191" s="17"/>
      <c r="M191" s="68" t="s">
        <v>9</v>
      </c>
      <c r="N191" s="67" t="str">
        <f ca="1">IF(AND(CELL("type",H191)="v",CELL("type",K191)="v")=TRUE,IF(H191+K191=0,"",H191+K191),IF(AND(CELL("type",H191)="v",CELL("type",K191)&lt;&gt;"v")=TRUE,H191,IF(AND(CELL("type",H191)&lt;&gt;"v",CELL("type",K191)="v")=TRUE,K191,"")))</f>
        <v/>
      </c>
      <c r="O191" s="84"/>
      <c r="P191" s="84"/>
      <c r="Q191" s="311" t="str">
        <f ca="1">"The amount to be recognized for the "&amp;IF(N(N174)&gt;0,"allocation of ","")&amp;"the purchase price of the land cannot exceed the ""as is"" appraised value.  Include a prorata share of any acquisition brokerage fees.  See note above under Acquisition Costs of Existing Development for additional direction.* "</f>
        <v xml:space="preserve">The amount to be recognized for the the purchase price of the land cannot exceed the "as is" appraised value.  Include a prorata share of any acquisition brokerage fees.  See note above under Acquisition Costs of Existing Development for additional direction.* </v>
      </c>
      <c r="R191" s="311"/>
      <c r="S191" s="311"/>
      <c r="T191" s="311"/>
      <c r="U191" s="311"/>
      <c r="V191" s="311"/>
      <c r="W191" s="311"/>
      <c r="X191" s="311"/>
      <c r="Y191" s="311"/>
      <c r="Z191" s="311"/>
      <c r="AA191" s="311"/>
      <c r="AB191" s="311"/>
      <c r="AC191" s="311"/>
    </row>
    <row r="192" spans="2:29" x14ac:dyDescent="0.25">
      <c r="B192" s="48"/>
      <c r="C192" s="1"/>
      <c r="D192" s="51"/>
      <c r="E192" s="1"/>
      <c r="F192" s="1"/>
      <c r="G192" s="1"/>
      <c r="H192" s="9"/>
      <c r="I192" s="7"/>
      <c r="J192" s="9"/>
      <c r="K192" s="17"/>
      <c r="L192" s="17"/>
      <c r="M192" s="17"/>
      <c r="N192" s="17"/>
      <c r="O192" s="84"/>
      <c r="P192" s="84"/>
      <c r="Q192" s="312"/>
      <c r="R192" s="312"/>
      <c r="S192" s="312"/>
      <c r="T192" s="312"/>
      <c r="U192" s="312"/>
      <c r="V192" s="312"/>
      <c r="W192" s="312"/>
      <c r="X192" s="312"/>
      <c r="Y192" s="312"/>
      <c r="Z192" s="312"/>
      <c r="AA192" s="312"/>
      <c r="AB192" s="312"/>
      <c r="AC192" s="312"/>
    </row>
    <row r="193" spans="1:17" ht="13.8" x14ac:dyDescent="0.25">
      <c r="B193" s="42" t="s">
        <v>89</v>
      </c>
      <c r="C193" s="11" t="s">
        <v>223</v>
      </c>
      <c r="D193" s="11"/>
      <c r="E193" s="1"/>
      <c r="F193" s="1"/>
      <c r="G193" s="42" t="s">
        <v>9</v>
      </c>
      <c r="H193" s="67" t="str">
        <f ca="1">IF(IF(CELL("type",H176)="v",H176,0)+IF(CELL("type",H187)="v",H187,0)+IF(CELL("type",H189)="v",H189,0)+IF(CELL("type",H191)="v",H191,0)=0,"",IF(CELL("type",H176)="v",H176,0)+IF(CELL("type",H187)="v",H187,0)+IF(CELL("type",H189)="v",H189,0)+IF(CELL("type",H191)="v",H191,0))</f>
        <v/>
      </c>
      <c r="I193" s="7"/>
      <c r="J193" s="10" t="s">
        <v>9</v>
      </c>
      <c r="K193" s="67" t="str">
        <f ca="1">IF(IF(CELL("type",K176)="v",K176,0)+IF(CELL("type",K187)="v",K187,0)+IF(CELL("type",K189)="v",K189,0)+IF(CELL("type",K191)="v",K191,0)=0,"",IF(CELL("type",K176)="v",K176,0)+IF(CELL("type",K187)="v",K187,0)+IF(CELL("type",K189)="v",K189,0)+IF(CELL("type",K191)="v",K191,0))</f>
        <v/>
      </c>
      <c r="L193" s="17"/>
      <c r="M193" s="68" t="s">
        <v>9</v>
      </c>
      <c r="N193" s="67" t="str">
        <f ca="1">IF(AND(CELL("type",H193)="v",CELL("type",K193)="v")=TRUE,IF(H193+K193=0,"",H193+K193),IF(AND(CELL("type",H193)="v",CELL("type",K193)&lt;&gt;"v")=TRUE,H193,IF(AND(CELL("type",H193)&lt;&gt;"v",CELL("type",K193)="v")=TRUE,K193,"")))</f>
        <v/>
      </c>
      <c r="O193" s="84"/>
      <c r="P193" s="84"/>
      <c r="Q193" s="145" t="str">
        <f ca="1">IF(AND(K$32=F$473,N(N193)&gt;0),"Please select the appropriate Development Category from the drop-down menu at the top of the Development Cost Pro Forma.","")</f>
        <v/>
      </c>
    </row>
    <row r="194" spans="1:17" x14ac:dyDescent="0.25">
      <c r="B194" s="1"/>
      <c r="C194" s="1"/>
      <c r="D194" s="1" t="s">
        <v>90</v>
      </c>
      <c r="E194" s="1"/>
      <c r="F194" s="1"/>
      <c r="G194" s="1"/>
      <c r="H194" s="1"/>
      <c r="I194" s="1"/>
      <c r="J194" s="1"/>
      <c r="K194" s="66"/>
      <c r="L194" s="66"/>
      <c r="M194" s="66"/>
      <c r="N194" s="66"/>
      <c r="O194" s="84"/>
      <c r="P194" s="84"/>
    </row>
    <row r="195" spans="1:17" ht="3.75" customHeight="1" thickBot="1" x14ac:dyDescent="0.3">
      <c r="B195" s="1"/>
      <c r="C195" s="1"/>
      <c r="D195" s="1"/>
      <c r="E195" s="1"/>
      <c r="F195" s="1"/>
      <c r="G195" s="1"/>
      <c r="H195" s="1"/>
      <c r="I195" s="1"/>
      <c r="J195" s="1"/>
      <c r="K195" s="66"/>
      <c r="L195" s="66"/>
      <c r="M195" s="66"/>
      <c r="N195" s="66"/>
      <c r="O195" s="84"/>
      <c r="P195" s="84"/>
    </row>
    <row r="196" spans="1:17" ht="3.75" customHeight="1" x14ac:dyDescent="0.25">
      <c r="A196" s="82"/>
      <c r="B196" s="89"/>
      <c r="C196" s="89"/>
      <c r="D196" s="89"/>
      <c r="E196" s="89"/>
      <c r="F196" s="89"/>
      <c r="G196" s="89"/>
      <c r="H196" s="89"/>
      <c r="I196" s="89"/>
      <c r="J196" s="89"/>
      <c r="K196" s="90"/>
      <c r="L196" s="90"/>
      <c r="M196" s="90"/>
      <c r="N196" s="90"/>
      <c r="O196" s="91"/>
      <c r="P196" s="91"/>
    </row>
    <row r="197" spans="1:17" x14ac:dyDescent="0.25">
      <c r="B197" s="64" t="str">
        <f>B$2</f>
        <v>RFA 2021-106 DEVELOPMENT COST PRO FORMA</v>
      </c>
      <c r="C197" s="83"/>
      <c r="D197" s="83"/>
      <c r="E197" s="83"/>
      <c r="F197" s="83"/>
      <c r="G197" s="83"/>
      <c r="H197" s="83"/>
      <c r="I197" s="83"/>
      <c r="J197" s="83"/>
      <c r="K197" s="86"/>
      <c r="L197" s="86"/>
      <c r="M197" s="86"/>
      <c r="N197" s="86"/>
      <c r="O197" s="84"/>
      <c r="P197" s="3" t="s">
        <v>252</v>
      </c>
    </row>
    <row r="198" spans="1:17" x14ac:dyDescent="0.25">
      <c r="B198" s="83"/>
      <c r="C198" s="83"/>
      <c r="D198" s="83"/>
      <c r="E198" s="83"/>
      <c r="F198" s="83"/>
      <c r="G198" s="83"/>
      <c r="H198" s="83"/>
      <c r="I198" s="83"/>
      <c r="J198" s="83"/>
      <c r="K198" s="86"/>
      <c r="L198" s="86"/>
      <c r="M198" s="86"/>
      <c r="N198" s="86"/>
      <c r="O198" s="84"/>
      <c r="P198" s="84"/>
    </row>
    <row r="199" spans="1:17" x14ac:dyDescent="0.25">
      <c r="B199" s="25" t="s">
        <v>67</v>
      </c>
      <c r="C199" s="1"/>
      <c r="D199" s="1"/>
      <c r="E199" s="1"/>
      <c r="F199" s="1"/>
      <c r="G199" s="1"/>
      <c r="H199" s="1"/>
      <c r="I199" s="1"/>
      <c r="J199" s="1"/>
      <c r="K199" s="66"/>
      <c r="L199" s="66"/>
      <c r="M199" s="66"/>
      <c r="N199" s="66"/>
      <c r="O199" s="2"/>
      <c r="P199" s="84"/>
    </row>
    <row r="200" spans="1:17" x14ac:dyDescent="0.25">
      <c r="B200" s="25"/>
      <c r="C200" s="1"/>
      <c r="D200" s="1"/>
      <c r="E200" s="1"/>
      <c r="F200" s="1"/>
      <c r="G200" s="1"/>
      <c r="H200" s="1"/>
      <c r="I200" s="1"/>
      <c r="J200" s="1"/>
      <c r="K200" s="66"/>
      <c r="L200" s="66"/>
      <c r="M200" s="66"/>
      <c r="N200" s="66"/>
      <c r="O200" s="2"/>
      <c r="P200" s="84"/>
    </row>
    <row r="201" spans="1:17" x14ac:dyDescent="0.25">
      <c r="B201" s="25" t="s">
        <v>134</v>
      </c>
      <c r="C201" s="1"/>
      <c r="D201" s="1"/>
      <c r="E201" s="1"/>
      <c r="F201" s="1"/>
      <c r="G201" s="1"/>
      <c r="H201" s="1"/>
      <c r="I201" s="1"/>
      <c r="J201" s="1"/>
      <c r="K201" s="66"/>
      <c r="L201" s="66"/>
      <c r="M201" s="66"/>
      <c r="N201" s="66"/>
      <c r="O201" s="2"/>
      <c r="P201" s="84"/>
    </row>
    <row r="202" spans="1:17" x14ac:dyDescent="0.25">
      <c r="B202" s="25" t="s">
        <v>133</v>
      </c>
      <c r="C202" s="1"/>
      <c r="D202" s="1"/>
      <c r="E202" s="1"/>
      <c r="F202" s="1"/>
      <c r="G202" s="1"/>
      <c r="H202" s="1"/>
      <c r="I202" s="1"/>
      <c r="J202" s="1"/>
      <c r="K202" s="66"/>
      <c r="L202" s="66"/>
      <c r="M202" s="66"/>
      <c r="N202" s="66"/>
      <c r="O202" s="2"/>
      <c r="P202" s="84"/>
    </row>
    <row r="203" spans="1:17" x14ac:dyDescent="0.25">
      <c r="B203" s="1"/>
      <c r="C203" s="1"/>
      <c r="D203" s="1"/>
      <c r="E203" s="1"/>
      <c r="F203" s="1"/>
      <c r="G203" s="1"/>
      <c r="H203" s="1"/>
      <c r="I203" s="1"/>
      <c r="J203" s="1"/>
      <c r="K203" s="66"/>
      <c r="L203" s="66"/>
      <c r="M203" s="66"/>
      <c r="N203" s="66"/>
      <c r="O203" s="2"/>
      <c r="P203" s="84"/>
    </row>
    <row r="204" spans="1:17" x14ac:dyDescent="0.25">
      <c r="B204" s="25" t="s">
        <v>82</v>
      </c>
      <c r="C204" s="1"/>
      <c r="D204" s="1"/>
      <c r="E204" s="1"/>
      <c r="F204" s="1"/>
      <c r="G204" s="1"/>
      <c r="H204" s="1"/>
      <c r="I204" s="1"/>
      <c r="J204" s="1"/>
      <c r="K204" s="66"/>
      <c r="L204" s="66"/>
      <c r="M204" s="66"/>
      <c r="N204" s="66"/>
      <c r="O204" s="2"/>
      <c r="P204" s="84"/>
    </row>
    <row r="205" spans="1:17" x14ac:dyDescent="0.25">
      <c r="B205" s="1"/>
      <c r="C205" s="1"/>
      <c r="D205" s="1"/>
      <c r="E205" s="1"/>
      <c r="F205" s="1"/>
      <c r="G205" s="1"/>
      <c r="H205" s="1"/>
      <c r="I205" s="1"/>
      <c r="J205" s="1"/>
      <c r="K205" s="66"/>
      <c r="L205" s="66"/>
      <c r="M205" s="66"/>
      <c r="N205" s="66"/>
      <c r="O205" s="2"/>
      <c r="P205" s="84"/>
    </row>
    <row r="206" spans="1:17" x14ac:dyDescent="0.25">
      <c r="B206" s="83"/>
      <c r="C206" s="52" t="s">
        <v>71</v>
      </c>
      <c r="D206" s="25"/>
      <c r="E206" s="25"/>
      <c r="F206" s="25"/>
      <c r="G206" s="1"/>
      <c r="H206" s="1"/>
      <c r="I206" s="1"/>
      <c r="J206" s="1"/>
      <c r="K206" s="66"/>
      <c r="L206" s="66"/>
      <c r="M206" s="66"/>
      <c r="N206" s="66"/>
      <c r="O206" s="2"/>
      <c r="P206" s="84"/>
    </row>
    <row r="207" spans="1:17" x14ac:dyDescent="0.25">
      <c r="B207" s="83"/>
      <c r="C207" s="53" t="s">
        <v>72</v>
      </c>
      <c r="D207" s="1"/>
      <c r="E207" s="1"/>
      <c r="F207" s="1"/>
      <c r="G207" s="1"/>
      <c r="H207" s="1"/>
      <c r="I207" s="1"/>
      <c r="J207" s="1"/>
      <c r="K207" s="66"/>
      <c r="L207" s="66"/>
      <c r="M207" s="66"/>
      <c r="N207" s="66"/>
      <c r="O207" s="2"/>
      <c r="P207" s="84"/>
    </row>
    <row r="208" spans="1:17" x14ac:dyDescent="0.25">
      <c r="B208" s="83"/>
      <c r="C208" s="54"/>
      <c r="D208" s="1"/>
      <c r="E208" s="1"/>
      <c r="F208" s="1"/>
      <c r="G208" s="1"/>
      <c r="H208" s="1"/>
      <c r="I208" s="1"/>
      <c r="J208" s="1"/>
      <c r="K208" s="66"/>
      <c r="L208" s="66"/>
      <c r="M208" s="66"/>
      <c r="N208" s="66"/>
      <c r="O208" s="2"/>
      <c r="P208" s="84"/>
    </row>
    <row r="209" spans="2:16" x14ac:dyDescent="0.25">
      <c r="B209" s="83"/>
      <c r="C209" s="83"/>
      <c r="D209" s="1" t="s">
        <v>88</v>
      </c>
      <c r="E209" s="1"/>
      <c r="F209" s="269"/>
      <c r="G209" s="270"/>
      <c r="H209" s="270"/>
      <c r="I209" s="270"/>
      <c r="J209" s="270"/>
      <c r="K209" s="270"/>
      <c r="L209" s="270"/>
      <c r="M209" s="270"/>
      <c r="N209" s="270"/>
      <c r="O209" s="271"/>
      <c r="P209" s="124" t="str">
        <f ca="1">IF(AND(F209="",N45&lt;&gt;""),"**","")</f>
        <v/>
      </c>
    </row>
    <row r="210" spans="2:16" x14ac:dyDescent="0.25">
      <c r="B210" s="83"/>
      <c r="C210" s="83"/>
      <c r="D210" s="55"/>
      <c r="E210" s="55"/>
      <c r="F210" s="272"/>
      <c r="G210" s="273"/>
      <c r="H210" s="273"/>
      <c r="I210" s="273"/>
      <c r="J210" s="273"/>
      <c r="K210" s="273"/>
      <c r="L210" s="273"/>
      <c r="M210" s="273"/>
      <c r="N210" s="273"/>
      <c r="O210" s="274"/>
      <c r="P210" s="84"/>
    </row>
    <row r="211" spans="2:16" x14ac:dyDescent="0.25">
      <c r="B211" s="83"/>
      <c r="C211" s="83"/>
      <c r="D211" s="1"/>
      <c r="E211" s="1"/>
      <c r="F211" s="275"/>
      <c r="G211" s="276"/>
      <c r="H211" s="276"/>
      <c r="I211" s="276"/>
      <c r="J211" s="276"/>
      <c r="K211" s="276"/>
      <c r="L211" s="276"/>
      <c r="M211" s="276"/>
      <c r="N211" s="276"/>
      <c r="O211" s="277"/>
      <c r="P211" s="84"/>
    </row>
    <row r="212" spans="2:16" x14ac:dyDescent="0.25">
      <c r="B212" s="83"/>
      <c r="C212" s="83"/>
      <c r="D212" s="1"/>
      <c r="E212" s="1"/>
      <c r="F212" s="1"/>
      <c r="G212" s="1"/>
      <c r="H212" s="1"/>
      <c r="I212" s="1"/>
      <c r="J212" s="1"/>
      <c r="K212" s="66"/>
      <c r="L212" s="66"/>
      <c r="M212" s="66"/>
      <c r="N212" s="66"/>
      <c r="O212" s="2"/>
      <c r="P212" s="84"/>
    </row>
    <row r="213" spans="2:16" x14ac:dyDescent="0.25">
      <c r="B213" s="83"/>
      <c r="C213" s="83"/>
      <c r="D213" s="1" t="s">
        <v>70</v>
      </c>
      <c r="E213" s="1"/>
      <c r="F213" s="269"/>
      <c r="G213" s="270"/>
      <c r="H213" s="270"/>
      <c r="I213" s="270"/>
      <c r="J213" s="270"/>
      <c r="K213" s="270"/>
      <c r="L213" s="270"/>
      <c r="M213" s="270"/>
      <c r="N213" s="270"/>
      <c r="O213" s="271"/>
      <c r="P213" s="124" t="str">
        <f ca="1">IF(AND(F213="",N55&lt;&gt;""),"**","")</f>
        <v/>
      </c>
    </row>
    <row r="214" spans="2:16" x14ac:dyDescent="0.25">
      <c r="B214" s="83"/>
      <c r="C214" s="55"/>
      <c r="D214" s="55"/>
      <c r="E214" s="55"/>
      <c r="F214" s="272"/>
      <c r="G214" s="273"/>
      <c r="H214" s="273"/>
      <c r="I214" s="273"/>
      <c r="J214" s="273"/>
      <c r="K214" s="273"/>
      <c r="L214" s="273"/>
      <c r="M214" s="273"/>
      <c r="N214" s="273"/>
      <c r="O214" s="274"/>
      <c r="P214" s="84"/>
    </row>
    <row r="215" spans="2:16" x14ac:dyDescent="0.25">
      <c r="B215" s="83"/>
      <c r="C215" s="1"/>
      <c r="D215" s="1"/>
      <c r="E215" s="1"/>
      <c r="F215" s="275"/>
      <c r="G215" s="276"/>
      <c r="H215" s="276"/>
      <c r="I215" s="276"/>
      <c r="J215" s="276"/>
      <c r="K215" s="276"/>
      <c r="L215" s="276"/>
      <c r="M215" s="276"/>
      <c r="N215" s="276"/>
      <c r="O215" s="277"/>
      <c r="P215" s="84"/>
    </row>
    <row r="216" spans="2:16" x14ac:dyDescent="0.25">
      <c r="B216" s="83"/>
      <c r="C216" s="1"/>
      <c r="D216" s="1"/>
      <c r="E216" s="1"/>
      <c r="F216" s="1"/>
      <c r="G216" s="1"/>
      <c r="H216" s="1"/>
      <c r="I216" s="1"/>
      <c r="J216" s="1"/>
      <c r="K216" s="66"/>
      <c r="L216" s="66"/>
      <c r="M216" s="66"/>
      <c r="N216" s="66"/>
      <c r="O216" s="2"/>
      <c r="P216" s="84"/>
    </row>
    <row r="217" spans="2:16" x14ac:dyDescent="0.25">
      <c r="B217" s="83"/>
      <c r="C217" s="52" t="s">
        <v>31</v>
      </c>
      <c r="D217" s="25"/>
      <c r="E217" s="25"/>
      <c r="F217" s="25"/>
      <c r="G217" s="1"/>
      <c r="H217" s="1"/>
      <c r="I217" s="1"/>
      <c r="J217" s="1"/>
      <c r="K217" s="66"/>
      <c r="L217" s="66"/>
      <c r="M217" s="66"/>
      <c r="N217" s="66"/>
      <c r="O217" s="2"/>
      <c r="P217" s="84"/>
    </row>
    <row r="218" spans="2:16" x14ac:dyDescent="0.25">
      <c r="B218" s="83"/>
      <c r="C218" s="53" t="s">
        <v>75</v>
      </c>
      <c r="D218" s="1"/>
      <c r="E218" s="1"/>
      <c r="F218" s="1"/>
      <c r="G218" s="1"/>
      <c r="H218" s="1"/>
      <c r="I218" s="1"/>
      <c r="J218" s="1"/>
      <c r="K218" s="66"/>
      <c r="L218" s="66"/>
      <c r="M218" s="66"/>
      <c r="N218" s="66"/>
      <c r="O218" s="2"/>
      <c r="P218" s="84"/>
    </row>
    <row r="219" spans="2:16" x14ac:dyDescent="0.25">
      <c r="B219" s="83"/>
      <c r="C219" s="56"/>
      <c r="D219" s="1"/>
      <c r="E219" s="1"/>
      <c r="F219" s="1"/>
      <c r="G219" s="1"/>
      <c r="H219" s="1"/>
      <c r="I219" s="1"/>
      <c r="J219" s="1"/>
      <c r="K219" s="66"/>
      <c r="L219" s="66"/>
      <c r="M219" s="66"/>
      <c r="N219" s="66"/>
      <c r="O219" s="2"/>
      <c r="P219" s="84"/>
    </row>
    <row r="220" spans="2:16" ht="12.6" customHeight="1" x14ac:dyDescent="0.25">
      <c r="B220" s="83"/>
      <c r="C220" s="83"/>
      <c r="D220" s="1" t="s">
        <v>73</v>
      </c>
      <c r="E220" s="1"/>
      <c r="F220" s="269"/>
      <c r="G220" s="278"/>
      <c r="H220" s="278"/>
      <c r="I220" s="278"/>
      <c r="J220" s="278"/>
      <c r="K220" s="278"/>
      <c r="L220" s="278"/>
      <c r="M220" s="278"/>
      <c r="N220" s="278"/>
      <c r="O220" s="279"/>
      <c r="P220" s="124" t="str">
        <f ca="1">IF(AND(F220="",N102&lt;&gt;""),"**","")</f>
        <v/>
      </c>
    </row>
    <row r="221" spans="2:16" x14ac:dyDescent="0.25">
      <c r="B221" s="83"/>
      <c r="C221" s="83"/>
      <c r="D221" s="55"/>
      <c r="E221" s="55"/>
      <c r="F221" s="280"/>
      <c r="G221" s="281"/>
      <c r="H221" s="281"/>
      <c r="I221" s="281"/>
      <c r="J221" s="281"/>
      <c r="K221" s="281"/>
      <c r="L221" s="281"/>
      <c r="M221" s="281"/>
      <c r="N221" s="281"/>
      <c r="O221" s="282"/>
      <c r="P221" s="84"/>
    </row>
    <row r="222" spans="2:16" x14ac:dyDescent="0.25">
      <c r="B222" s="83"/>
      <c r="C222" s="83"/>
      <c r="D222" s="1"/>
      <c r="E222" s="1"/>
      <c r="F222" s="280"/>
      <c r="G222" s="281"/>
      <c r="H222" s="281"/>
      <c r="I222" s="281"/>
      <c r="J222" s="281"/>
      <c r="K222" s="281"/>
      <c r="L222" s="281"/>
      <c r="M222" s="281"/>
      <c r="N222" s="281"/>
      <c r="O222" s="282"/>
      <c r="P222" s="84"/>
    </row>
    <row r="223" spans="2:16" x14ac:dyDescent="0.25">
      <c r="B223" s="83"/>
      <c r="C223" s="83"/>
      <c r="D223" s="55"/>
      <c r="E223" s="55"/>
      <c r="F223" s="280"/>
      <c r="G223" s="281"/>
      <c r="H223" s="281"/>
      <c r="I223" s="281"/>
      <c r="J223" s="281"/>
      <c r="K223" s="281"/>
      <c r="L223" s="281"/>
      <c r="M223" s="281"/>
      <c r="N223" s="281"/>
      <c r="O223" s="282"/>
      <c r="P223" s="84"/>
    </row>
    <row r="224" spans="2:16" x14ac:dyDescent="0.25">
      <c r="B224" s="83"/>
      <c r="C224" s="83"/>
      <c r="D224" s="1"/>
      <c r="E224" s="1"/>
      <c r="F224" s="283"/>
      <c r="G224" s="284"/>
      <c r="H224" s="284"/>
      <c r="I224" s="284"/>
      <c r="J224" s="284"/>
      <c r="K224" s="284"/>
      <c r="L224" s="284"/>
      <c r="M224" s="284"/>
      <c r="N224" s="284"/>
      <c r="O224" s="285"/>
      <c r="P224" s="84"/>
    </row>
    <row r="225" spans="2:16" x14ac:dyDescent="0.25">
      <c r="B225" s="83"/>
      <c r="C225" s="83"/>
      <c r="D225" s="1"/>
      <c r="E225" s="1"/>
      <c r="F225" s="1"/>
      <c r="G225" s="1"/>
      <c r="H225" s="1"/>
      <c r="I225" s="1"/>
      <c r="J225" s="1"/>
      <c r="K225" s="66"/>
      <c r="L225" s="66"/>
      <c r="M225" s="66"/>
      <c r="N225" s="66"/>
      <c r="O225" s="2"/>
      <c r="P225" s="84"/>
    </row>
    <row r="226" spans="2:16" ht="12.6" customHeight="1" x14ac:dyDescent="0.25">
      <c r="B226" s="83"/>
      <c r="C226" s="83"/>
      <c r="D226" s="1" t="s">
        <v>70</v>
      </c>
      <c r="E226" s="1"/>
      <c r="F226" s="269"/>
      <c r="G226" s="278"/>
      <c r="H226" s="278"/>
      <c r="I226" s="278"/>
      <c r="J226" s="278"/>
      <c r="K226" s="278"/>
      <c r="L226" s="278"/>
      <c r="M226" s="278"/>
      <c r="N226" s="278"/>
      <c r="O226" s="279"/>
      <c r="P226" s="124" t="str">
        <f ca="1">IF(AND(F226="",N126&lt;&gt;""),"**","")</f>
        <v/>
      </c>
    </row>
    <row r="227" spans="2:16" x14ac:dyDescent="0.25">
      <c r="B227" s="83"/>
      <c r="C227" s="55"/>
      <c r="D227" s="55"/>
      <c r="E227" s="55"/>
      <c r="F227" s="280"/>
      <c r="G227" s="281"/>
      <c r="H227" s="281"/>
      <c r="I227" s="281"/>
      <c r="J227" s="281"/>
      <c r="K227" s="281"/>
      <c r="L227" s="281"/>
      <c r="M227" s="281"/>
      <c r="N227" s="281"/>
      <c r="O227" s="282"/>
      <c r="P227" s="84"/>
    </row>
    <row r="228" spans="2:16" x14ac:dyDescent="0.25">
      <c r="B228" s="83"/>
      <c r="C228" s="1"/>
      <c r="D228" s="1"/>
      <c r="E228" s="1"/>
      <c r="F228" s="280"/>
      <c r="G228" s="281"/>
      <c r="H228" s="281"/>
      <c r="I228" s="281"/>
      <c r="J228" s="281"/>
      <c r="K228" s="281"/>
      <c r="L228" s="281"/>
      <c r="M228" s="281"/>
      <c r="N228" s="281"/>
      <c r="O228" s="282"/>
      <c r="P228" s="84"/>
    </row>
    <row r="229" spans="2:16" x14ac:dyDescent="0.25">
      <c r="B229" s="83"/>
      <c r="C229" s="55"/>
      <c r="D229" s="55"/>
      <c r="E229" s="55"/>
      <c r="F229" s="280"/>
      <c r="G229" s="281"/>
      <c r="H229" s="281"/>
      <c r="I229" s="281"/>
      <c r="J229" s="281"/>
      <c r="K229" s="281"/>
      <c r="L229" s="281"/>
      <c r="M229" s="281"/>
      <c r="N229" s="281"/>
      <c r="O229" s="282"/>
      <c r="P229" s="84"/>
    </row>
    <row r="230" spans="2:16" x14ac:dyDescent="0.25">
      <c r="B230" s="83"/>
      <c r="C230" s="1"/>
      <c r="D230" s="1"/>
      <c r="E230" s="1"/>
      <c r="F230" s="283"/>
      <c r="G230" s="284"/>
      <c r="H230" s="284"/>
      <c r="I230" s="284"/>
      <c r="J230" s="284"/>
      <c r="K230" s="284"/>
      <c r="L230" s="284"/>
      <c r="M230" s="284"/>
      <c r="N230" s="284"/>
      <c r="O230" s="285"/>
      <c r="P230" s="84"/>
    </row>
    <row r="231" spans="2:16" x14ac:dyDescent="0.25">
      <c r="B231" s="83"/>
      <c r="C231" s="83"/>
      <c r="D231" s="83"/>
      <c r="E231" s="83"/>
      <c r="F231" s="83"/>
      <c r="G231" s="83"/>
      <c r="H231" s="83"/>
      <c r="I231" s="83"/>
      <c r="J231" s="83"/>
      <c r="K231" s="86"/>
      <c r="L231" s="86"/>
      <c r="M231" s="86"/>
      <c r="N231" s="86"/>
      <c r="O231" s="84"/>
      <c r="P231" s="84"/>
    </row>
    <row r="232" spans="2:16" x14ac:dyDescent="0.25">
      <c r="B232" s="83"/>
      <c r="C232" s="52" t="s">
        <v>16</v>
      </c>
      <c r="D232" s="25"/>
      <c r="E232" s="25"/>
      <c r="F232" s="25"/>
      <c r="G232" s="55"/>
      <c r="H232" s="55"/>
      <c r="I232" s="55"/>
      <c r="J232" s="55"/>
      <c r="K232" s="75"/>
      <c r="L232" s="75"/>
      <c r="M232" s="75"/>
      <c r="N232" s="75"/>
      <c r="O232" s="4"/>
      <c r="P232" s="84"/>
    </row>
    <row r="233" spans="2:16" x14ac:dyDescent="0.25">
      <c r="B233" s="83"/>
      <c r="C233" s="53" t="s">
        <v>92</v>
      </c>
      <c r="D233" s="1"/>
      <c r="E233" s="1"/>
      <c r="F233" s="1"/>
      <c r="G233" s="57"/>
      <c r="H233" s="57"/>
      <c r="I233" s="57"/>
      <c r="J233" s="57"/>
      <c r="K233" s="76"/>
      <c r="L233" s="76"/>
      <c r="M233" s="76"/>
      <c r="N233" s="76"/>
      <c r="O233" s="5"/>
      <c r="P233" s="84"/>
    </row>
    <row r="234" spans="2:16" x14ac:dyDescent="0.25">
      <c r="B234" s="83"/>
      <c r="C234" s="54"/>
      <c r="D234" s="1"/>
      <c r="E234" s="1"/>
      <c r="F234" s="1"/>
      <c r="G234" s="57"/>
      <c r="H234" s="57"/>
      <c r="I234" s="57"/>
      <c r="J234" s="57"/>
      <c r="K234" s="76"/>
      <c r="L234" s="76"/>
      <c r="M234" s="76"/>
      <c r="N234" s="76"/>
      <c r="O234" s="5"/>
      <c r="P234" s="84"/>
    </row>
    <row r="235" spans="2:16" x14ac:dyDescent="0.25">
      <c r="B235" s="83"/>
      <c r="C235" s="83"/>
      <c r="D235" s="1" t="s">
        <v>74</v>
      </c>
      <c r="E235" s="1"/>
      <c r="F235" s="269"/>
      <c r="G235" s="278"/>
      <c r="H235" s="278"/>
      <c r="I235" s="278"/>
      <c r="J235" s="278"/>
      <c r="K235" s="278"/>
      <c r="L235" s="278"/>
      <c r="M235" s="278"/>
      <c r="N235" s="278"/>
      <c r="O235" s="279"/>
      <c r="P235" s="124" t="str">
        <f ca="1">IF(AND(F235="",N163&lt;&gt;""),"**","")</f>
        <v/>
      </c>
    </row>
    <row r="236" spans="2:16" x14ac:dyDescent="0.25">
      <c r="B236" s="83"/>
      <c r="C236" s="83"/>
      <c r="D236" s="55"/>
      <c r="E236" s="55"/>
      <c r="F236" s="280"/>
      <c r="G236" s="281"/>
      <c r="H236" s="281"/>
      <c r="I236" s="281"/>
      <c r="J236" s="281"/>
      <c r="K236" s="281"/>
      <c r="L236" s="281"/>
      <c r="M236" s="281"/>
      <c r="N236" s="281"/>
      <c r="O236" s="282"/>
      <c r="P236" s="84"/>
    </row>
    <row r="237" spans="2:16" x14ac:dyDescent="0.25">
      <c r="B237" s="83"/>
      <c r="C237" s="83"/>
      <c r="D237" s="1"/>
      <c r="E237" s="1"/>
      <c r="F237" s="283"/>
      <c r="G237" s="284"/>
      <c r="H237" s="284"/>
      <c r="I237" s="284"/>
      <c r="J237" s="284"/>
      <c r="K237" s="284"/>
      <c r="L237" s="284"/>
      <c r="M237" s="284"/>
      <c r="N237" s="284"/>
      <c r="O237" s="285"/>
      <c r="P237" s="84"/>
    </row>
    <row r="238" spans="2:16" x14ac:dyDescent="0.25">
      <c r="B238" s="83"/>
      <c r="C238" s="29"/>
      <c r="D238" s="29"/>
      <c r="E238" s="29"/>
      <c r="F238" s="101"/>
      <c r="G238" s="57"/>
      <c r="H238" s="57"/>
      <c r="I238" s="57"/>
      <c r="J238" s="57"/>
      <c r="K238" s="76"/>
      <c r="L238" s="76"/>
      <c r="M238" s="76"/>
      <c r="N238" s="76"/>
      <c r="O238" s="5"/>
      <c r="P238" s="84"/>
    </row>
    <row r="239" spans="2:16" x14ac:dyDescent="0.25">
      <c r="B239" s="83"/>
      <c r="C239" s="52" t="s">
        <v>68</v>
      </c>
      <c r="D239" s="25"/>
      <c r="E239" s="25"/>
      <c r="F239" s="25"/>
      <c r="G239" s="25"/>
      <c r="H239" s="25"/>
      <c r="I239" s="1"/>
      <c r="J239" s="1"/>
      <c r="K239" s="66"/>
      <c r="L239" s="66"/>
      <c r="M239" s="66"/>
      <c r="N239" s="66"/>
      <c r="O239" s="2"/>
      <c r="P239" s="84"/>
    </row>
    <row r="240" spans="2:16" x14ac:dyDescent="0.25">
      <c r="B240" s="83"/>
      <c r="C240" s="53" t="s">
        <v>69</v>
      </c>
      <c r="D240" s="1"/>
      <c r="E240" s="1"/>
      <c r="F240" s="1"/>
      <c r="G240" s="1"/>
      <c r="H240" s="1"/>
      <c r="I240" s="1"/>
      <c r="J240" s="1"/>
      <c r="K240" s="66"/>
      <c r="L240" s="66"/>
      <c r="M240" s="66"/>
      <c r="N240" s="66"/>
      <c r="O240" s="2"/>
      <c r="P240" s="84"/>
    </row>
    <row r="241" spans="2:18" x14ac:dyDescent="0.25">
      <c r="B241" s="83"/>
      <c r="C241" s="53"/>
      <c r="D241" s="1"/>
      <c r="E241" s="1"/>
      <c r="F241" s="1"/>
      <c r="G241" s="1"/>
      <c r="H241" s="1"/>
      <c r="I241" s="1"/>
      <c r="J241" s="1"/>
      <c r="K241" s="66"/>
      <c r="L241" s="66"/>
      <c r="M241" s="66"/>
      <c r="N241" s="66"/>
      <c r="O241" s="2"/>
      <c r="P241" s="84"/>
    </row>
    <row r="242" spans="2:18" x14ac:dyDescent="0.25">
      <c r="B242" s="83"/>
      <c r="C242" s="83"/>
      <c r="D242" s="1" t="s">
        <v>70</v>
      </c>
      <c r="E242" s="1"/>
      <c r="F242" s="269"/>
      <c r="G242" s="278"/>
      <c r="H242" s="278"/>
      <c r="I242" s="278"/>
      <c r="J242" s="278"/>
      <c r="K242" s="278"/>
      <c r="L242" s="278"/>
      <c r="M242" s="278"/>
      <c r="N242" s="278"/>
      <c r="O242" s="279"/>
      <c r="P242" s="124" t="str">
        <f ca="1">IF(AND(F242="",N171&lt;&gt;""),"**","")</f>
        <v/>
      </c>
    </row>
    <row r="243" spans="2:18" x14ac:dyDescent="0.25">
      <c r="B243" s="1"/>
      <c r="C243" s="1"/>
      <c r="D243" s="1"/>
      <c r="E243" s="1"/>
      <c r="F243" s="280"/>
      <c r="G243" s="281"/>
      <c r="H243" s="281"/>
      <c r="I243" s="281"/>
      <c r="J243" s="281"/>
      <c r="K243" s="281"/>
      <c r="L243" s="281"/>
      <c r="M243" s="281"/>
      <c r="N243" s="281"/>
      <c r="O243" s="282"/>
      <c r="P243" s="84"/>
    </row>
    <row r="244" spans="2:18" x14ac:dyDescent="0.25">
      <c r="B244" s="1"/>
      <c r="C244" s="1"/>
      <c r="D244" s="1"/>
      <c r="E244" s="1"/>
      <c r="F244" s="283"/>
      <c r="G244" s="284"/>
      <c r="H244" s="284"/>
      <c r="I244" s="284"/>
      <c r="J244" s="284"/>
      <c r="K244" s="284"/>
      <c r="L244" s="284"/>
      <c r="M244" s="284"/>
      <c r="N244" s="284"/>
      <c r="O244" s="285"/>
      <c r="P244" s="84"/>
    </row>
    <row r="245" spans="2:18" x14ac:dyDescent="0.25">
      <c r="B245" s="29"/>
      <c r="C245" s="29"/>
      <c r="D245" s="29"/>
      <c r="E245" s="29"/>
      <c r="F245" s="57"/>
      <c r="G245" s="57"/>
      <c r="H245" s="57"/>
      <c r="I245" s="57"/>
      <c r="J245" s="57"/>
      <c r="K245" s="76"/>
      <c r="L245" s="76"/>
      <c r="M245" s="76"/>
      <c r="N245" s="76"/>
      <c r="O245" s="5"/>
      <c r="P245" s="84"/>
    </row>
    <row r="246" spans="2:18" x14ac:dyDescent="0.25">
      <c r="B246" s="1"/>
      <c r="C246" s="1"/>
      <c r="D246" s="1"/>
      <c r="E246" s="1"/>
      <c r="F246" s="55"/>
      <c r="G246" s="55"/>
      <c r="H246" s="55"/>
      <c r="I246" s="55"/>
      <c r="J246" s="55"/>
      <c r="K246" s="75"/>
      <c r="L246" s="75"/>
      <c r="M246" s="75"/>
      <c r="N246" s="75"/>
      <c r="O246" s="4"/>
      <c r="P246" s="84"/>
    </row>
    <row r="247" spans="2:18" x14ac:dyDescent="0.25">
      <c r="B247" s="58" t="s">
        <v>140</v>
      </c>
      <c r="C247" s="1"/>
      <c r="D247" s="58" t="s">
        <v>105</v>
      </c>
      <c r="E247" s="83"/>
      <c r="F247" s="34"/>
      <c r="G247" s="34"/>
      <c r="H247" s="34"/>
      <c r="I247" s="34"/>
      <c r="J247" s="34"/>
      <c r="K247" s="69"/>
      <c r="L247" s="69"/>
      <c r="M247" s="69"/>
      <c r="N247" s="69"/>
      <c r="O247" s="6"/>
      <c r="P247" s="84"/>
    </row>
    <row r="248" spans="2:18" x14ac:dyDescent="0.25">
      <c r="B248" s="1"/>
      <c r="C248" s="1"/>
      <c r="D248" s="58" t="s">
        <v>106</v>
      </c>
      <c r="E248" s="83"/>
      <c r="F248" s="34"/>
      <c r="G248" s="34"/>
      <c r="H248" s="34"/>
      <c r="I248" s="34"/>
      <c r="J248" s="34"/>
      <c r="K248" s="69"/>
      <c r="L248" s="69"/>
      <c r="M248" s="69"/>
      <c r="N248" s="69"/>
      <c r="O248" s="6"/>
      <c r="P248" s="84"/>
    </row>
    <row r="249" spans="2:18" x14ac:dyDescent="0.25">
      <c r="B249" s="1"/>
      <c r="C249" s="1"/>
      <c r="D249" s="58" t="s">
        <v>107</v>
      </c>
      <c r="E249" s="83"/>
      <c r="F249" s="34"/>
      <c r="G249" s="34"/>
      <c r="H249" s="34"/>
      <c r="I249" s="34"/>
      <c r="J249" s="34"/>
      <c r="K249" s="69"/>
      <c r="L249" s="69"/>
      <c r="M249" s="69"/>
      <c r="N249" s="69"/>
      <c r="O249" s="6"/>
      <c r="P249" s="84"/>
    </row>
    <row r="250" spans="2:18" x14ac:dyDescent="0.25">
      <c r="B250" s="83"/>
      <c r="C250" s="83"/>
      <c r="D250" s="83"/>
      <c r="E250" s="83"/>
      <c r="F250" s="83"/>
      <c r="G250" s="83"/>
      <c r="H250" s="83"/>
      <c r="I250" s="83"/>
      <c r="J250" s="83"/>
      <c r="K250" s="86"/>
      <c r="L250" s="86"/>
      <c r="M250" s="86"/>
      <c r="N250" s="86"/>
      <c r="O250" s="84"/>
      <c r="P250" s="84"/>
    </row>
    <row r="251" spans="2:18" x14ac:dyDescent="0.25">
      <c r="B251" s="83"/>
      <c r="C251" s="83"/>
      <c r="D251" s="113" t="str">
        <f>IF(OR(K$32=F$475,K$32=K$556),"What is the proposed LIHTC Set-Aside Percentage?","")</f>
        <v/>
      </c>
      <c r="E251" s="83"/>
      <c r="F251" s="83"/>
      <c r="G251" s="83"/>
      <c r="H251" s="83"/>
      <c r="I251" s="261" t="s">
        <v>224</v>
      </c>
      <c r="J251" s="261"/>
      <c r="K251" s="261"/>
      <c r="L251" s="86"/>
      <c r="M251" s="86"/>
      <c r="N251" s="86"/>
      <c r="O251" s="84"/>
      <c r="P251" s="84"/>
    </row>
    <row r="252" spans="2:18" x14ac:dyDescent="0.25">
      <c r="B252" s="83"/>
      <c r="C252" s="83"/>
      <c r="D252" s="113" t="str">
        <f>IF(OR(K$32=F$475,K$32=K$556),"Does the proposed Development qualify for a 30% basis boost?","")</f>
        <v/>
      </c>
      <c r="E252" s="83"/>
      <c r="F252" s="83"/>
      <c r="G252" s="83"/>
      <c r="H252" s="83"/>
      <c r="I252" s="263" t="s">
        <v>232</v>
      </c>
      <c r="J252" s="263"/>
      <c r="K252" s="263"/>
      <c r="L252" s="86"/>
      <c r="M252" s="86"/>
      <c r="N252" s="86"/>
      <c r="O252" s="84"/>
      <c r="P252" s="84"/>
    </row>
    <row r="253" spans="2:18" x14ac:dyDescent="0.25">
      <c r="B253" s="83"/>
      <c r="C253" s="83"/>
      <c r="D253" s="83"/>
      <c r="E253" s="83"/>
      <c r="F253" s="83"/>
      <c r="G253" s="83"/>
      <c r="H253" s="83"/>
      <c r="I253" s="83"/>
      <c r="J253" s="83"/>
      <c r="K253" s="86"/>
      <c r="L253" s="86"/>
      <c r="M253" s="86"/>
      <c r="N253" s="86"/>
      <c r="O253" s="84"/>
      <c r="P253" s="84"/>
    </row>
    <row r="254" spans="2:18" x14ac:dyDescent="0.25">
      <c r="B254" s="83"/>
      <c r="C254" s="83"/>
      <c r="D254" s="113" t="str">
        <f>IF(OR(K$32=F$475,K$32=K$556),"The minimum amount of 'rehabilitation expenditures' required by IRC/FHFC during any 24-month period is met if (i) the total 'rehabilitation ","")</f>
        <v/>
      </c>
      <c r="E254" s="83"/>
      <c r="F254" s="83"/>
      <c r="G254" s="83"/>
      <c r="H254" s="83"/>
      <c r="I254" s="83"/>
      <c r="J254" s="83"/>
      <c r="K254" s="86"/>
      <c r="L254" s="86"/>
      <c r="M254" s="86"/>
      <c r="N254" s="86"/>
      <c r="O254" s="84"/>
      <c r="P254" s="84"/>
    </row>
    <row r="255" spans="2:18" x14ac:dyDescent="0.25">
      <c r="B255" s="83"/>
      <c r="C255" s="83"/>
      <c r="D255" s="113" t="str">
        <f>IF(OR(K$32=F$475,K$32=K$556),"expenditures' are at least 20 percent of the adjusted basis of the (acquired) building (or "&amp;TEXT(20%*N(N174),"$#,##0")&amp;") and (ii) the qualified basis of the ","")</f>
        <v/>
      </c>
      <c r="E255" s="83"/>
      <c r="F255" s="83"/>
      <c r="G255" s="83"/>
      <c r="H255" s="83"/>
      <c r="I255" s="83"/>
      <c r="J255" s="83"/>
      <c r="K255" s="86"/>
      <c r="L255" s="86"/>
      <c r="M255" s="86"/>
      <c r="N255" s="86"/>
      <c r="O255" s="84"/>
      <c r="P255" s="84"/>
      <c r="Q255" s="146" t="str">
        <f>IF(OR(K32="Rehabilitation (w/ or w/o Acquisition)",K32="Preservation (w/ or w/o Acquisition)"),20%*N(N174),"")</f>
        <v/>
      </c>
      <c r="R255" s="113" t="str">
        <f>IF(OR(K32="Rehabilitation (w/ or w/o Acquisition)",K32="Preservation (w/ or w/o Acquisition)"),"= 20 percent of the adjusted basis of the (acquired) building.","")</f>
        <v/>
      </c>
    </row>
    <row r="256" spans="2:18" x14ac:dyDescent="0.25">
      <c r="B256" s="83"/>
      <c r="C256" s="83"/>
      <c r="D256" s="113" t="str">
        <f>IF(OR(K$32=F$475,K$32=K$556),"'rehabilitation expenditures,' when divided by the number of low-income units is $25,000 or more.  Total 'rehabilitation expenditures' are being ","")</f>
        <v/>
      </c>
      <c r="E256" s="83"/>
      <c r="F256" s="83"/>
      <c r="G256" s="83"/>
      <c r="H256" s="83"/>
      <c r="I256" s="83"/>
      <c r="J256" s="83"/>
      <c r="K256" s="86"/>
      <c r="L256" s="86"/>
      <c r="M256" s="86"/>
      <c r="N256" s="86"/>
      <c r="O256" s="84"/>
      <c r="P256" s="84"/>
      <c r="Q256" s="146" t="str">
        <f>IF(OR(K32="Rehabilitation (w/ or w/o Acquisition)",K32="Preservation (w/ or w/o Acquisition)"),N(H176)-N(H174)+N(H182),"")</f>
        <v/>
      </c>
      <c r="R256" s="113" t="str">
        <f>IF(OR(K32="Rehabilitation (w/ or w/o Acquisition)",K32="Preservation (w/ or w/o Acquisition)"),"= The total 'rehabilitation expenditures' of the proposed Development.","")</f>
        <v/>
      </c>
    </row>
    <row r="257" spans="1:35" x14ac:dyDescent="0.25">
      <c r="B257" s="83"/>
      <c r="C257" s="83"/>
      <c r="D257" s="113" t="str">
        <f>IF(OR(K$32=F$475,K$32=K$556),"represented as "&amp;TEXT(N(H176)-N(H174)+N(H182),"$#,##0")&amp;", as well as having "&amp;TEXT(IF(N(K33)*N(I251)/100=0,0,(N(H176)-N(H174)+N(H182))*IF(I252="Yes",1.3,1)*N(I251)/100/ROUNDUP(N(K33)*N(I251)/100,0)),"$#,##0")&amp;" of qualified basis per low-income unit.  (Assumes adjusted basis is the same as ","")</f>
        <v/>
      </c>
      <c r="E257" s="83"/>
      <c r="F257" s="83"/>
      <c r="G257" s="83"/>
      <c r="H257" s="83"/>
      <c r="I257" s="83"/>
      <c r="J257" s="83"/>
      <c r="K257" s="86"/>
      <c r="L257" s="86"/>
      <c r="M257" s="86"/>
      <c r="N257" s="86"/>
      <c r="O257" s="84"/>
      <c r="P257" s="84"/>
      <c r="Q257" s="146" t="str">
        <f>IF(OR(K32="Rehabilitation (w/ or w/o Acquisition)",K32="Preservation (w/ or w/o Acquisition)"),IF(N(K33)*N(I251)/100=0,0,(N(H176)-N(H174)+N(H182))*IF(I252="Yes",1.3,1)*N(I251)/100/ROUNDUP(N(K33)*N(I251)/100,0)),"")</f>
        <v/>
      </c>
      <c r="R257" s="113" t="str">
        <f>IF(OR(K32="Rehabilitation (w/ or w/o Acquisition)",K32="Preservation (w/ or w/o Acquisition)"),"= The qualified basis of the 'rehabilitation expenditures' or the proposed Development divided by the number of low-income units.","")</f>
        <v/>
      </c>
    </row>
    <row r="258" spans="1:35" x14ac:dyDescent="0.25">
      <c r="B258" s="83"/>
      <c r="C258" s="83"/>
      <c r="D258" s="113" t="str">
        <f>IF(OR(K$32=F$475,K$32=K$556),"eligible basis for Application purposes.) ","")</f>
        <v/>
      </c>
      <c r="E258" s="83"/>
      <c r="F258" s="83"/>
      <c r="G258" s="83"/>
      <c r="H258" s="83"/>
      <c r="I258" s="83"/>
      <c r="J258" s="83"/>
      <c r="K258" s="86"/>
      <c r="L258" s="86"/>
      <c r="M258" s="86"/>
      <c r="N258" s="86"/>
      <c r="O258" s="84"/>
      <c r="P258" s="84"/>
    </row>
    <row r="259" spans="1:35" ht="3.75" customHeight="1" thickBot="1" x14ac:dyDescent="0.3">
      <c r="B259" s="83"/>
      <c r="C259" s="83"/>
      <c r="D259" s="83"/>
      <c r="E259" s="83"/>
      <c r="F259" s="83"/>
      <c r="G259" s="83"/>
      <c r="H259" s="83"/>
      <c r="I259" s="83"/>
      <c r="J259" s="83"/>
      <c r="K259" s="86"/>
      <c r="L259" s="86"/>
      <c r="M259" s="86"/>
      <c r="N259" s="86"/>
      <c r="O259" s="84"/>
      <c r="P259" s="84"/>
    </row>
    <row r="260" spans="1:35" ht="3.75" customHeight="1" x14ac:dyDescent="0.25">
      <c r="A260" s="82"/>
      <c r="B260" s="89"/>
      <c r="C260" s="89"/>
      <c r="D260" s="89"/>
      <c r="E260" s="89"/>
      <c r="F260" s="89"/>
      <c r="G260" s="89"/>
      <c r="H260" s="89"/>
      <c r="I260" s="89"/>
      <c r="J260" s="89"/>
      <c r="K260" s="90"/>
      <c r="L260" s="90"/>
      <c r="M260" s="90"/>
      <c r="N260" s="90"/>
      <c r="O260" s="91"/>
      <c r="P260" s="91"/>
      <c r="Q260" s="295" t="s">
        <v>227</v>
      </c>
      <c r="R260" s="296"/>
      <c r="S260" s="296"/>
      <c r="T260" s="296"/>
      <c r="U260" s="296"/>
      <c r="V260" s="296"/>
      <c r="W260" s="296"/>
      <c r="X260" s="296"/>
      <c r="Y260" s="296"/>
      <c r="Z260" s="297"/>
    </row>
    <row r="261" spans="1:35" ht="13.5" customHeight="1" x14ac:dyDescent="0.25">
      <c r="B261" s="64" t="str">
        <f>B$2</f>
        <v>RFA 2021-106 DEVELOPMENT COST PRO FORMA</v>
      </c>
      <c r="C261" s="83"/>
      <c r="D261" s="83"/>
      <c r="E261" s="83"/>
      <c r="F261" s="83"/>
      <c r="G261" s="83"/>
      <c r="H261" s="83"/>
      <c r="I261" s="83"/>
      <c r="J261" s="83"/>
      <c r="K261" s="86"/>
      <c r="L261" s="86"/>
      <c r="M261" s="86"/>
      <c r="N261" s="86"/>
      <c r="O261" s="84"/>
      <c r="P261" s="3" t="s">
        <v>253</v>
      </c>
      <c r="Q261" s="298"/>
      <c r="R261" s="299"/>
      <c r="S261" s="299"/>
      <c r="T261" s="299"/>
      <c r="U261" s="299"/>
      <c r="V261" s="299"/>
      <c r="W261" s="299"/>
      <c r="X261" s="299"/>
      <c r="Y261" s="299"/>
      <c r="Z261" s="300"/>
    </row>
    <row r="262" spans="1:35" x14ac:dyDescent="0.25">
      <c r="B262" s="83"/>
      <c r="C262" s="83"/>
      <c r="D262" s="83"/>
      <c r="E262" s="83"/>
      <c r="F262" s="83"/>
      <c r="G262" s="83"/>
      <c r="H262" s="83"/>
      <c r="I262" s="83"/>
      <c r="J262" s="83"/>
      <c r="K262" s="86"/>
      <c r="L262" s="86"/>
      <c r="M262" s="86"/>
      <c r="N262" s="86"/>
      <c r="O262" s="84"/>
      <c r="P262" s="84"/>
      <c r="Q262" s="298"/>
      <c r="R262" s="299"/>
      <c r="S262" s="299"/>
      <c r="T262" s="299"/>
      <c r="U262" s="299"/>
      <c r="V262" s="299"/>
      <c r="W262" s="299"/>
      <c r="X262" s="299"/>
      <c r="Y262" s="299"/>
      <c r="Z262" s="300"/>
    </row>
    <row r="263" spans="1:35" ht="13.8" thickBot="1" x14ac:dyDescent="0.3">
      <c r="B263" s="83"/>
      <c r="C263" s="83"/>
      <c r="D263" s="83"/>
      <c r="E263" s="83"/>
      <c r="F263" s="83"/>
      <c r="G263" s="83"/>
      <c r="H263" s="83"/>
      <c r="I263" s="83"/>
      <c r="J263" s="83"/>
      <c r="K263" s="86"/>
      <c r="L263" s="86"/>
      <c r="M263" s="86"/>
      <c r="N263" s="86"/>
      <c r="O263" s="84"/>
      <c r="P263" s="84"/>
      <c r="Q263" s="301"/>
      <c r="R263" s="302"/>
      <c r="S263" s="302"/>
      <c r="T263" s="302"/>
      <c r="U263" s="302"/>
      <c r="V263" s="302"/>
      <c r="W263" s="302"/>
      <c r="X263" s="302"/>
      <c r="Y263" s="302"/>
      <c r="Z263" s="303"/>
    </row>
    <row r="264" spans="1:35" x14ac:dyDescent="0.25">
      <c r="B264" s="25" t="s">
        <v>103</v>
      </c>
      <c r="C264" s="1"/>
      <c r="D264" s="1"/>
      <c r="E264" s="1"/>
      <c r="F264" s="1"/>
      <c r="G264" s="1"/>
      <c r="H264" s="1"/>
      <c r="I264" s="1"/>
      <c r="J264" s="1"/>
      <c r="K264" s="77"/>
      <c r="L264" s="70"/>
      <c r="M264" s="70"/>
      <c r="N264" s="86"/>
      <c r="O264" s="84"/>
      <c r="P264" s="84"/>
      <c r="Q264" s="235" t="str">
        <f>IF(K$34=N$473,"",IF(K$34=N$475,"(The appropriate selection option from the drop-down menu option for LENDER/TYPE OF FUNDS offered by FHFC for the PDD demographic commitment is ""FHFC - Grant"")","(The appropriate selection options from the drop-down menu for LENDER/TYPE OF FUNDS offered by FHFC for the PDC demographic commitment include FHFC - SAIL and FHFC - SAIL ELI)"))</f>
        <v/>
      </c>
    </row>
    <row r="265" spans="1:35" x14ac:dyDescent="0.25">
      <c r="B265" s="25"/>
      <c r="C265" s="1"/>
      <c r="D265" s="1"/>
      <c r="E265" s="1"/>
      <c r="F265" s="1"/>
      <c r="G265" s="1"/>
      <c r="H265" s="59" t="s">
        <v>76</v>
      </c>
      <c r="I265" s="59"/>
      <c r="J265" s="1"/>
      <c r="K265" s="264" t="s">
        <v>322</v>
      </c>
      <c r="L265" s="264"/>
      <c r="M265" s="264"/>
      <c r="N265" s="264"/>
      <c r="O265" s="84"/>
      <c r="P265" s="203"/>
      <c r="R265" s="128"/>
      <c r="S265" s="128"/>
      <c r="T265" s="220"/>
      <c r="U265" s="220"/>
      <c r="V265" s="220"/>
      <c r="W265" s="220"/>
      <c r="X265" s="220"/>
      <c r="Y265" s="220"/>
      <c r="Z265" s="220"/>
      <c r="AA265" s="128"/>
      <c r="AB265" s="128"/>
      <c r="AC265" s="128"/>
      <c r="AD265" s="128"/>
      <c r="AE265" s="128"/>
      <c r="AF265" s="128"/>
      <c r="AG265" s="128"/>
      <c r="AH265" s="128"/>
    </row>
    <row r="266" spans="1:35" x14ac:dyDescent="0.25">
      <c r="B266" s="1"/>
      <c r="C266" s="1"/>
      <c r="D266" s="1"/>
      <c r="E266" s="1"/>
      <c r="F266" s="1"/>
      <c r="G266" s="1"/>
      <c r="H266" s="1"/>
      <c r="I266" s="1"/>
      <c r="J266" s="1"/>
      <c r="K266" s="66"/>
      <c r="L266" s="66"/>
      <c r="M266" s="66"/>
      <c r="N266" s="86"/>
      <c r="O266" s="209"/>
      <c r="P266" s="209"/>
      <c r="Q266" s="209"/>
      <c r="R266" s="226" t="str">
        <f>IF(K$34=N$474,"● SAIL Loan",IF(K$34=N$475,"● Grant","● Funding"))&amp;" Request Amount Limits (the lesser of the following):"</f>
        <v>● Funding Request Amount Limits (the lesser of the following):</v>
      </c>
      <c r="S266" s="227"/>
      <c r="T266"/>
      <c r="U266"/>
      <c r="V266"/>
      <c r="W266"/>
      <c r="X266"/>
      <c r="Y266"/>
      <c r="Z266"/>
      <c r="AA266"/>
      <c r="AB266"/>
      <c r="AC266" s="128"/>
      <c r="AD266" s="128"/>
      <c r="AE266" s="128"/>
      <c r="AF266" s="128"/>
      <c r="AG266" s="128"/>
      <c r="AH266" s="128"/>
    </row>
    <row r="267" spans="1:35" ht="12.75" customHeight="1" x14ac:dyDescent="0.25">
      <c r="B267" s="32" t="s">
        <v>86</v>
      </c>
      <c r="C267" s="25" t="s">
        <v>85</v>
      </c>
      <c r="D267" s="1"/>
      <c r="E267" s="1"/>
      <c r="F267" s="1"/>
      <c r="G267" s="32" t="s">
        <v>9</v>
      </c>
      <c r="H267" s="67" t="str">
        <f ca="1">IF(N193="","",N193)</f>
        <v/>
      </c>
      <c r="I267" s="1"/>
      <c r="J267" s="38"/>
      <c r="O267" s="209"/>
      <c r="P267" s="209"/>
      <c r="Q267" s="209"/>
      <c r="R267" s="293" t="str">
        <f>IF(K$34=N$473,"TBD",IF(K$34=N$474,H$552,"No Per Unit Limits"))</f>
        <v>TBD</v>
      </c>
      <c r="S267" s="293"/>
      <c r="T267" s="293"/>
      <c r="U267" s="239" t="str">
        <f>IF(K$34=N$475,"There is no Per Unit limit for Grant funding for Applicants that commit to the Persons with Developmental Disabilities demographic.",IF(N(SUMIF(K271:K289,$K$528,H271:H289))=0,"Maximum allowed is "&amp;TEXT($R267,"$#,##0")&amp;" per Unit; "&amp;IF(N(K$33)=0,"Applicant needs to enter total units in Cell K33 to verify compliance.","or a total of "&amp;TEXT(N(K$33)*N($R267),"$#,##0")&amp;" based on the "&amp;TEXT(N(K$33),"0")&amp;" Total Units indicated."),IF(N(K$33)=0,"Please enter total units in Cell K33.","The SAIL Loan Request entered is equal to "&amp;TEXT(N(SUMIF(K271:K289,$K$528,H271:H289))/N(K$33),"$#,##0.00")&amp;" per Unit, which is "&amp;IF(N(SUMIF(K271:K289,$K$528,H271:H289))/N(K$33)&gt;N($R267),"greater than allowed per the RFA (a total of "&amp;TEXT(N(R267)*N(K$33),"$#,##0")&amp;").","within the per Unit limitation (a total of "&amp;TEXT(N(R267)*N(K$33),"$#,##0")&amp;")."))))</f>
        <v>Maximum allowed is TBD per Unit; Applicant needs to enter total units in Cell K33 to verify compliance.</v>
      </c>
      <c r="V267" s="227"/>
      <c r="W267" s="227"/>
      <c r="X267" s="227"/>
      <c r="Y267" s="227"/>
      <c r="Z267" s="227"/>
      <c r="AA267" s="227"/>
      <c r="AB267" s="227"/>
      <c r="AC267" s="128"/>
      <c r="AD267" s="128"/>
      <c r="AE267" s="128"/>
      <c r="AF267" s="128"/>
      <c r="AG267" s="128"/>
      <c r="AH267" s="128"/>
    </row>
    <row r="268" spans="1:35" x14ac:dyDescent="0.25">
      <c r="B268" s="1"/>
      <c r="C268" s="1"/>
      <c r="D268" s="1"/>
      <c r="E268" s="1"/>
      <c r="F268" s="1"/>
      <c r="G268" s="1"/>
      <c r="H268" s="8"/>
      <c r="I268" s="1"/>
      <c r="J268" s="38"/>
      <c r="K268" s="44"/>
      <c r="L268" s="44"/>
      <c r="M268" s="44"/>
      <c r="N268" s="86"/>
      <c r="O268" s="209"/>
      <c r="P268" s="209"/>
      <c r="Q268" s="209"/>
      <c r="R268" s="294" t="str">
        <f>IF(K$34=N$473,"TBD",IF(K$34=N$474,H$553,H$555))</f>
        <v>TBD</v>
      </c>
      <c r="S268" s="294"/>
      <c r="T268" s="294"/>
      <c r="U268" s="228" t="str">
        <f>IF(N(SUMIF(K271:K289,$K$528,H271:H289))=0,"Maximum allowed is "&amp;TEXT($R$268,"$#,##0")&amp;IF(K$34=N$475," of FHFC - Legislative Appropriations (i.e., Grant) funding.",", inclusive of both SAIL and SAIL-ELI funding."),"The SAIL Loan and the SAIL ELI Loan Request amounts entered is "&amp;IF(N(SUMIF(K271:K289,$K$528,H271:H289))+N(SUMIF(K271:K289,$K$529,H271:H289))&gt;$R$268,"greater than allowed per the RFA.","within the per Development limitation."))</f>
        <v>Maximum allowed is TBD, inclusive of both SAIL and SAIL-ELI funding.</v>
      </c>
      <c r="V268"/>
      <c r="W268"/>
      <c r="X268"/>
      <c r="Y268"/>
      <c r="Z268"/>
      <c r="AA268"/>
      <c r="AB268"/>
      <c r="AC268" s="128"/>
      <c r="AD268" s="220"/>
      <c r="AE268" s="220"/>
      <c r="AF268" s="220"/>
      <c r="AG268" s="220"/>
      <c r="AH268" s="220"/>
      <c r="AI268" s="220"/>
    </row>
    <row r="269" spans="1:35" x14ac:dyDescent="0.25">
      <c r="B269" s="32" t="s">
        <v>84</v>
      </c>
      <c r="C269" s="25" t="s">
        <v>110</v>
      </c>
      <c r="D269" s="1"/>
      <c r="E269" s="1"/>
      <c r="F269" s="1"/>
      <c r="G269" s="1"/>
      <c r="H269" s="8"/>
      <c r="I269" s="1"/>
      <c r="J269" s="38"/>
      <c r="K269" s="44"/>
      <c r="L269" s="44"/>
      <c r="M269" s="44"/>
      <c r="N269" s="86"/>
      <c r="O269" s="209"/>
      <c r="P269" s="209"/>
      <c r="Q269" s="216" t="s">
        <v>331</v>
      </c>
      <c r="R269" t="str">
        <f>IF(K$34=N$474,"Your maximum SAIL Request Amount is "&amp;TEXT(MIN(N(R268),N(R268)-N(SUMIF(K271:K289,$K$528,H271:H289))),"$#,##0")&amp;" and you've entered "&amp;TEXT(SUMIF(K271:K289,$K$527,H271:H289),"$#,##0")&amp;" during the construction phase, which is a Request Amount that is"&amp;IF(SUMIF(K271:K289,$K$527,H271:H289)&gt;MIN(N(R268),N(R268)-N(SUMIF(K271:K289,$K$528,H271:H289)))," NOT","")&amp;" within the RFA limit for SAIL funding.","")</f>
        <v/>
      </c>
      <c r="S269"/>
      <c r="T269"/>
      <c r="U269"/>
      <c r="V269"/>
      <c r="W269"/>
      <c r="X269"/>
      <c r="Y269"/>
      <c r="Z269"/>
      <c r="AA269"/>
      <c r="AB269"/>
      <c r="AC269" s="128"/>
      <c r="AD269" s="220"/>
      <c r="AE269" s="220"/>
      <c r="AF269" s="220"/>
      <c r="AG269" s="220"/>
      <c r="AH269" s="220"/>
      <c r="AI269" s="220"/>
    </row>
    <row r="270" spans="1:35" x14ac:dyDescent="0.25">
      <c r="B270" s="1"/>
      <c r="C270" s="1"/>
      <c r="D270" s="1"/>
      <c r="E270" s="1"/>
      <c r="F270" s="1"/>
      <c r="G270" s="48"/>
      <c r="H270" s="60"/>
      <c r="I270" s="1"/>
      <c r="J270" s="38"/>
      <c r="K270" s="44"/>
      <c r="L270" s="44"/>
      <c r="M270" s="44"/>
      <c r="N270" s="86"/>
      <c r="O270" s="209"/>
      <c r="P270" s="209"/>
      <c r="Q270" s="209"/>
      <c r="R270"/>
      <c r="S270"/>
      <c r="T270"/>
      <c r="U270"/>
      <c r="V270"/>
      <c r="W270"/>
      <c r="X270"/>
      <c r="Y270"/>
      <c r="Z270"/>
      <c r="AA270"/>
      <c r="AB270"/>
      <c r="AC270" s="128"/>
      <c r="AD270" s="220"/>
      <c r="AE270" s="220"/>
      <c r="AF270" s="220"/>
      <c r="AG270" s="220"/>
      <c r="AH270" s="220"/>
      <c r="AI270" s="220"/>
    </row>
    <row r="271" spans="1:35" ht="12.75" customHeight="1" x14ac:dyDescent="0.25">
      <c r="B271" s="109">
        <f>MAX(B$270:B270)+1</f>
        <v>1</v>
      </c>
      <c r="C271" s="1" t="s">
        <v>78</v>
      </c>
      <c r="D271" s="1"/>
      <c r="E271" s="1"/>
      <c r="F271" s="1"/>
      <c r="G271" s="48" t="s">
        <v>9</v>
      </c>
      <c r="H271" s="79"/>
      <c r="I271" s="1"/>
      <c r="J271" s="38"/>
      <c r="K271" s="252" t="s">
        <v>232</v>
      </c>
      <c r="L271" s="252"/>
      <c r="M271" s="252"/>
      <c r="N271" s="252"/>
      <c r="O271" s="209"/>
      <c r="P271" s="209"/>
      <c r="Q271" s="217">
        <f>IF(N(K$33)=0,0,N(H271)/K$33)</f>
        <v>0</v>
      </c>
      <c r="R271" s="226" t="s">
        <v>430</v>
      </c>
      <c r="S271"/>
      <c r="T271"/>
      <c r="U271"/>
      <c r="V271"/>
      <c r="W271"/>
      <c r="X271"/>
      <c r="Y271"/>
      <c r="Z271"/>
      <c r="AA271"/>
      <c r="AB271"/>
      <c r="AC271" s="128"/>
      <c r="AD271" s="220"/>
      <c r="AE271" s="220"/>
      <c r="AF271" s="220"/>
      <c r="AG271" s="220"/>
      <c r="AH271" s="220"/>
      <c r="AI271" s="220"/>
    </row>
    <row r="272" spans="1:35" ht="12.75" customHeight="1" x14ac:dyDescent="0.25">
      <c r="B272" s="108"/>
      <c r="C272" s="1"/>
      <c r="D272" s="1"/>
      <c r="E272" s="1"/>
      <c r="F272" s="1"/>
      <c r="G272" s="48"/>
      <c r="H272" s="60"/>
      <c r="I272" s="1"/>
      <c r="J272" s="38"/>
      <c r="K272" s="44"/>
      <c r="L272" s="44"/>
      <c r="M272" s="44"/>
      <c r="N272" s="86"/>
      <c r="O272" s="209"/>
      <c r="P272" s="209"/>
      <c r="Q272" s="209"/>
      <c r="R272" s="245" t="str">
        <f>IF(K$34=N$475,"Applicants that commit to the Persons with Developmental Disabilities or choose Average Income Test as the IRS minimum Set-Aside Commitment are NOT eligible for ELI funding.","Maximum dependent upon location (county) and unit mix.  Please use the RFA 2021-106 ELI Maximum Determination Worksheet to assist with an ELI Set-Aside per unit maximum.  Regardless, the maximum per Development is "&amp;TEXT($H$551,"$#,##0")&amp;".  If the Applicant elected the Average Income Test for the IRS minimum set-aside commitment, it is not eligible for any SAIL-ELI funding.")</f>
        <v>Maximum dependent upon location (county) and unit mix.  Please use the RFA 2021-106 ELI Maximum Determination Worksheet to assist with an ELI Set-Aside per unit maximum.  Regardless, the maximum per Development is $600,000.  If the Applicant elected the Average Income Test for the IRS minimum set-aside commitment, it is not eligible for any SAIL-ELI funding.</v>
      </c>
      <c r="S272" s="245"/>
      <c r="T272" s="245"/>
      <c r="U272" s="245"/>
      <c r="V272" s="245"/>
      <c r="W272" s="245"/>
      <c r="X272" s="245"/>
      <c r="Y272" s="245"/>
      <c r="Z272" s="245"/>
      <c r="AA272" s="245"/>
      <c r="AB272" s="245"/>
      <c r="AC272" s="128"/>
      <c r="AD272" s="220"/>
      <c r="AE272" s="220"/>
      <c r="AF272" s="220"/>
      <c r="AG272" s="220"/>
      <c r="AH272" s="220"/>
      <c r="AI272" s="220"/>
    </row>
    <row r="273" spans="2:35" x14ac:dyDescent="0.25">
      <c r="B273" s="109">
        <f>MAX(B$270:B272)+1</f>
        <v>2</v>
      </c>
      <c r="C273" s="1" t="s">
        <v>79</v>
      </c>
      <c r="D273" s="1"/>
      <c r="E273" s="1"/>
      <c r="F273" s="1"/>
      <c r="G273" s="48" t="s">
        <v>9</v>
      </c>
      <c r="H273" s="79"/>
      <c r="I273" s="1"/>
      <c r="J273" s="38"/>
      <c r="K273" s="252" t="s">
        <v>232</v>
      </c>
      <c r="L273" s="252"/>
      <c r="M273" s="252"/>
      <c r="N273" s="252"/>
      <c r="O273" s="209"/>
      <c r="P273" s="209"/>
      <c r="Q273" s="217">
        <f>IF(N(K$33)=0,0,N(H273)/K$33)</f>
        <v>0</v>
      </c>
      <c r="R273" s="246"/>
      <c r="S273" s="246"/>
      <c r="T273" s="246"/>
      <c r="U273" s="246"/>
      <c r="V273" s="246"/>
      <c r="W273" s="246"/>
      <c r="X273" s="246"/>
      <c r="Y273" s="246"/>
      <c r="Z273" s="246"/>
      <c r="AA273" s="246"/>
      <c r="AB273" s="246"/>
      <c r="AC273" s="128"/>
      <c r="AD273" s="220"/>
      <c r="AE273" s="220"/>
      <c r="AF273" s="220"/>
      <c r="AG273" s="220"/>
      <c r="AH273" s="220"/>
      <c r="AI273" s="220"/>
    </row>
    <row r="274" spans="2:35" ht="12.75" customHeight="1" x14ac:dyDescent="0.25">
      <c r="B274" s="1"/>
      <c r="C274" s="1"/>
      <c r="D274" s="1"/>
      <c r="E274" s="1"/>
      <c r="F274" s="1"/>
      <c r="G274" s="48"/>
      <c r="H274" s="60"/>
      <c r="I274" s="1"/>
      <c r="J274" s="38"/>
      <c r="K274" s="44"/>
      <c r="L274" s="44"/>
      <c r="M274" s="44"/>
      <c r="N274" s="86"/>
      <c r="O274" s="209"/>
      <c r="P274" s="209"/>
      <c r="Q274" s="209"/>
      <c r="R274" s="246"/>
      <c r="S274" s="246"/>
      <c r="T274" s="246"/>
      <c r="U274" s="246"/>
      <c r="V274" s="246"/>
      <c r="W274" s="246"/>
      <c r="X274" s="246"/>
      <c r="Y274" s="246"/>
      <c r="Z274" s="246"/>
      <c r="AA274" s="246"/>
      <c r="AB274" s="246"/>
      <c r="AC274" s="128"/>
      <c r="AD274" s="220"/>
      <c r="AE274" s="220"/>
      <c r="AF274" s="220"/>
      <c r="AG274" s="220"/>
      <c r="AH274" s="220"/>
      <c r="AI274" s="220"/>
    </row>
    <row r="275" spans="2:35" x14ac:dyDescent="0.25">
      <c r="B275" s="109">
        <f>MAX(B$270:B274)+1</f>
        <v>3</v>
      </c>
      <c r="C275" s="1" t="s">
        <v>80</v>
      </c>
      <c r="D275" s="1"/>
      <c r="E275" s="1"/>
      <c r="F275" s="1"/>
      <c r="G275" s="48" t="s">
        <v>9</v>
      </c>
      <c r="H275" s="79"/>
      <c r="I275" s="1"/>
      <c r="J275" s="38"/>
      <c r="K275" s="252" t="s">
        <v>232</v>
      </c>
      <c r="L275" s="252"/>
      <c r="M275" s="252"/>
      <c r="N275" s="252"/>
      <c r="O275" s="209"/>
      <c r="P275" s="209"/>
      <c r="Q275" s="217">
        <f>IF(N(K$33)=0,0,N(H275)/K$33)</f>
        <v>0</v>
      </c>
      <c r="AE275" s="220"/>
      <c r="AF275" s="220"/>
      <c r="AG275" s="220"/>
      <c r="AH275" s="220"/>
      <c r="AI275" s="220"/>
    </row>
    <row r="276" spans="2:35" x14ac:dyDescent="0.25">
      <c r="B276" s="1"/>
      <c r="C276" s="1"/>
      <c r="D276" s="1"/>
      <c r="E276" s="1"/>
      <c r="F276" s="1"/>
      <c r="G276" s="48"/>
      <c r="H276" s="60"/>
      <c r="I276" s="1"/>
      <c r="J276" s="38"/>
      <c r="K276" s="44"/>
      <c r="L276" s="44"/>
      <c r="M276" s="44"/>
      <c r="N276" s="86"/>
      <c r="O276" s="209"/>
      <c r="P276" s="209"/>
      <c r="Q276" s="209"/>
      <c r="R276" s="226" t="str">
        <f>IF(OR(K$34=N$473,K$34=N$474),"● Combined SAIL &amp; ELI Loan Request Amount Limit:","This section is not applicable to Applicants that selected the Persons with Developmental Disabilities demographic commitment.")</f>
        <v>● Combined SAIL &amp; ELI Loan Request Amount Limit:</v>
      </c>
      <c r="S276"/>
      <c r="T276"/>
      <c r="U276" s="229"/>
      <c r="V276" s="229"/>
      <c r="W276" s="229"/>
      <c r="X276" s="230"/>
      <c r="Y276"/>
      <c r="Z276"/>
      <c r="AA276"/>
      <c r="AB276"/>
      <c r="AC276" s="128"/>
      <c r="AD276" s="220"/>
      <c r="AE276" s="220"/>
      <c r="AF276" s="220"/>
      <c r="AG276" s="220"/>
      <c r="AH276" s="220"/>
      <c r="AI276" s="220"/>
    </row>
    <row r="277" spans="2:35" ht="12.75" customHeight="1" x14ac:dyDescent="0.25">
      <c r="B277" s="109">
        <f>MAX(B$270:B276)+1</f>
        <v>4</v>
      </c>
      <c r="C277" s="1" t="s">
        <v>311</v>
      </c>
      <c r="D277" s="1"/>
      <c r="E277" s="1"/>
      <c r="F277" s="1"/>
      <c r="G277" s="48" t="s">
        <v>9</v>
      </c>
      <c r="H277" s="79"/>
      <c r="I277" s="1"/>
      <c r="J277" s="38"/>
      <c r="K277" s="252" t="s">
        <v>232</v>
      </c>
      <c r="L277" s="252"/>
      <c r="M277" s="252"/>
      <c r="N277" s="252"/>
      <c r="O277" s="209"/>
      <c r="P277" s="209"/>
      <c r="Q277" s="217">
        <f>IF(N(K$33)=0,0,N(H277)/K$33)</f>
        <v>0</v>
      </c>
      <c r="R277" s="247" t="str">
        <f>IF(K$34=N$474,ROUNDDOWN(35%*N(N$193),2),"")</f>
        <v/>
      </c>
      <c r="S277" s="247"/>
      <c r="T277" s="247"/>
      <c r="U277" s="231" t="str">
        <f ca="1">IF(OR(K$34=N$473,K$34=N$474),IF(N(SUMIF(K271:K289,$K$528,H271:H289))+N(SUMIF(K271:K289,$K$529,H271:H289))=0,"Maximum allowed is 35% of Total Development Costs, or "&amp;TEXT(ROUNDDOWN(N(N$193)*35%,2),"$#,##0.00")&amp;".","The total amounts enetered for SAIL and ELI Loan Request amounts "&amp;IF(N(SUMIF(K271:K289,$K$528,H271:H289))+N(SUMIF(K271:K289,$K$529,H271:H289))&lt;=ROUNDDOWN(N(N$193)*35%,2),"is within the % of TDC limitation.","EXCEEDS the % of TDC limitation by "&amp;TEXT(N(SUMIF(K271:K289,$K$528,H271:H289))+N(SUMIF(K271:K289,$K$529,H271:H289))-ROUNDDOWN(N(N$193)*35%,2),"$#,##0")&amp;".")),"Not applicable.")</f>
        <v>Maximum allowed is 35% of Total Development Costs, or $0.00.</v>
      </c>
      <c r="V277" s="229"/>
      <c r="W277" s="229"/>
      <c r="X277"/>
      <c r="Y277"/>
      <c r="Z277"/>
      <c r="AA277"/>
      <c r="AB277"/>
      <c r="AC277" s="220"/>
      <c r="AD277" s="220"/>
      <c r="AE277" s="220"/>
      <c r="AF277" s="220"/>
      <c r="AG277" s="220"/>
      <c r="AH277" s="220"/>
      <c r="AI277" s="220"/>
    </row>
    <row r="278" spans="2:35" ht="12.75" customHeight="1" x14ac:dyDescent="0.25">
      <c r="B278" s="66"/>
      <c r="C278" s="66"/>
      <c r="D278" s="66"/>
      <c r="E278" s="66"/>
      <c r="F278" s="66"/>
      <c r="G278" s="164"/>
      <c r="H278" s="60"/>
      <c r="I278" s="66"/>
      <c r="J278" s="44"/>
      <c r="K278" s="44"/>
      <c r="L278" s="44"/>
      <c r="M278" s="44"/>
      <c r="N278" s="86"/>
      <c r="O278" s="209"/>
      <c r="P278" s="209"/>
      <c r="Q278" s="209"/>
      <c r="AC278" s="220"/>
      <c r="AD278" s="220"/>
      <c r="AE278" s="220"/>
      <c r="AF278" s="220"/>
      <c r="AG278" s="220"/>
      <c r="AH278" s="220"/>
      <c r="AI278" s="220"/>
    </row>
    <row r="279" spans="2:35" x14ac:dyDescent="0.25">
      <c r="B279" s="109">
        <f>MAX(B$270:B278)+1</f>
        <v>5</v>
      </c>
      <c r="C279" s="1" t="s">
        <v>312</v>
      </c>
      <c r="D279" s="1"/>
      <c r="E279" s="1"/>
      <c r="F279" s="1"/>
      <c r="G279" s="48" t="s">
        <v>9</v>
      </c>
      <c r="H279" s="79"/>
      <c r="I279" s="1"/>
      <c r="J279" s="38"/>
      <c r="K279" s="252" t="s">
        <v>232</v>
      </c>
      <c r="L279" s="252"/>
      <c r="M279" s="252"/>
      <c r="N279" s="252"/>
      <c r="O279" s="209"/>
      <c r="P279" s="209"/>
      <c r="Q279" s="217">
        <f>IF(N(K$33)=0,0,N(H279)/K$33)</f>
        <v>0</v>
      </c>
      <c r="R279" s="209"/>
      <c r="S279" s="220"/>
      <c r="T279" s="220"/>
      <c r="U279" s="220"/>
      <c r="V279" s="220"/>
      <c r="W279" s="220"/>
      <c r="X279" s="220"/>
      <c r="Y279" s="220"/>
      <c r="Z279" s="220"/>
      <c r="AA279" s="220"/>
      <c r="AB279" s="220"/>
      <c r="AC279" s="220"/>
      <c r="AD279" s="220"/>
      <c r="AE279" s="220"/>
      <c r="AF279" s="220"/>
      <c r="AG279" s="220"/>
      <c r="AH279" s="220"/>
      <c r="AI279" s="220"/>
    </row>
    <row r="280" spans="2:35" x14ac:dyDescent="0.25">
      <c r="B280" s="66"/>
      <c r="C280" s="66"/>
      <c r="D280" s="66"/>
      <c r="E280" s="66"/>
      <c r="F280" s="66"/>
      <c r="G280" s="164"/>
      <c r="H280" s="60"/>
      <c r="I280" s="66"/>
      <c r="J280" s="44"/>
      <c r="K280" s="44"/>
      <c r="L280" s="44"/>
      <c r="M280" s="44"/>
      <c r="N280" s="86"/>
      <c r="O280" s="209"/>
      <c r="P280" s="209"/>
      <c r="Q280" s="209"/>
      <c r="X280" s="220"/>
      <c r="Y280" s="220"/>
      <c r="Z280" s="220"/>
      <c r="AA280" s="220"/>
      <c r="AB280" s="220"/>
      <c r="AC280" s="220"/>
      <c r="AD280" s="220"/>
      <c r="AE280" s="220"/>
      <c r="AF280" s="220"/>
      <c r="AG280" s="220"/>
      <c r="AH280" s="220"/>
      <c r="AI280" s="220"/>
    </row>
    <row r="281" spans="2:35" ht="12.75" customHeight="1" x14ac:dyDescent="0.25">
      <c r="B281" s="109">
        <f>MAX(B$270:B280)+1</f>
        <v>6</v>
      </c>
      <c r="C281" s="1" t="s">
        <v>313</v>
      </c>
      <c r="D281" s="1"/>
      <c r="E281" s="1"/>
      <c r="F281" s="1"/>
      <c r="G281" s="48" t="s">
        <v>9</v>
      </c>
      <c r="H281" s="79"/>
      <c r="I281" s="1"/>
      <c r="J281" s="38"/>
      <c r="K281" s="252" t="s">
        <v>232</v>
      </c>
      <c r="L281" s="252"/>
      <c r="M281" s="252"/>
      <c r="N281" s="252"/>
      <c r="O281" s="209"/>
      <c r="P281" s="209"/>
      <c r="Q281" s="217">
        <f>IF(N(K$33)=0,0,N(H281)/K$33)</f>
        <v>0</v>
      </c>
      <c r="X281" s="220"/>
      <c r="Y281" s="220"/>
      <c r="Z281" s="220"/>
      <c r="AA281" s="220"/>
      <c r="AB281" s="220"/>
      <c r="AC281" s="220"/>
      <c r="AD281" s="220"/>
      <c r="AE281" s="220"/>
      <c r="AF281" s="220"/>
      <c r="AG281" s="220"/>
      <c r="AH281" s="220"/>
      <c r="AI281" s="220"/>
    </row>
    <row r="282" spans="2:35" ht="12.75" customHeight="1" x14ac:dyDescent="0.25">
      <c r="B282" s="1"/>
      <c r="C282" s="1"/>
      <c r="D282" s="1"/>
      <c r="E282" s="1"/>
      <c r="F282" s="1"/>
      <c r="G282" s="48"/>
      <c r="H282" s="60"/>
      <c r="I282" s="1"/>
      <c r="J282" s="38"/>
      <c r="K282" s="44"/>
      <c r="L282" s="44"/>
      <c r="M282" s="44"/>
      <c r="N282" s="86"/>
      <c r="O282" s="209"/>
      <c r="P282" s="209"/>
      <c r="Q282" s="209"/>
      <c r="R282" s="209"/>
      <c r="S282" s="220"/>
      <c r="T282" s="220"/>
      <c r="U282" s="220"/>
      <c r="V282" s="220"/>
      <c r="W282" s="220"/>
      <c r="X282" s="220"/>
      <c r="Y282" s="220"/>
      <c r="Z282" s="220"/>
      <c r="AA282" s="220"/>
      <c r="AB282" s="220"/>
      <c r="AC282" s="220"/>
      <c r="AD282" s="220"/>
      <c r="AE282" s="220"/>
      <c r="AF282" s="220"/>
      <c r="AG282" s="220"/>
      <c r="AH282" s="220"/>
      <c r="AI282" s="220"/>
    </row>
    <row r="283" spans="2:35" ht="12.75" customHeight="1" x14ac:dyDescent="0.25">
      <c r="B283" s="109">
        <f>MAX(B$270:B282)+1</f>
        <v>7</v>
      </c>
      <c r="C283" s="1" t="s">
        <v>314</v>
      </c>
      <c r="D283" s="1"/>
      <c r="E283" s="1"/>
      <c r="F283" s="1"/>
      <c r="G283" s="48" t="s">
        <v>9</v>
      </c>
      <c r="H283" s="79"/>
      <c r="I283" s="1"/>
      <c r="J283" s="38"/>
      <c r="K283" s="252" t="s">
        <v>232</v>
      </c>
      <c r="L283" s="252"/>
      <c r="M283" s="252"/>
      <c r="N283" s="252"/>
      <c r="O283" s="209"/>
      <c r="P283" s="209"/>
      <c r="Q283" s="217">
        <f>IF(N(K$33)=0,0,N(H283)/K$33)</f>
        <v>0</v>
      </c>
      <c r="R283" s="209"/>
      <c r="S283" s="220"/>
      <c r="T283" s="220"/>
      <c r="U283" s="220"/>
      <c r="V283" s="220"/>
      <c r="W283" s="220"/>
      <c r="X283" s="220"/>
      <c r="Y283" s="220"/>
      <c r="Z283" s="220"/>
      <c r="AA283" s="220"/>
      <c r="AB283" s="220"/>
      <c r="AC283" s="220"/>
      <c r="AD283" s="220"/>
      <c r="AE283" s="220"/>
      <c r="AF283" s="220"/>
      <c r="AG283" s="220"/>
      <c r="AH283" s="220"/>
      <c r="AI283" s="220"/>
    </row>
    <row r="284" spans="2:35" ht="12.75" customHeight="1" x14ac:dyDescent="0.25">
      <c r="B284" s="1"/>
      <c r="C284" s="1"/>
      <c r="D284" s="1"/>
      <c r="E284" s="1"/>
      <c r="F284" s="1"/>
      <c r="G284" s="48"/>
      <c r="H284" s="60"/>
      <c r="I284" s="1"/>
      <c r="J284" s="38"/>
      <c r="K284" s="44"/>
      <c r="L284" s="44"/>
      <c r="M284" s="44"/>
      <c r="N284" s="86"/>
      <c r="O284" s="209"/>
      <c r="P284" s="209"/>
      <c r="Q284" s="209"/>
      <c r="R284" s="209"/>
      <c r="S284" s="220"/>
      <c r="T284" s="220"/>
      <c r="U284" s="220"/>
      <c r="V284" s="220"/>
      <c r="W284" s="220"/>
      <c r="X284" s="220"/>
      <c r="Y284" s="220"/>
      <c r="Z284" s="220"/>
      <c r="AA284" s="220"/>
      <c r="AB284" s="220"/>
      <c r="AC284" s="220"/>
      <c r="AD284" s="220"/>
      <c r="AE284" s="220"/>
      <c r="AF284" s="220"/>
      <c r="AG284" s="220"/>
      <c r="AH284" s="220"/>
      <c r="AI284" s="220"/>
    </row>
    <row r="285" spans="2:35" ht="12.75" customHeight="1" x14ac:dyDescent="0.25">
      <c r="B285" s="109">
        <f>MAX(B$270:B284)+1</f>
        <v>8</v>
      </c>
      <c r="C285" s="1" t="s">
        <v>320</v>
      </c>
      <c r="D285" s="1"/>
      <c r="E285" s="1"/>
      <c r="F285" s="1"/>
      <c r="G285" s="48" t="s">
        <v>9</v>
      </c>
      <c r="H285" s="79"/>
      <c r="I285" s="1"/>
      <c r="J285" s="38"/>
      <c r="K285" s="252" t="s">
        <v>232</v>
      </c>
      <c r="L285" s="252"/>
      <c r="M285" s="252"/>
      <c r="N285" s="252"/>
      <c r="O285" s="209"/>
      <c r="P285" s="209"/>
      <c r="Q285" s="217">
        <f>IF(N(K$33)=0,0,N(H285)/K$33)</f>
        <v>0</v>
      </c>
      <c r="R285" s="209"/>
      <c r="S285" s="220"/>
      <c r="T285" s="220"/>
      <c r="U285" s="220"/>
      <c r="V285" s="220"/>
      <c r="W285" s="220"/>
      <c r="X285" s="220"/>
      <c r="Y285" s="220"/>
      <c r="Z285" s="220"/>
      <c r="AA285" s="220"/>
      <c r="AB285" s="220"/>
      <c r="AC285" s="220"/>
      <c r="AD285" s="220"/>
      <c r="AE285" s="220"/>
      <c r="AF285" s="220"/>
      <c r="AG285" s="220"/>
      <c r="AH285" s="220"/>
      <c r="AI285" s="220"/>
    </row>
    <row r="286" spans="2:35" ht="12.75" customHeight="1" x14ac:dyDescent="0.25">
      <c r="B286" s="1"/>
      <c r="C286" s="1"/>
      <c r="D286" s="1"/>
      <c r="E286" s="1"/>
      <c r="F286" s="1"/>
      <c r="G286" s="48"/>
      <c r="H286" s="60"/>
      <c r="I286" s="1"/>
      <c r="J286" s="38"/>
      <c r="K286" s="44"/>
      <c r="L286" s="44"/>
      <c r="M286" s="44"/>
      <c r="N286" s="86"/>
      <c r="O286" s="209"/>
      <c r="P286" s="209"/>
      <c r="Q286" s="209"/>
      <c r="R286" s="209"/>
      <c r="S286" s="220"/>
      <c r="T286" s="220"/>
      <c r="U286" s="220"/>
      <c r="V286" s="220"/>
      <c r="W286" s="220"/>
      <c r="X286" s="220"/>
      <c r="Y286" s="220"/>
      <c r="Z286" s="220"/>
      <c r="AA286" s="220"/>
      <c r="AB286" s="220"/>
      <c r="AC286" s="220"/>
      <c r="AD286" s="220"/>
      <c r="AE286" s="220"/>
      <c r="AF286" s="220"/>
      <c r="AG286" s="220"/>
      <c r="AH286" s="220"/>
      <c r="AI286" s="220"/>
    </row>
    <row r="287" spans="2:35" ht="12.75" customHeight="1" x14ac:dyDescent="0.25">
      <c r="B287" s="109">
        <f>MAX(B$270:B286)+1</f>
        <v>9</v>
      </c>
      <c r="C287" s="1" t="s">
        <v>328</v>
      </c>
      <c r="D287" s="1"/>
      <c r="E287" s="1"/>
      <c r="F287" s="1"/>
      <c r="G287" s="48" t="s">
        <v>9</v>
      </c>
      <c r="H287" s="79"/>
      <c r="I287" s="1"/>
      <c r="J287" s="38"/>
      <c r="K287" s="252" t="s">
        <v>232</v>
      </c>
      <c r="L287" s="252"/>
      <c r="M287" s="252"/>
      <c r="N287" s="252"/>
      <c r="O287" s="209"/>
      <c r="P287" s="209"/>
      <c r="Q287" s="217">
        <f>IF(N(K$33)=0,0,N(H287)/K$33)</f>
        <v>0</v>
      </c>
      <c r="R287" s="209"/>
      <c r="S287" s="220"/>
      <c r="T287" s="220"/>
      <c r="U287" s="220"/>
      <c r="V287" s="220"/>
      <c r="W287" s="220"/>
      <c r="X287" s="220"/>
      <c r="Y287" s="220"/>
      <c r="Z287" s="220"/>
      <c r="AA287" s="220"/>
      <c r="AB287" s="220"/>
      <c r="AC287" s="220"/>
      <c r="AD287" s="220"/>
      <c r="AE287" s="220"/>
      <c r="AF287" s="220"/>
      <c r="AG287" s="220"/>
      <c r="AH287" s="220"/>
      <c r="AI287" s="220"/>
    </row>
    <row r="288" spans="2:35" ht="12.75" customHeight="1" x14ac:dyDescent="0.25">
      <c r="B288" s="1"/>
      <c r="C288" s="1"/>
      <c r="D288" s="1"/>
      <c r="E288" s="1"/>
      <c r="F288" s="1"/>
      <c r="G288" s="48"/>
      <c r="H288" s="60"/>
      <c r="I288" s="1"/>
      <c r="J288" s="38"/>
      <c r="K288" s="44"/>
      <c r="L288" s="44"/>
      <c r="M288" s="44"/>
      <c r="N288" s="86"/>
      <c r="O288" s="209"/>
      <c r="P288" s="209"/>
      <c r="Q288" s="209"/>
      <c r="R288" s="209"/>
      <c r="S288" s="220"/>
      <c r="T288" s="220"/>
      <c r="U288" s="220"/>
      <c r="V288" s="220"/>
      <c r="W288" s="220"/>
      <c r="X288" s="220"/>
      <c r="Y288" s="220"/>
      <c r="Z288" s="220"/>
      <c r="AA288" s="220"/>
      <c r="AB288" s="220"/>
      <c r="AC288" s="220"/>
      <c r="AD288" s="220"/>
      <c r="AE288" s="220"/>
      <c r="AF288" s="220"/>
      <c r="AG288" s="220"/>
      <c r="AH288" s="220"/>
      <c r="AI288" s="220"/>
    </row>
    <row r="289" spans="2:35" ht="12.75" customHeight="1" x14ac:dyDescent="0.25">
      <c r="B289" s="109">
        <f>MAX(B$270:B288)+1</f>
        <v>10</v>
      </c>
      <c r="C289" s="1" t="s">
        <v>321</v>
      </c>
      <c r="D289" s="1"/>
      <c r="E289" s="1"/>
      <c r="F289" s="1"/>
      <c r="G289" s="48" t="s">
        <v>9</v>
      </c>
      <c r="H289" s="79"/>
      <c r="I289" s="1"/>
      <c r="J289" s="38"/>
      <c r="K289" s="252" t="s">
        <v>232</v>
      </c>
      <c r="L289" s="252"/>
      <c r="M289" s="252"/>
      <c r="N289" s="252"/>
      <c r="O289" s="209"/>
      <c r="P289" s="209"/>
      <c r="Q289" s="217">
        <f>IF(N(K$33)=0,0,N(H289)/K$33)</f>
        <v>0</v>
      </c>
      <c r="R289" s="209"/>
      <c r="S289" s="220"/>
      <c r="T289" s="220"/>
      <c r="U289" s="220"/>
      <c r="V289" s="220"/>
      <c r="W289" s="220"/>
      <c r="X289" s="220"/>
      <c r="Y289" s="220"/>
      <c r="Z289" s="220"/>
      <c r="AA289" s="220"/>
      <c r="AB289" s="220"/>
      <c r="AC289" s="220"/>
      <c r="AD289" s="220"/>
      <c r="AE289" s="220"/>
      <c r="AF289" s="220"/>
      <c r="AG289" s="220"/>
      <c r="AH289" s="220"/>
      <c r="AI289" s="220"/>
    </row>
    <row r="290" spans="2:35" ht="12.75" customHeight="1" x14ac:dyDescent="0.25">
      <c r="B290" s="1"/>
      <c r="C290" s="1"/>
      <c r="D290" s="1"/>
      <c r="E290" s="1"/>
      <c r="F290" s="1"/>
      <c r="G290" s="48"/>
      <c r="H290" s="60"/>
      <c r="I290" s="1"/>
      <c r="J290" s="38"/>
      <c r="K290" s="44"/>
      <c r="L290" s="44"/>
      <c r="M290" s="44"/>
      <c r="N290" s="86"/>
      <c r="O290" s="209"/>
      <c r="P290" s="209"/>
      <c r="Q290" s="209"/>
      <c r="R290" s="209"/>
      <c r="S290" s="220"/>
      <c r="T290" s="220"/>
      <c r="U290" s="220"/>
      <c r="V290" s="220"/>
      <c r="W290" s="220"/>
      <c r="X290" s="220"/>
      <c r="Y290" s="220"/>
      <c r="Z290" s="220"/>
      <c r="AA290" s="220"/>
      <c r="AB290" s="220"/>
      <c r="AC290" s="220"/>
      <c r="AD290" s="220"/>
      <c r="AE290" s="220"/>
      <c r="AF290" s="220"/>
      <c r="AG290" s="220"/>
      <c r="AH290" s="220"/>
      <c r="AI290" s="220"/>
    </row>
    <row r="291" spans="2:35" x14ac:dyDescent="0.25">
      <c r="B291" s="109">
        <f>MAX(B$270:B290)+1</f>
        <v>11</v>
      </c>
      <c r="C291" s="1" t="s">
        <v>77</v>
      </c>
      <c r="D291" s="1"/>
      <c r="E291" s="1"/>
      <c r="F291" s="1"/>
      <c r="G291" s="1"/>
      <c r="H291" s="8"/>
      <c r="I291" s="1"/>
      <c r="J291" s="38"/>
      <c r="K291" s="44"/>
      <c r="L291" s="44"/>
      <c r="M291" s="66"/>
      <c r="N291" s="86"/>
      <c r="O291" s="209"/>
      <c r="P291" s="209"/>
      <c r="Q291" s="209"/>
      <c r="R291" s="209"/>
      <c r="S291" s="220"/>
      <c r="T291" s="220"/>
      <c r="U291" s="220"/>
      <c r="V291" s="220"/>
      <c r="W291" s="220"/>
      <c r="X291" s="220"/>
      <c r="Y291" s="220"/>
      <c r="Z291" s="220"/>
      <c r="AA291" s="220"/>
      <c r="AB291" s="220"/>
      <c r="AC291" s="220"/>
      <c r="AD291" s="220"/>
      <c r="AE291" s="220"/>
      <c r="AF291" s="220"/>
      <c r="AG291" s="220"/>
      <c r="AH291" s="220"/>
      <c r="AI291" s="220"/>
    </row>
    <row r="292" spans="2:35" x14ac:dyDescent="0.25">
      <c r="B292" s="1"/>
      <c r="C292" s="1" t="s">
        <v>96</v>
      </c>
      <c r="D292" s="1"/>
      <c r="E292" s="1"/>
      <c r="F292" s="1"/>
      <c r="G292" s="1"/>
      <c r="H292" s="8"/>
      <c r="I292" s="1"/>
      <c r="J292" s="38"/>
      <c r="K292" s="44"/>
      <c r="L292" s="44"/>
      <c r="M292" s="66"/>
      <c r="N292" s="86"/>
      <c r="O292" s="209"/>
      <c r="P292" s="209"/>
      <c r="Q292" s="209"/>
      <c r="R292" s="209"/>
      <c r="S292" s="220"/>
      <c r="T292" s="220"/>
      <c r="U292" s="220"/>
      <c r="V292" s="220"/>
      <c r="W292" s="220"/>
      <c r="X292" s="220"/>
      <c r="Y292" s="220"/>
      <c r="Z292" s="220"/>
      <c r="AA292" s="220"/>
      <c r="AB292" s="220"/>
      <c r="AC292" s="220"/>
      <c r="AD292" s="220"/>
      <c r="AE292" s="220"/>
      <c r="AF292" s="220"/>
      <c r="AG292" s="220"/>
      <c r="AH292" s="220"/>
      <c r="AI292" s="220"/>
    </row>
    <row r="293" spans="2:35" x14ac:dyDescent="0.25">
      <c r="B293" s="1"/>
      <c r="C293" s="1" t="s">
        <v>97</v>
      </c>
      <c r="D293" s="1"/>
      <c r="E293" s="1"/>
      <c r="F293" s="1"/>
      <c r="G293" s="1"/>
      <c r="H293" s="7"/>
      <c r="I293" s="1"/>
      <c r="J293" s="1"/>
      <c r="K293" s="66"/>
      <c r="L293" s="66"/>
      <c r="M293" s="66"/>
      <c r="N293" s="86"/>
      <c r="O293" s="84"/>
      <c r="P293" s="84"/>
      <c r="S293" s="220"/>
      <c r="T293" s="220"/>
      <c r="U293" s="220"/>
      <c r="V293" s="220"/>
      <c r="W293" s="220"/>
      <c r="X293" s="220"/>
      <c r="Y293" s="220"/>
      <c r="Z293" s="220"/>
      <c r="AA293" s="220"/>
      <c r="AB293" s="220"/>
      <c r="AC293" s="220"/>
      <c r="AD293" s="220"/>
      <c r="AE293" s="220"/>
      <c r="AF293" s="220"/>
      <c r="AG293" s="220"/>
      <c r="AH293" s="220"/>
      <c r="AI293" s="220"/>
    </row>
    <row r="294" spans="2:35" x14ac:dyDescent="0.25">
      <c r="B294" s="1"/>
      <c r="C294" s="1" t="s">
        <v>98</v>
      </c>
      <c r="D294" s="1"/>
      <c r="E294" s="1"/>
      <c r="F294" s="1"/>
      <c r="G294" s="48"/>
      <c r="H294" s="102"/>
      <c r="I294" s="1"/>
      <c r="J294" s="62"/>
      <c r="K294" s="103"/>
      <c r="L294" s="40"/>
      <c r="M294" s="66"/>
      <c r="N294" s="86"/>
      <c r="O294" s="84"/>
      <c r="P294" s="84"/>
      <c r="S294" s="220"/>
      <c r="T294" s="220"/>
      <c r="U294" s="220"/>
      <c r="V294" s="220"/>
      <c r="W294" s="220"/>
      <c r="X294" s="220"/>
      <c r="Y294" s="220"/>
      <c r="Z294" s="220"/>
      <c r="AA294" s="220"/>
      <c r="AB294" s="220"/>
      <c r="AC294" s="220"/>
      <c r="AD294" s="220"/>
      <c r="AE294" s="220"/>
      <c r="AF294" s="220"/>
      <c r="AG294" s="220"/>
      <c r="AH294" s="220"/>
      <c r="AI294" s="220"/>
    </row>
    <row r="295" spans="2:35" x14ac:dyDescent="0.25">
      <c r="B295" s="1"/>
      <c r="C295" s="1" t="s">
        <v>99</v>
      </c>
      <c r="D295" s="1"/>
      <c r="E295" s="1"/>
      <c r="F295" s="1"/>
      <c r="G295" s="48"/>
      <c r="H295" s="102"/>
      <c r="I295" s="1"/>
      <c r="J295" s="62"/>
      <c r="K295" s="103"/>
      <c r="L295" s="40"/>
      <c r="M295" s="66"/>
      <c r="N295" s="86"/>
      <c r="O295" s="84"/>
      <c r="P295" s="84"/>
      <c r="S295" s="220"/>
      <c r="T295" s="220"/>
      <c r="U295" s="220"/>
      <c r="V295" s="220"/>
      <c r="W295" s="220"/>
      <c r="X295" s="220"/>
      <c r="Y295" s="220"/>
      <c r="Z295" s="220"/>
      <c r="AA295" s="220"/>
      <c r="AB295" s="220"/>
      <c r="AC295" s="220"/>
      <c r="AD295" s="220"/>
      <c r="AE295" s="220"/>
      <c r="AF295" s="220"/>
      <c r="AG295" s="220"/>
      <c r="AH295" s="220"/>
      <c r="AI295" s="220"/>
    </row>
    <row r="296" spans="2:35" x14ac:dyDescent="0.25">
      <c r="B296" s="1"/>
      <c r="C296" s="1" t="s">
        <v>100</v>
      </c>
      <c r="D296" s="1"/>
      <c r="E296" s="1"/>
      <c r="F296" s="1"/>
      <c r="G296" s="48"/>
      <c r="H296" s="102"/>
      <c r="I296" s="1"/>
      <c r="J296" s="62"/>
      <c r="K296" s="103"/>
      <c r="L296" s="40"/>
      <c r="M296" s="66"/>
      <c r="N296" s="86"/>
      <c r="O296" s="84"/>
      <c r="P296" s="84"/>
      <c r="S296" s="220"/>
      <c r="T296" s="220"/>
      <c r="U296" s="220"/>
      <c r="V296" s="220"/>
      <c r="W296" s="220"/>
      <c r="X296" s="220"/>
      <c r="Y296" s="220"/>
      <c r="Z296" s="220"/>
      <c r="AA296" s="220"/>
      <c r="AB296" s="220"/>
      <c r="AC296" s="220"/>
      <c r="AD296" s="220"/>
      <c r="AE296" s="220"/>
      <c r="AF296" s="220"/>
      <c r="AG296" s="220"/>
      <c r="AH296" s="220"/>
      <c r="AI296" s="220"/>
    </row>
    <row r="297" spans="2:35" x14ac:dyDescent="0.25">
      <c r="B297" s="1"/>
      <c r="C297" s="1" t="s">
        <v>101</v>
      </c>
      <c r="D297" s="1"/>
      <c r="E297" s="1"/>
      <c r="F297" s="1"/>
      <c r="G297" s="48" t="s">
        <v>9</v>
      </c>
      <c r="H297" s="79"/>
      <c r="I297" s="1"/>
      <c r="J297" s="62"/>
      <c r="K297" s="103"/>
      <c r="L297" s="40"/>
      <c r="M297" s="66"/>
      <c r="N297" s="86"/>
      <c r="O297" s="84"/>
      <c r="P297" s="84"/>
      <c r="Q297" s="217">
        <f>IF(N(K$33)=0,0,N(H297)/K$33)</f>
        <v>0</v>
      </c>
      <c r="S297" s="220"/>
      <c r="T297" s="220"/>
      <c r="U297" s="220"/>
      <c r="V297" s="220"/>
      <c r="W297" s="220"/>
      <c r="X297" s="220"/>
      <c r="Y297" s="220"/>
      <c r="Z297" s="220"/>
      <c r="AA297" s="220"/>
      <c r="AB297" s="220"/>
      <c r="AC297" s="220"/>
      <c r="AD297" s="220"/>
      <c r="AE297" s="220"/>
      <c r="AF297" s="220"/>
      <c r="AG297" s="220"/>
      <c r="AH297" s="220"/>
      <c r="AI297" s="220"/>
    </row>
    <row r="298" spans="2:35" x14ac:dyDescent="0.25">
      <c r="B298" s="1"/>
      <c r="C298" s="1"/>
      <c r="D298" s="1"/>
      <c r="E298" s="1"/>
      <c r="F298" s="1"/>
      <c r="G298" s="1"/>
      <c r="H298" s="104"/>
      <c r="I298" s="1"/>
      <c r="J298" s="62"/>
      <c r="K298" s="103"/>
      <c r="L298" s="40"/>
      <c r="M298" s="66"/>
      <c r="N298" s="86"/>
      <c r="O298" s="84"/>
      <c r="P298" s="84"/>
      <c r="S298" s="220"/>
      <c r="T298" s="220"/>
      <c r="U298" s="220"/>
      <c r="V298" s="220"/>
      <c r="W298" s="220"/>
      <c r="X298" s="220"/>
      <c r="Y298" s="220"/>
      <c r="Z298" s="220"/>
      <c r="AA298" s="220"/>
      <c r="AB298" s="220"/>
      <c r="AC298" s="220"/>
      <c r="AD298" s="220"/>
      <c r="AE298" s="220"/>
      <c r="AF298" s="220"/>
      <c r="AG298" s="220"/>
      <c r="AH298" s="220"/>
      <c r="AI298" s="220"/>
    </row>
    <row r="299" spans="2:35" x14ac:dyDescent="0.25">
      <c r="B299" s="109">
        <f>MAX(B$270:B298)+1</f>
        <v>12</v>
      </c>
      <c r="C299" s="63" t="s">
        <v>74</v>
      </c>
      <c r="D299" s="1"/>
      <c r="E299" s="286"/>
      <c r="F299" s="286"/>
      <c r="G299" s="48" t="s">
        <v>9</v>
      </c>
      <c r="H299" s="79"/>
      <c r="I299" s="1"/>
      <c r="J299" s="62"/>
      <c r="K299" s="103"/>
      <c r="L299" s="40"/>
      <c r="M299" s="66"/>
      <c r="N299" s="86"/>
      <c r="O299" s="84"/>
      <c r="P299" s="84"/>
      <c r="Q299" s="217">
        <f>IF(N(K$33)=0,0,N(H299)/K$33)</f>
        <v>0</v>
      </c>
      <c r="S299" s="220"/>
      <c r="T299" s="220"/>
      <c r="U299" s="220"/>
      <c r="V299" s="220"/>
      <c r="W299" s="220"/>
      <c r="X299" s="220"/>
      <c r="Y299" s="220"/>
      <c r="Z299" s="220"/>
      <c r="AA299" s="220"/>
      <c r="AB299" s="220"/>
      <c r="AC299" s="220"/>
      <c r="AD299" s="220"/>
      <c r="AE299" s="220"/>
      <c r="AF299" s="220"/>
      <c r="AG299" s="220"/>
      <c r="AH299" s="220"/>
      <c r="AI299" s="220"/>
    </row>
    <row r="300" spans="2:35" ht="12.75" customHeight="1" x14ac:dyDescent="0.25">
      <c r="B300" s="83"/>
      <c r="C300" s="83"/>
      <c r="D300" s="83"/>
      <c r="E300" s="83"/>
      <c r="F300" s="83"/>
      <c r="G300" s="83"/>
      <c r="H300" s="88"/>
      <c r="I300" s="83"/>
      <c r="J300" s="62"/>
      <c r="K300" s="103"/>
      <c r="L300" s="40"/>
      <c r="M300" s="66"/>
      <c r="N300" s="86"/>
      <c r="O300" s="84"/>
      <c r="P300" s="84"/>
      <c r="S300" s="220"/>
      <c r="T300" s="220"/>
      <c r="U300" s="220"/>
      <c r="V300" s="220"/>
      <c r="W300" s="220"/>
      <c r="X300" s="220"/>
      <c r="Y300" s="220"/>
      <c r="Z300" s="220"/>
      <c r="AA300" s="220"/>
      <c r="AB300" s="220"/>
      <c r="AC300" s="220"/>
      <c r="AD300" s="220"/>
      <c r="AE300" s="220"/>
      <c r="AF300" s="220"/>
      <c r="AG300" s="220"/>
      <c r="AH300" s="220"/>
      <c r="AI300" s="220"/>
    </row>
    <row r="301" spans="2:35" x14ac:dyDescent="0.25">
      <c r="B301" s="109">
        <f>MAX(B$270:B300)+1</f>
        <v>13</v>
      </c>
      <c r="C301" s="1" t="s">
        <v>74</v>
      </c>
      <c r="D301" s="1"/>
      <c r="E301" s="286"/>
      <c r="F301" s="286"/>
      <c r="G301" s="48" t="s">
        <v>9</v>
      </c>
      <c r="H301" s="79"/>
      <c r="I301" s="1"/>
      <c r="J301" s="62"/>
      <c r="K301" s="103"/>
      <c r="L301" s="40"/>
      <c r="M301" s="66"/>
      <c r="N301" s="86"/>
      <c r="O301" s="84"/>
      <c r="P301" s="84"/>
      <c r="Q301" s="217">
        <f>IF(N(K$33)=0,0,N(H301)/K$33)</f>
        <v>0</v>
      </c>
      <c r="S301" s="220"/>
      <c r="T301" s="220"/>
      <c r="U301" s="220"/>
      <c r="V301" s="220"/>
      <c r="W301" s="220"/>
      <c r="X301" s="220"/>
      <c r="Y301" s="220"/>
      <c r="Z301" s="220"/>
      <c r="AA301" s="220"/>
      <c r="AB301" s="220"/>
      <c r="AC301" s="220"/>
      <c r="AD301" s="220"/>
      <c r="AE301" s="220"/>
      <c r="AF301" s="220"/>
      <c r="AG301" s="220"/>
      <c r="AH301" s="220"/>
      <c r="AI301" s="220"/>
    </row>
    <row r="302" spans="2:35" ht="12.75" customHeight="1" x14ac:dyDescent="0.25">
      <c r="B302" s="61"/>
      <c r="C302" s="1"/>
      <c r="D302" s="1"/>
      <c r="E302" s="65"/>
      <c r="F302" s="65"/>
      <c r="G302" s="48"/>
      <c r="H302" s="105"/>
      <c r="I302" s="1"/>
      <c r="J302" s="62"/>
      <c r="K302" s="103"/>
      <c r="L302" s="40"/>
      <c r="M302" s="66"/>
      <c r="N302" s="86"/>
      <c r="O302" s="84"/>
      <c r="P302" s="84"/>
      <c r="S302" s="220"/>
      <c r="T302" s="220"/>
      <c r="U302" s="220"/>
      <c r="V302" s="220"/>
      <c r="W302" s="220"/>
      <c r="X302" s="220"/>
      <c r="Y302" s="220"/>
      <c r="Z302" s="220"/>
      <c r="AA302" s="220"/>
      <c r="AB302" s="220"/>
      <c r="AC302" s="220"/>
      <c r="AD302" s="220"/>
      <c r="AE302" s="220"/>
      <c r="AF302" s="220"/>
      <c r="AG302" s="220"/>
      <c r="AH302" s="220"/>
      <c r="AI302" s="220"/>
    </row>
    <row r="303" spans="2:35" ht="12.75" customHeight="1" x14ac:dyDescent="0.25">
      <c r="B303" s="109">
        <f>MAX(B$270:B302)+1</f>
        <v>14</v>
      </c>
      <c r="C303" s="1" t="s">
        <v>81</v>
      </c>
      <c r="D303" s="1"/>
      <c r="E303" s="1"/>
      <c r="F303" s="1"/>
      <c r="G303" s="48" t="s">
        <v>9</v>
      </c>
      <c r="H303" s="79"/>
      <c r="I303" s="1"/>
      <c r="J303" s="62"/>
      <c r="K303" s="103"/>
      <c r="L303" s="40"/>
      <c r="M303" s="66"/>
      <c r="N303" s="86"/>
      <c r="O303" s="84"/>
      <c r="P303" s="84"/>
      <c r="Q303" s="217">
        <f>IF(N(K$33)=0,0,N(H303)/K$33)</f>
        <v>0</v>
      </c>
      <c r="S303" s="220"/>
      <c r="T303" s="220"/>
      <c r="U303" s="220"/>
      <c r="V303" s="220"/>
      <c r="W303" s="220"/>
      <c r="X303" s="220"/>
      <c r="Y303" s="220"/>
      <c r="Z303" s="220"/>
      <c r="AA303" s="220"/>
      <c r="AB303" s="220"/>
      <c r="AC303" s="220"/>
      <c r="AD303" s="220"/>
      <c r="AE303" s="220"/>
      <c r="AF303" s="220"/>
      <c r="AG303" s="220"/>
      <c r="AH303" s="220"/>
      <c r="AI303" s="220"/>
    </row>
    <row r="304" spans="2:35" x14ac:dyDescent="0.25">
      <c r="B304" s="83"/>
      <c r="C304" s="83"/>
      <c r="D304" s="83"/>
      <c r="E304" s="83"/>
      <c r="F304" s="83"/>
      <c r="G304" s="83"/>
      <c r="H304" s="88"/>
      <c r="I304" s="83"/>
      <c r="J304" s="62"/>
      <c r="K304" s="103"/>
      <c r="L304" s="40"/>
      <c r="M304" s="66"/>
      <c r="N304" s="86"/>
      <c r="O304" s="84"/>
      <c r="P304" s="84"/>
      <c r="S304" s="220"/>
      <c r="T304" s="220"/>
      <c r="U304" s="220"/>
      <c r="V304" s="220"/>
      <c r="W304" s="220"/>
      <c r="X304" s="220"/>
      <c r="Y304" s="220"/>
      <c r="Z304" s="220"/>
      <c r="AA304" s="220"/>
      <c r="AB304" s="220"/>
      <c r="AC304" s="220"/>
      <c r="AD304" s="220"/>
      <c r="AE304" s="220"/>
      <c r="AF304" s="220"/>
      <c r="AG304" s="220"/>
      <c r="AH304" s="220"/>
      <c r="AI304" s="220"/>
    </row>
    <row r="305" spans="1:35" ht="13.8" thickBot="1" x14ac:dyDescent="0.3">
      <c r="B305" s="110">
        <f>MAX(B$270:B304)+1</f>
        <v>15</v>
      </c>
      <c r="C305" s="25" t="s">
        <v>111</v>
      </c>
      <c r="D305" s="1"/>
      <c r="E305" s="1"/>
      <c r="F305" s="1"/>
      <c r="G305" s="48" t="s">
        <v>9</v>
      </c>
      <c r="H305" s="78" t="str">
        <f>IF(SUM(H270:H304)&lt;1,"",SUM(H270:H304))</f>
        <v/>
      </c>
      <c r="I305" s="83"/>
      <c r="J305" s="1"/>
      <c r="K305" s="44"/>
      <c r="L305" s="66"/>
      <c r="M305" s="66"/>
      <c r="N305" s="86"/>
      <c r="O305" s="84"/>
      <c r="P305" s="84"/>
      <c r="Q305" s="217">
        <f>IF(N(K$33)=0,0,N(H305)/K$33)</f>
        <v>0</v>
      </c>
      <c r="S305" s="220"/>
      <c r="T305" s="220"/>
      <c r="U305" s="220"/>
      <c r="V305" s="220"/>
      <c r="W305" s="220"/>
      <c r="X305" s="220"/>
      <c r="Y305" s="220"/>
      <c r="Z305" s="220"/>
      <c r="AA305" s="220"/>
      <c r="AB305" s="220"/>
      <c r="AC305" s="220"/>
      <c r="AD305" s="220"/>
      <c r="AE305" s="220"/>
      <c r="AF305" s="220"/>
      <c r="AG305" s="220"/>
      <c r="AH305" s="220"/>
      <c r="AI305" s="220"/>
    </row>
    <row r="306" spans="1:35" ht="13.8" thickTop="1" x14ac:dyDescent="0.25">
      <c r="B306" s="83"/>
      <c r="C306" s="83"/>
      <c r="D306" s="83"/>
      <c r="E306" s="83"/>
      <c r="F306" s="83"/>
      <c r="G306" s="83"/>
      <c r="H306" s="87"/>
      <c r="I306" s="83"/>
      <c r="J306" s="83"/>
      <c r="K306" s="86"/>
      <c r="L306" s="66"/>
      <c r="M306" s="66"/>
      <c r="N306" s="86"/>
      <c r="O306" s="84"/>
      <c r="P306" s="84"/>
    </row>
    <row r="307" spans="1:35" x14ac:dyDescent="0.25">
      <c r="B307" s="32" t="s">
        <v>61</v>
      </c>
      <c r="C307" s="25" t="s">
        <v>112</v>
      </c>
      <c r="D307" s="25"/>
      <c r="E307" s="25"/>
      <c r="F307" s="25"/>
      <c r="G307" s="1"/>
      <c r="H307" s="15"/>
      <c r="I307" s="1"/>
      <c r="J307" s="38"/>
      <c r="P307" s="84"/>
    </row>
    <row r="308" spans="1:35" x14ac:dyDescent="0.25">
      <c r="B308" s="32"/>
      <c r="C308" s="25"/>
      <c r="D308" s="28" t="str">
        <f>"(B."&amp;TEXT(B305,"0")&amp;". "&amp;C305&amp;", "</f>
        <v xml:space="preserve">(B.15. Total Construction Sources, </v>
      </c>
      <c r="E308" s="25"/>
      <c r="F308" s="25"/>
      <c r="G308" s="1"/>
      <c r="H308" s="15"/>
      <c r="I308" s="1"/>
      <c r="J308" s="38"/>
      <c r="P308" s="124" t="str">
        <f ca="1">IF(N(H309)&lt;0,"**","")</f>
        <v/>
      </c>
    </row>
    <row r="309" spans="1:35" ht="13.8" thickBot="1" x14ac:dyDescent="0.3">
      <c r="B309" s="25"/>
      <c r="C309" s="83"/>
      <c r="D309" s="28" t="str">
        <f>" less "&amp;B267&amp;" "&amp;C267&amp;"):"</f>
        <v xml:space="preserve"> less A. Total Development Costs):</v>
      </c>
      <c r="E309" s="25"/>
      <c r="F309" s="25"/>
      <c r="G309" s="32" t="s">
        <v>9</v>
      </c>
      <c r="H309" s="78" t="str">
        <f ca="1">IF(AND(N(H305)=0,N(H267)=0),"",N(H305)-N(H267))</f>
        <v/>
      </c>
      <c r="I309" s="1"/>
      <c r="J309" s="38" t="s">
        <v>94</v>
      </c>
      <c r="K309" s="66"/>
      <c r="L309" s="66"/>
      <c r="M309" s="66"/>
      <c r="N309" s="86"/>
      <c r="O309" s="84"/>
      <c r="P309" s="84"/>
      <c r="Q309" s="85" t="str">
        <f ca="1">IF(N(H309)=0,"Construction Funding Sources are equal to Total Development Costs.",IF(N(H309)&lt;0,"There is a shortfall in Construction Funding Sources which must be corrected.","There is a surplus of Construction Funding Sources which is permitted at time of Application."))</f>
        <v>Construction Funding Sources are equal to Total Development Costs.</v>
      </c>
    </row>
    <row r="310" spans="1:35" ht="13.8" thickTop="1" x14ac:dyDescent="0.25">
      <c r="B310" s="83"/>
      <c r="C310" s="83"/>
      <c r="D310" s="83"/>
      <c r="E310" s="83"/>
      <c r="F310" s="83"/>
      <c r="G310" s="83"/>
      <c r="H310" s="83"/>
      <c r="I310" s="83"/>
      <c r="J310" s="83"/>
      <c r="K310" s="86"/>
      <c r="L310" s="86"/>
      <c r="M310" s="86"/>
      <c r="N310" s="86"/>
      <c r="O310" s="84"/>
      <c r="P310" s="84"/>
    </row>
    <row r="311" spans="1:35" ht="13.8" thickBot="1" x14ac:dyDescent="0.3">
      <c r="B311" s="25" t="s">
        <v>93</v>
      </c>
      <c r="C311" s="83"/>
      <c r="D311" s="1"/>
      <c r="E311" s="1"/>
      <c r="F311" s="1"/>
      <c r="G311" s="1"/>
      <c r="H311" s="1"/>
      <c r="I311" s="1"/>
      <c r="J311" s="1"/>
      <c r="K311" s="66"/>
      <c r="L311" s="66"/>
      <c r="M311" s="66"/>
      <c r="N311" s="86"/>
      <c r="O311" s="84"/>
      <c r="P311" s="84"/>
    </row>
    <row r="312" spans="1:35" ht="3.75" customHeight="1" x14ac:dyDescent="0.25">
      <c r="A312" s="82"/>
      <c r="B312" s="89"/>
      <c r="C312" s="89"/>
      <c r="D312" s="89"/>
      <c r="E312" s="89"/>
      <c r="F312" s="89"/>
      <c r="G312" s="89"/>
      <c r="H312" s="89"/>
      <c r="I312" s="89"/>
      <c r="J312" s="89"/>
      <c r="K312" s="90"/>
      <c r="L312" s="90"/>
      <c r="M312" s="90"/>
      <c r="N312" s="90"/>
      <c r="O312" s="91"/>
      <c r="P312" s="91"/>
      <c r="Q312" s="295" t="s">
        <v>227</v>
      </c>
      <c r="R312" s="296"/>
      <c r="S312" s="296"/>
      <c r="T312" s="296"/>
      <c r="U312" s="296"/>
      <c r="V312" s="296"/>
      <c r="W312" s="296"/>
      <c r="X312" s="296"/>
      <c r="Y312" s="296"/>
      <c r="Z312" s="297"/>
    </row>
    <row r="313" spans="1:35" ht="13.5" customHeight="1" x14ac:dyDescent="0.25">
      <c r="B313" s="64" t="str">
        <f>B$2</f>
        <v>RFA 2021-106 DEVELOPMENT COST PRO FORMA</v>
      </c>
      <c r="C313" s="83"/>
      <c r="D313" s="83"/>
      <c r="E313" s="83"/>
      <c r="F313" s="83"/>
      <c r="G313" s="83"/>
      <c r="H313" s="83"/>
      <c r="I313" s="83"/>
      <c r="J313" s="83"/>
      <c r="K313" s="86"/>
      <c r="L313" s="86"/>
      <c r="M313" s="86"/>
      <c r="N313" s="86"/>
      <c r="O313" s="84"/>
      <c r="P313" s="3" t="s">
        <v>254</v>
      </c>
      <c r="Q313" s="298"/>
      <c r="R313" s="299"/>
      <c r="S313" s="299"/>
      <c r="T313" s="299"/>
      <c r="U313" s="299"/>
      <c r="V313" s="299"/>
      <c r="W313" s="299"/>
      <c r="X313" s="299"/>
      <c r="Y313" s="299"/>
      <c r="Z313" s="300"/>
    </row>
    <row r="314" spans="1:35" x14ac:dyDescent="0.25">
      <c r="B314" s="83"/>
      <c r="C314" s="83"/>
      <c r="D314" s="83"/>
      <c r="E314" s="83"/>
      <c r="F314" s="83"/>
      <c r="G314" s="83"/>
      <c r="H314" s="83"/>
      <c r="I314" s="83"/>
      <c r="J314" s="83"/>
      <c r="K314" s="86"/>
      <c r="L314" s="86"/>
      <c r="M314" s="86"/>
      <c r="N314" s="86"/>
      <c r="O314" s="84"/>
      <c r="P314" s="84"/>
      <c r="Q314" s="298"/>
      <c r="R314" s="299"/>
      <c r="S314" s="299"/>
      <c r="T314" s="299"/>
      <c r="U314" s="299"/>
      <c r="V314" s="299"/>
      <c r="W314" s="299"/>
      <c r="X314" s="299"/>
      <c r="Y314" s="299"/>
      <c r="Z314" s="300"/>
    </row>
    <row r="315" spans="1:35" ht="13.8" thickBot="1" x14ac:dyDescent="0.3">
      <c r="B315" s="83"/>
      <c r="C315" s="83"/>
      <c r="D315" s="83"/>
      <c r="E315" s="83"/>
      <c r="F315" s="83"/>
      <c r="G315" s="83"/>
      <c r="H315" s="83"/>
      <c r="I315" s="83"/>
      <c r="J315" s="83"/>
      <c r="K315" s="86"/>
      <c r="L315" s="86"/>
      <c r="M315" s="86"/>
      <c r="N315" s="86"/>
      <c r="O315" s="84"/>
      <c r="P315" s="84"/>
      <c r="Q315" s="301"/>
      <c r="R315" s="302"/>
      <c r="S315" s="302"/>
      <c r="T315" s="302"/>
      <c r="U315" s="302"/>
      <c r="V315" s="302"/>
      <c r="W315" s="302"/>
      <c r="X315" s="302"/>
      <c r="Y315" s="302"/>
      <c r="Z315" s="303"/>
    </row>
    <row r="316" spans="1:35" x14ac:dyDescent="0.25">
      <c r="B316" s="25" t="s">
        <v>83</v>
      </c>
      <c r="C316" s="1"/>
      <c r="D316" s="1"/>
      <c r="E316" s="1"/>
      <c r="F316" s="1"/>
      <c r="G316" s="1"/>
      <c r="H316" s="1"/>
      <c r="I316" s="1"/>
      <c r="J316" s="1"/>
      <c r="K316" s="223"/>
      <c r="L316" s="70"/>
      <c r="M316" s="70"/>
      <c r="N316" s="86"/>
      <c r="O316" s="84"/>
      <c r="P316" s="84"/>
      <c r="Q316" s="235" t="str">
        <f>IF(K$34=N$473,"",IF(K$34=N$475,"(The appropriate selection option from the drop-down menu option for LENDER/TYPE OF FUNDS offered by FHFC for the PDD demographic commitment is ""FHFC - Grant"")","(The appropriate selection options from the drop-down menu for LENDER/TYPE OF FUNDS offered by FHFC for the PDC demographic commitment include FHFC - SAIL and FHFC - SAIL ELI)"))</f>
        <v/>
      </c>
    </row>
    <row r="317" spans="1:35" x14ac:dyDescent="0.25">
      <c r="B317" s="25"/>
      <c r="C317" s="1"/>
      <c r="D317" s="1"/>
      <c r="E317" s="1"/>
      <c r="F317" s="1"/>
      <c r="G317" s="1"/>
      <c r="H317" s="59" t="s">
        <v>76</v>
      </c>
      <c r="I317" s="59"/>
      <c r="J317" s="1"/>
      <c r="K317" s="264" t="s">
        <v>322</v>
      </c>
      <c r="L317" s="264"/>
      <c r="M317" s="264"/>
      <c r="N317" s="264"/>
      <c r="O317" s="84"/>
      <c r="P317" s="203"/>
      <c r="R317" s="128"/>
      <c r="S317" s="128"/>
      <c r="T317" s="220"/>
      <c r="U317" s="220"/>
      <c r="V317" s="220"/>
      <c r="W317" s="220"/>
      <c r="X317" s="220"/>
      <c r="Y317" s="220"/>
      <c r="Z317" s="220"/>
      <c r="AA317" s="128"/>
      <c r="AB317" s="128"/>
      <c r="AC317" s="128"/>
      <c r="AD317" s="128"/>
      <c r="AE317" s="128"/>
      <c r="AF317" s="128"/>
      <c r="AG317" s="128"/>
      <c r="AH317" s="128"/>
    </row>
    <row r="318" spans="1:35" x14ac:dyDescent="0.25">
      <c r="B318" s="1"/>
      <c r="C318" s="1"/>
      <c r="D318" s="1"/>
      <c r="E318" s="1"/>
      <c r="F318" s="1"/>
      <c r="G318" s="1"/>
      <c r="H318" s="1"/>
      <c r="I318" s="1"/>
      <c r="J318" s="1"/>
      <c r="K318" s="66"/>
      <c r="L318" s="66"/>
      <c r="M318" s="66"/>
      <c r="N318" s="86"/>
      <c r="O318" s="209"/>
      <c r="P318" s="209"/>
      <c r="Q318" s="209"/>
      <c r="R318" s="226" t="str">
        <f>IF(K$34=N$474,"● SAIL Loan",IF(K$34=N$475,"● Grant","● Funding"))&amp;" Request Amount Limits (the lesser of the following):"</f>
        <v>● Funding Request Amount Limits (the lesser of the following):</v>
      </c>
      <c r="S318" s="227"/>
      <c r="T318"/>
      <c r="U318"/>
      <c r="V318"/>
      <c r="W318"/>
      <c r="X318"/>
      <c r="Y318"/>
      <c r="Z318"/>
      <c r="AA318"/>
      <c r="AB318"/>
      <c r="AC318" s="128"/>
      <c r="AD318" s="128"/>
      <c r="AE318" s="128"/>
      <c r="AF318" s="128"/>
      <c r="AG318" s="128"/>
      <c r="AH318" s="128"/>
    </row>
    <row r="319" spans="1:35" ht="12.75" customHeight="1" x14ac:dyDescent="0.25">
      <c r="B319" s="32" t="s">
        <v>86</v>
      </c>
      <c r="C319" s="25" t="s">
        <v>85</v>
      </c>
      <c r="D319" s="1"/>
      <c r="E319" s="1"/>
      <c r="F319" s="1"/>
      <c r="G319" s="32" t="s">
        <v>9</v>
      </c>
      <c r="H319" s="67" t="str">
        <f ca="1">IF(N193="","",N193)</f>
        <v/>
      </c>
      <c r="I319" s="1"/>
      <c r="J319" s="38"/>
      <c r="O319" s="209"/>
      <c r="P319" s="209"/>
      <c r="Q319" s="209"/>
      <c r="R319" s="293" t="str">
        <f>IF(K$34=N$473,"TBD",IF(K$34=N$474,H$552,"No Per Unit Limits"))</f>
        <v>TBD</v>
      </c>
      <c r="S319" s="293"/>
      <c r="T319" s="293"/>
      <c r="U319" s="239" t="str">
        <f>IF(K$34=N$475,"There is no Per Unit limit for Grant funding for Applicants that commit to the Persons with Developmental Disabilities demographic.",IF(N(SUMIF(K323:K341,$K$528,H323:H341))=0,"Maximum allowed is "&amp;TEXT($R319,"$#,##0")&amp;" per Unit; "&amp;IF(N(K$33)=0,"Applicant needs to enter total units in Cell K33 to verify compliance.","or a total of "&amp;TEXT(N(K$33)*N($R319),"$#,##0")&amp;" based on the "&amp;TEXT(N(K$33),"0")&amp;" Total Units indicated."),IF(N(K$33)=0,"Please enter total units in Cell K33.","The SAIL Loan Request entered is equal to "&amp;TEXT(N(SUMIF(K323:K341,$K$528,H323:H341))/N(K$33),"$#,##0.00")&amp;" per Unit, which is "&amp;IF(N(SUMIF(K323:K341,$K$528,H323:H341))/N(K$33)&gt;N($R319),"greater than allowed per the RFA (a total of "&amp;TEXT(N(R319)*N(K$33),"$#,##0")&amp;").","within the per Unit limitation (a total of "&amp;TEXT(N(R319)*N(K$33),"$#,##0")&amp;")."))))</f>
        <v>Maximum allowed is TBD per Unit; Applicant needs to enter total units in Cell K33 to verify compliance.</v>
      </c>
      <c r="V319" s="227"/>
      <c r="W319" s="227"/>
      <c r="X319" s="227"/>
      <c r="Y319" s="227"/>
      <c r="Z319" s="227"/>
      <c r="AA319" s="227"/>
      <c r="AB319"/>
      <c r="AC319" s="128"/>
      <c r="AD319" s="128"/>
      <c r="AE319" s="128"/>
      <c r="AF319" s="128"/>
      <c r="AG319" s="128"/>
      <c r="AH319" s="128"/>
    </row>
    <row r="320" spans="1:35" x14ac:dyDescent="0.25">
      <c r="B320" s="1"/>
      <c r="C320" s="1"/>
      <c r="D320" s="1"/>
      <c r="E320" s="1"/>
      <c r="F320" s="1"/>
      <c r="G320" s="1"/>
      <c r="H320" s="8"/>
      <c r="I320" s="1"/>
      <c r="J320" s="38"/>
      <c r="K320" s="44"/>
      <c r="L320" s="44"/>
      <c r="M320" s="44"/>
      <c r="N320" s="86"/>
      <c r="O320" s="209"/>
      <c r="P320" s="209"/>
      <c r="Q320" s="209"/>
      <c r="R320" s="294" t="str">
        <f>IF(K$34=N$473,"TBD",IF(K$34=N$474,H$553,H$555))</f>
        <v>TBD</v>
      </c>
      <c r="S320" s="294"/>
      <c r="T320" s="294"/>
      <c r="U320" s="228" t="str">
        <f>IF(N(SUMIF(K323:K341,$K$528,H323:H341))=0,"Maximum allowed is "&amp;TEXT($R$268,"$#,##0")&amp;IF(K$34=N$475," of FHFC - Legislative Appropriations (i.e., Grant) funding.",", inclusive of both SAIL and SAIL-ELI funding."),"The SAIL Loan and the SAIL ELI Loan Request amounts entered is "&amp;IF(N(SUMIF(K323:K341,$K$528,H323:H341))+N(SUMIF(K323:K341,$K$529,H323:H341))&gt;$R$268,"greater than allowed per the RFA.","within the per Development limitation."))</f>
        <v>Maximum allowed is TBD, inclusive of both SAIL and SAIL-ELI funding.</v>
      </c>
      <c r="V320"/>
      <c r="W320"/>
      <c r="X320"/>
      <c r="Y320"/>
      <c r="Z320"/>
      <c r="AA320"/>
      <c r="AB320"/>
      <c r="AC320" s="128"/>
      <c r="AD320" s="220"/>
      <c r="AE320" s="220"/>
      <c r="AF320" s="220"/>
      <c r="AG320" s="220"/>
      <c r="AH320" s="220"/>
      <c r="AI320" s="220"/>
    </row>
    <row r="321" spans="2:35" x14ac:dyDescent="0.25">
      <c r="B321" s="32" t="s">
        <v>84</v>
      </c>
      <c r="C321" s="25" t="s">
        <v>87</v>
      </c>
      <c r="D321" s="1"/>
      <c r="E321" s="1"/>
      <c r="F321" s="1"/>
      <c r="G321" s="1"/>
      <c r="H321" s="8"/>
      <c r="I321" s="1"/>
      <c r="J321" s="38"/>
      <c r="K321" s="44"/>
      <c r="L321" s="44"/>
      <c r="M321" s="44"/>
      <c r="N321" s="86"/>
      <c r="O321" s="209"/>
      <c r="P321" s="209"/>
      <c r="Q321" s="216" t="s">
        <v>331</v>
      </c>
      <c r="R321" t="str">
        <f>IF(K$34=N$474,"Your maximum SAIL Request Amount is "&amp;TEXT(MIN(N(R320),N(R320)-N(SUMIF(K323:K341,$K$528,H323:H341))),"$#,##0")&amp;" and you've entered "&amp;TEXT(SUMIF(K323:K341,$K$527,H323:H341),"$#,##0")&amp;" during the permanent phase, which is a Request Amount that is"&amp;IF(SUMIF(K323:K341,$K$527,H323:H341)&gt;MIN(N(R320),N(R320)-N(SUMIF(K323:K341,$K$528,H323:H341)))," NOT","")&amp;" within the RFA limit for SAIL funding.","")</f>
        <v/>
      </c>
      <c r="S321"/>
      <c r="T321"/>
      <c r="U321"/>
      <c r="V321"/>
      <c r="W321"/>
      <c r="X321"/>
      <c r="Y321"/>
      <c r="Z321"/>
      <c r="AA321"/>
      <c r="AB321"/>
      <c r="AC321" s="128"/>
      <c r="AD321" s="220"/>
      <c r="AE321" s="220"/>
      <c r="AF321" s="220"/>
      <c r="AG321" s="220"/>
      <c r="AH321" s="220"/>
      <c r="AI321" s="220"/>
    </row>
    <row r="322" spans="2:35" ht="12.75" customHeight="1" x14ac:dyDescent="0.25">
      <c r="B322" s="1"/>
      <c r="C322" s="1"/>
      <c r="D322" s="1"/>
      <c r="E322" s="1"/>
      <c r="F322" s="1"/>
      <c r="G322" s="48"/>
      <c r="H322" s="18"/>
      <c r="I322" s="1"/>
      <c r="J322" s="1"/>
      <c r="K322" s="66"/>
      <c r="L322" s="66"/>
      <c r="M322" s="66"/>
      <c r="N322" s="86"/>
      <c r="O322" s="84"/>
      <c r="P322" s="208"/>
      <c r="Q322" s="209"/>
      <c r="R322"/>
      <c r="S322"/>
      <c r="T322"/>
      <c r="U322"/>
      <c r="V322"/>
      <c r="W322"/>
      <c r="X322"/>
      <c r="Y322"/>
      <c r="Z322"/>
      <c r="AA322"/>
      <c r="AB322"/>
      <c r="AC322" s="128"/>
      <c r="AD322" s="220"/>
      <c r="AE322" s="220"/>
      <c r="AF322" s="220"/>
      <c r="AG322" s="220"/>
      <c r="AH322" s="220"/>
    </row>
    <row r="323" spans="2:35" ht="12.75" customHeight="1" x14ac:dyDescent="0.25">
      <c r="B323" s="109">
        <f>MAX(B$322:B322)+1</f>
        <v>1</v>
      </c>
      <c r="C323" s="1" t="str">
        <f>C271</f>
        <v>First Mortgage Financing</v>
      </c>
      <c r="D323" s="1"/>
      <c r="E323" s="1"/>
      <c r="F323" s="1"/>
      <c r="G323" s="48" t="s">
        <v>9</v>
      </c>
      <c r="H323" s="79"/>
      <c r="I323" s="1"/>
      <c r="J323" s="38"/>
      <c r="K323" s="252" t="s">
        <v>232</v>
      </c>
      <c r="L323" s="252"/>
      <c r="M323" s="252"/>
      <c r="N323" s="252"/>
      <c r="O323" s="209"/>
      <c r="P323" s="209"/>
      <c r="Q323" s="217">
        <f>IF(N(K$33)=0,0,N(H323)/K$33)</f>
        <v>0</v>
      </c>
      <c r="R323" s="226" t="s">
        <v>430</v>
      </c>
      <c r="S323"/>
      <c r="T323"/>
      <c r="U323"/>
      <c r="V323"/>
      <c r="W323"/>
      <c r="X323"/>
      <c r="Y323"/>
      <c r="Z323"/>
      <c r="AA323"/>
      <c r="AB323"/>
      <c r="AC323" s="128"/>
      <c r="AD323" s="220"/>
      <c r="AE323" s="220"/>
      <c r="AF323" s="220"/>
      <c r="AG323" s="220"/>
      <c r="AH323" s="220"/>
    </row>
    <row r="324" spans="2:35" ht="12.75" customHeight="1" x14ac:dyDescent="0.25">
      <c r="B324" s="108"/>
      <c r="C324" s="1"/>
      <c r="D324" s="1"/>
      <c r="E324" s="1"/>
      <c r="F324" s="1"/>
      <c r="G324" s="48"/>
      <c r="H324" s="60"/>
      <c r="I324" s="1"/>
      <c r="J324" s="38"/>
      <c r="K324" s="44"/>
      <c r="L324" s="44"/>
      <c r="M324" s="44"/>
      <c r="N324" s="86"/>
      <c r="O324" s="209"/>
      <c r="P324" s="209"/>
      <c r="Q324" s="209"/>
      <c r="R324" s="245" t="str">
        <f>IF(K$34=N$475,"Applicants that commit to the Persons with Developmental Disabilities or choose Average Income Test as the IRS minimum Set-Aside Commitment are NOT eligible for ELI funding.","Maximum dependent upon location (county) and unit mix.  Please use the RFA 2021-106 ELI Maximum Determination Worksheet to assist with an ELI Set-Aside per unit maximum.  Regardless, the maximum per Development is "&amp;TEXT($H$551,"$#,##0")&amp;".  If the Applicant elected the Average Income Test for the IRS minimum set-aside commitment, it is not eligible for any SAIL-ELI funding.")</f>
        <v>Maximum dependent upon location (county) and unit mix.  Please use the RFA 2021-106 ELI Maximum Determination Worksheet to assist with an ELI Set-Aside per unit maximum.  Regardless, the maximum per Development is $600,000.  If the Applicant elected the Average Income Test for the IRS minimum set-aside commitment, it is not eligible for any SAIL-ELI funding.</v>
      </c>
      <c r="S324" s="245"/>
      <c r="T324" s="245"/>
      <c r="U324" s="245"/>
      <c r="V324" s="245"/>
      <c r="W324" s="245"/>
      <c r="X324" s="245"/>
      <c r="Y324" s="245"/>
      <c r="Z324" s="245"/>
      <c r="AA324" s="245"/>
      <c r="AB324" s="245"/>
      <c r="AC324" s="128"/>
      <c r="AD324" s="220"/>
      <c r="AE324" s="220"/>
      <c r="AF324" s="220"/>
      <c r="AG324" s="220"/>
      <c r="AH324" s="220"/>
    </row>
    <row r="325" spans="2:35" x14ac:dyDescent="0.25">
      <c r="B325" s="109">
        <f>MAX(B$322:B324)+1</f>
        <v>2</v>
      </c>
      <c r="C325" s="1" t="str">
        <f>C273</f>
        <v>Second Mortgage Financing</v>
      </c>
      <c r="D325" s="1"/>
      <c r="E325" s="1"/>
      <c r="F325" s="1"/>
      <c r="G325" s="48" t="s">
        <v>9</v>
      </c>
      <c r="H325" s="79"/>
      <c r="I325" s="1"/>
      <c r="J325" s="38"/>
      <c r="K325" s="252" t="s">
        <v>232</v>
      </c>
      <c r="L325" s="252"/>
      <c r="M325" s="252"/>
      <c r="N325" s="252"/>
      <c r="O325" s="209"/>
      <c r="P325" s="209"/>
      <c r="Q325" s="217">
        <f>IF(N(K$33)=0,0,N(H325)/K$33)</f>
        <v>0</v>
      </c>
      <c r="R325" s="246"/>
      <c r="S325" s="246"/>
      <c r="T325" s="246"/>
      <c r="U325" s="246"/>
      <c r="V325" s="246"/>
      <c r="W325" s="246"/>
      <c r="X325" s="246"/>
      <c r="Y325" s="246"/>
      <c r="Z325" s="246"/>
      <c r="AA325" s="246"/>
      <c r="AB325" s="246"/>
      <c r="AC325" s="128"/>
      <c r="AD325" s="220"/>
      <c r="AE325" s="220"/>
      <c r="AF325" s="220"/>
      <c r="AG325" s="220"/>
      <c r="AH325" s="220"/>
    </row>
    <row r="326" spans="2:35" x14ac:dyDescent="0.25">
      <c r="B326" s="1"/>
      <c r="C326" s="1"/>
      <c r="D326" s="1"/>
      <c r="E326" s="1"/>
      <c r="F326" s="1"/>
      <c r="G326" s="48"/>
      <c r="H326" s="60"/>
      <c r="I326" s="1"/>
      <c r="J326" s="38"/>
      <c r="K326" s="44"/>
      <c r="L326" s="44"/>
      <c r="M326" s="44"/>
      <c r="N326" s="86"/>
      <c r="O326" s="209"/>
      <c r="P326" s="209"/>
      <c r="Q326" s="209"/>
      <c r="R326" s="246"/>
      <c r="S326" s="246"/>
      <c r="T326" s="246"/>
      <c r="U326" s="246"/>
      <c r="V326" s="246"/>
      <c r="W326" s="246"/>
      <c r="X326" s="246"/>
      <c r="Y326" s="246"/>
      <c r="Z326" s="246"/>
      <c r="AA326" s="246"/>
      <c r="AB326" s="246"/>
      <c r="AC326" s="128"/>
      <c r="AD326" s="220"/>
      <c r="AE326" s="220"/>
      <c r="AF326" s="220"/>
      <c r="AG326" s="220"/>
      <c r="AH326" s="220"/>
    </row>
    <row r="327" spans="2:35" x14ac:dyDescent="0.25">
      <c r="B327" s="109">
        <f>MAX(B$322:B326)+1</f>
        <v>3</v>
      </c>
      <c r="C327" s="1" t="str">
        <f>C275</f>
        <v>Third Mortgage Financing</v>
      </c>
      <c r="D327" s="1"/>
      <c r="E327" s="1"/>
      <c r="F327" s="1"/>
      <c r="G327" s="48" t="s">
        <v>9</v>
      </c>
      <c r="H327" s="79"/>
      <c r="I327" s="1"/>
      <c r="J327" s="38"/>
      <c r="K327" s="252" t="s">
        <v>232</v>
      </c>
      <c r="L327" s="252"/>
      <c r="M327" s="252"/>
      <c r="N327" s="252"/>
      <c r="O327" s="209"/>
      <c r="P327" s="209"/>
      <c r="Q327" s="217">
        <f>IF(N(K$33)=0,0,N(H327)/K$33)</f>
        <v>0</v>
      </c>
      <c r="AE327" s="220"/>
      <c r="AF327" s="220"/>
      <c r="AG327" s="220"/>
      <c r="AH327" s="220"/>
    </row>
    <row r="328" spans="2:35" x14ac:dyDescent="0.25">
      <c r="B328" s="1"/>
      <c r="C328" s="1"/>
      <c r="D328" s="1"/>
      <c r="E328" s="1"/>
      <c r="F328" s="1"/>
      <c r="G328" s="48"/>
      <c r="H328" s="60"/>
      <c r="I328" s="1"/>
      <c r="J328" s="38"/>
      <c r="K328" s="44"/>
      <c r="L328" s="44"/>
      <c r="M328" s="44"/>
      <c r="N328" s="86"/>
      <c r="O328" s="209"/>
      <c r="P328" s="209"/>
      <c r="Q328" s="209"/>
      <c r="R328" s="226" t="str">
        <f>IF(OR(K$34=N$473,K$34=N$474),"● Combined SAIL &amp; ELI Loan Request Amount Limit:","This section is not applicable to Applicants that selected the Persons with Developmental Disabilities demographic commitment.")</f>
        <v>● Combined SAIL &amp; ELI Loan Request Amount Limit:</v>
      </c>
      <c r="S328"/>
      <c r="T328"/>
      <c r="U328" s="229"/>
      <c r="V328" s="229"/>
      <c r="W328" s="229"/>
      <c r="X328" s="230"/>
      <c r="Y328"/>
      <c r="Z328"/>
      <c r="AA328"/>
      <c r="AB328"/>
      <c r="AC328" s="128"/>
      <c r="AD328" s="220"/>
      <c r="AE328" s="220"/>
      <c r="AF328" s="220"/>
      <c r="AG328" s="220"/>
      <c r="AH328" s="220"/>
    </row>
    <row r="329" spans="2:35" ht="12.75" customHeight="1" x14ac:dyDescent="0.25">
      <c r="B329" s="109">
        <f>MAX(B$322:B328)+1</f>
        <v>4</v>
      </c>
      <c r="C329" s="1" t="str">
        <f>C277</f>
        <v>Fourth Mortgage Financing</v>
      </c>
      <c r="D329" s="1"/>
      <c r="E329" s="1"/>
      <c r="F329" s="1"/>
      <c r="G329" s="48" t="s">
        <v>9</v>
      </c>
      <c r="H329" s="79"/>
      <c r="I329" s="1"/>
      <c r="J329" s="38"/>
      <c r="K329" s="252" t="s">
        <v>232</v>
      </c>
      <c r="L329" s="252"/>
      <c r="M329" s="252"/>
      <c r="N329" s="252"/>
      <c r="O329" s="209"/>
      <c r="P329" s="209"/>
      <c r="Q329" s="217">
        <f>IF(N(K$33)=0,0,N(H329)/K$33)</f>
        <v>0</v>
      </c>
      <c r="R329" s="247" t="str">
        <f>IF(K$34=N$474,ROUNDDOWN(35%*N(N$193),2),"")</f>
        <v/>
      </c>
      <c r="S329" s="247"/>
      <c r="T329" s="247"/>
      <c r="U329" s="231" t="str">
        <f ca="1">IF(OR(K$34=N$473,K$34=N$474),IF(N(SUMIF(K323:K341,$K$528,H323:H341))+N(SUMIF(K323:K341,$K$529,H323:H341))=0,"Maximum allowed is 35% of Total Development Costs, or "&amp;TEXT(ROUNDDOWN(N(N$193)*35%,2),"$#,##0.00")&amp;".","The total amounts enetered for SAIL and ELI Loan Request amounts "&amp;IF(N(SUMIF(K323:K341,$K$528,H323:H341))+N(SUMIF(K323:K341,$K$529,H323:H341))&lt;=ROUNDDOWN(N(N$193)*35%,2),"is within the % of TDC limitation.","EXCEEDS the % of TDC limitation by "&amp;TEXT(N(SUMIF(K323:K341,$K$528,H323:H341))+N(SUMIF(K323:K341,$K$529,H323:H341))-ROUNDDOWN(N(N$193)*35%,2),"$#,##0")&amp;".")),"Not applicable.")</f>
        <v>Maximum allowed is 35% of Total Development Costs, or $0.00.</v>
      </c>
      <c r="V329" s="229"/>
      <c r="W329" s="229"/>
      <c r="X329"/>
      <c r="Y329"/>
      <c r="Z329"/>
      <c r="AA329"/>
      <c r="AB329"/>
      <c r="AC329" s="220"/>
      <c r="AD329" s="220"/>
      <c r="AE329" s="220"/>
      <c r="AF329" s="220"/>
      <c r="AG329" s="220"/>
      <c r="AH329" s="220"/>
    </row>
    <row r="330" spans="2:35" ht="12.75" customHeight="1" x14ac:dyDescent="0.25">
      <c r="B330" s="66"/>
      <c r="C330" s="66"/>
      <c r="D330" s="66"/>
      <c r="E330" s="66"/>
      <c r="F330" s="66"/>
      <c r="G330" s="164"/>
      <c r="H330" s="60"/>
      <c r="I330" s="66"/>
      <c r="J330" s="44"/>
      <c r="K330" s="44"/>
      <c r="L330" s="44"/>
      <c r="M330" s="44"/>
      <c r="N330" s="86"/>
      <c r="O330" s="209"/>
      <c r="P330" s="209"/>
      <c r="Q330" s="209"/>
      <c r="AC330" s="220"/>
      <c r="AD330" s="220"/>
      <c r="AE330" s="220"/>
      <c r="AF330" s="220"/>
      <c r="AG330" s="220"/>
    </row>
    <row r="331" spans="2:35" ht="12.75" customHeight="1" x14ac:dyDescent="0.25">
      <c r="B331" s="109">
        <f>MAX(B$322:B330)+1</f>
        <v>5</v>
      </c>
      <c r="C331" s="1" t="str">
        <f>C279</f>
        <v>Fifth Mortgage Financing</v>
      </c>
      <c r="D331" s="1"/>
      <c r="E331" s="1"/>
      <c r="F331" s="1"/>
      <c r="G331" s="48" t="s">
        <v>9</v>
      </c>
      <c r="H331" s="79"/>
      <c r="I331" s="1"/>
      <c r="J331" s="38"/>
      <c r="K331" s="252" t="s">
        <v>232</v>
      </c>
      <c r="L331" s="252"/>
      <c r="M331" s="252"/>
      <c r="N331" s="252"/>
      <c r="O331" s="209"/>
      <c r="P331" s="209"/>
      <c r="Q331" s="217">
        <f>IF(N(K$33)=0,0,N(H331)/K$33)</f>
        <v>0</v>
      </c>
      <c r="R331" s="96"/>
      <c r="S331" s="220"/>
      <c r="T331" s="220"/>
      <c r="U331" s="220"/>
      <c r="V331" s="220"/>
      <c r="W331" s="220"/>
      <c r="X331" s="220"/>
      <c r="Y331" s="220"/>
      <c r="Z331" s="220"/>
      <c r="AA331" s="220"/>
      <c r="AB331" s="220"/>
      <c r="AC331" s="220"/>
      <c r="AD331" s="220"/>
      <c r="AE331" s="220"/>
      <c r="AF331" s="220"/>
      <c r="AG331" s="220"/>
    </row>
    <row r="332" spans="2:35" x14ac:dyDescent="0.25">
      <c r="B332" s="66"/>
      <c r="C332" s="66"/>
      <c r="D332" s="66"/>
      <c r="E332" s="66"/>
      <c r="F332" s="66"/>
      <c r="G332" s="164"/>
      <c r="H332" s="60"/>
      <c r="I332" s="66"/>
      <c r="J332" s="44"/>
      <c r="K332" s="44"/>
      <c r="L332" s="44"/>
      <c r="M332" s="44"/>
      <c r="N332" s="86"/>
      <c r="O332" s="209"/>
      <c r="P332" s="209"/>
      <c r="Q332" s="209"/>
      <c r="R332" s="96"/>
      <c r="X332" s="208"/>
      <c r="Y332" s="208"/>
      <c r="Z332" s="208"/>
    </row>
    <row r="333" spans="2:35" x14ac:dyDescent="0.25">
      <c r="B333" s="109">
        <f>MAX(B$322:B332)+1</f>
        <v>6</v>
      </c>
      <c r="C333" s="1" t="str">
        <f>C281</f>
        <v>Sixth Mortgage Financing</v>
      </c>
      <c r="D333" s="1"/>
      <c r="E333" s="1"/>
      <c r="F333" s="1"/>
      <c r="G333" s="48" t="s">
        <v>9</v>
      </c>
      <c r="H333" s="79"/>
      <c r="I333" s="1"/>
      <c r="J333" s="38"/>
      <c r="K333" s="252" t="s">
        <v>232</v>
      </c>
      <c r="L333" s="252"/>
      <c r="M333" s="252"/>
      <c r="N333" s="252"/>
      <c r="O333" s="209"/>
      <c r="P333" s="209"/>
      <c r="Q333" s="217">
        <f>IF(N(K$33)=0,0,N(H333)/K$33)</f>
        <v>0</v>
      </c>
      <c r="R333" s="208"/>
      <c r="X333" s="208"/>
      <c r="Y333" s="208"/>
      <c r="Z333" s="208"/>
    </row>
    <row r="334" spans="2:35" x14ac:dyDescent="0.25">
      <c r="B334" s="1"/>
      <c r="C334" s="1"/>
      <c r="D334" s="1"/>
      <c r="E334" s="1"/>
      <c r="F334" s="1"/>
      <c r="G334" s="48"/>
      <c r="H334" s="60"/>
      <c r="I334" s="1"/>
      <c r="J334" s="38"/>
      <c r="K334" s="44"/>
      <c r="L334" s="44"/>
      <c r="M334" s="44"/>
      <c r="N334" s="86"/>
      <c r="O334" s="209"/>
      <c r="P334" s="209"/>
      <c r="Q334" s="209"/>
      <c r="R334" s="208"/>
      <c r="X334" s="208"/>
      <c r="Y334" s="208"/>
      <c r="Z334" s="208"/>
    </row>
    <row r="335" spans="2:35" x14ac:dyDescent="0.25">
      <c r="B335" s="109">
        <f>MAX(B$322:B334)+1</f>
        <v>7</v>
      </c>
      <c r="C335" s="1" t="str">
        <f>C283</f>
        <v>Seventh Mortgage Financing</v>
      </c>
      <c r="D335" s="1"/>
      <c r="E335" s="1"/>
      <c r="F335" s="1"/>
      <c r="G335" s="48" t="s">
        <v>9</v>
      </c>
      <c r="H335" s="79"/>
      <c r="I335" s="1"/>
      <c r="J335" s="38"/>
      <c r="K335" s="252" t="s">
        <v>232</v>
      </c>
      <c r="L335" s="252"/>
      <c r="M335" s="252"/>
      <c r="N335" s="252"/>
      <c r="O335" s="209"/>
      <c r="P335" s="209"/>
      <c r="Q335" s="217">
        <f>IF(N(K$33)=0,0,N(H335)/K$33)</f>
        <v>0</v>
      </c>
      <c r="R335" s="208"/>
      <c r="U335" s="208"/>
      <c r="V335" s="208"/>
      <c r="W335" s="208"/>
      <c r="X335" s="208"/>
      <c r="Y335" s="208"/>
      <c r="Z335" s="208"/>
    </row>
    <row r="336" spans="2:35" x14ac:dyDescent="0.25">
      <c r="B336" s="1"/>
      <c r="C336" s="1"/>
      <c r="D336" s="1"/>
      <c r="E336" s="1"/>
      <c r="F336" s="1"/>
      <c r="G336" s="48"/>
      <c r="H336" s="60"/>
      <c r="I336" s="1"/>
      <c r="J336" s="38"/>
      <c r="K336" s="44"/>
      <c r="L336" s="44"/>
      <c r="M336" s="44"/>
      <c r="N336" s="86"/>
      <c r="O336" s="209"/>
      <c r="P336" s="209"/>
      <c r="Q336" s="209"/>
    </row>
    <row r="337" spans="2:17" x14ac:dyDescent="0.25">
      <c r="B337" s="109">
        <f>MAX(B$322:B336)+1</f>
        <v>8</v>
      </c>
      <c r="C337" s="1" t="str">
        <f>C285</f>
        <v>Eighth Mortgage Financing</v>
      </c>
      <c r="D337" s="1"/>
      <c r="E337" s="1"/>
      <c r="F337" s="1"/>
      <c r="G337" s="48" t="s">
        <v>9</v>
      </c>
      <c r="H337" s="79"/>
      <c r="I337" s="1"/>
      <c r="J337" s="38"/>
      <c r="K337" s="252" t="s">
        <v>232</v>
      </c>
      <c r="L337" s="252"/>
      <c r="M337" s="252"/>
      <c r="N337" s="252"/>
      <c r="O337" s="209"/>
      <c r="P337" s="209"/>
      <c r="Q337" s="217">
        <f>IF(N(K$33)=0,0,N(H337)/K$33)</f>
        <v>0</v>
      </c>
    </row>
    <row r="338" spans="2:17" x14ac:dyDescent="0.25">
      <c r="B338" s="1"/>
      <c r="C338" s="1"/>
      <c r="D338" s="1"/>
      <c r="E338" s="1"/>
      <c r="F338" s="1"/>
      <c r="G338" s="48"/>
      <c r="H338" s="60"/>
      <c r="I338" s="1"/>
      <c r="J338" s="38"/>
      <c r="K338" s="44"/>
      <c r="L338" s="44"/>
      <c r="M338" s="44"/>
      <c r="N338" s="86"/>
      <c r="O338" s="209"/>
      <c r="P338" s="209"/>
      <c r="Q338" s="209"/>
    </row>
    <row r="339" spans="2:17" x14ac:dyDescent="0.25">
      <c r="B339" s="109">
        <f>MAX(B$322:B338)+1</f>
        <v>9</v>
      </c>
      <c r="C339" s="1" t="str">
        <f>C287</f>
        <v>Ninth Mortgage Financing</v>
      </c>
      <c r="D339" s="1"/>
      <c r="E339" s="1"/>
      <c r="F339" s="1"/>
      <c r="G339" s="48" t="s">
        <v>9</v>
      </c>
      <c r="H339" s="79"/>
      <c r="I339" s="1"/>
      <c r="J339" s="38"/>
      <c r="K339" s="252" t="s">
        <v>232</v>
      </c>
      <c r="L339" s="252"/>
      <c r="M339" s="252"/>
      <c r="N339" s="252"/>
      <c r="O339" s="209"/>
      <c r="P339" s="209"/>
      <c r="Q339" s="217">
        <f>IF(N(K$33)=0,0,N(H339)/K$33)</f>
        <v>0</v>
      </c>
    </row>
    <row r="340" spans="2:17" x14ac:dyDescent="0.25">
      <c r="B340" s="1"/>
      <c r="C340" s="1"/>
      <c r="D340" s="1"/>
      <c r="E340" s="1"/>
      <c r="F340" s="1"/>
      <c r="G340" s="48"/>
      <c r="H340" s="60"/>
      <c r="I340" s="1"/>
      <c r="J340" s="38"/>
      <c r="K340" s="44"/>
      <c r="L340" s="44"/>
      <c r="M340" s="44"/>
      <c r="N340" s="86"/>
      <c r="O340" s="209"/>
      <c r="P340" s="209"/>
      <c r="Q340" s="209"/>
    </row>
    <row r="341" spans="2:17" x14ac:dyDescent="0.25">
      <c r="B341" s="109">
        <f>MAX(B$322:B340)+1</f>
        <v>10</v>
      </c>
      <c r="C341" s="1" t="str">
        <f>C289</f>
        <v>Tenth Mortgage Financing</v>
      </c>
      <c r="D341" s="1"/>
      <c r="E341" s="1"/>
      <c r="F341" s="1"/>
      <c r="G341" s="48" t="s">
        <v>9</v>
      </c>
      <c r="H341" s="79"/>
      <c r="I341" s="1"/>
      <c r="J341" s="38"/>
      <c r="K341" s="252" t="s">
        <v>232</v>
      </c>
      <c r="L341" s="252"/>
      <c r="M341" s="252"/>
      <c r="N341" s="252"/>
      <c r="O341" s="209"/>
      <c r="P341" s="209"/>
      <c r="Q341" s="217">
        <f>IF(N(K$33)=0,0,N(H341)/K$33)</f>
        <v>0</v>
      </c>
    </row>
    <row r="342" spans="2:17" x14ac:dyDescent="0.25">
      <c r="B342" s="1"/>
      <c r="C342" s="1"/>
      <c r="D342" s="1"/>
      <c r="E342" s="1"/>
      <c r="F342" s="1"/>
      <c r="G342" s="1"/>
      <c r="H342" s="104"/>
      <c r="I342" s="1"/>
      <c r="J342" s="62"/>
      <c r="K342" s="103"/>
      <c r="L342" s="40"/>
      <c r="M342" s="66"/>
      <c r="N342" s="86"/>
      <c r="O342" s="84"/>
      <c r="P342" s="84"/>
    </row>
    <row r="343" spans="2:17" x14ac:dyDescent="0.25">
      <c r="B343" s="109">
        <f>MAX(B$322:B342)+1</f>
        <v>11</v>
      </c>
      <c r="C343" s="1" t="s">
        <v>113</v>
      </c>
      <c r="D343" s="1"/>
      <c r="E343" s="1"/>
      <c r="F343" s="1"/>
      <c r="G343" s="48" t="s">
        <v>9</v>
      </c>
      <c r="H343" s="79"/>
      <c r="I343" s="1"/>
      <c r="J343" s="38"/>
      <c r="K343" s="103"/>
      <c r="L343" s="40"/>
      <c r="M343" s="66"/>
      <c r="N343" s="86"/>
      <c r="O343" s="209"/>
      <c r="P343" s="209"/>
      <c r="Q343" s="217">
        <f>IF(N(K$33)=0,0,N(H343)/K$33)</f>
        <v>0</v>
      </c>
    </row>
    <row r="344" spans="2:17" x14ac:dyDescent="0.25">
      <c r="B344" s="63"/>
      <c r="C344" s="83"/>
      <c r="D344" s="83"/>
      <c r="E344" s="83"/>
      <c r="F344" s="83"/>
      <c r="G344" s="48"/>
      <c r="H344" s="104"/>
      <c r="I344" s="1"/>
      <c r="J344" s="62"/>
      <c r="K344" s="103"/>
      <c r="L344" s="40"/>
      <c r="M344" s="66"/>
      <c r="N344" s="86"/>
      <c r="O344" s="84"/>
      <c r="P344" s="84"/>
    </row>
    <row r="345" spans="2:17" x14ac:dyDescent="0.25">
      <c r="B345" s="109">
        <f>MAX(B$322:B344)+1</f>
        <v>12</v>
      </c>
      <c r="C345" s="63" t="s">
        <v>74</v>
      </c>
      <c r="D345" s="1"/>
      <c r="E345" s="286"/>
      <c r="F345" s="286"/>
      <c r="G345" s="48" t="s">
        <v>9</v>
      </c>
      <c r="H345" s="79"/>
      <c r="I345" s="1"/>
      <c r="J345" s="62"/>
      <c r="K345" s="103"/>
      <c r="L345" s="40"/>
      <c r="M345" s="66"/>
      <c r="N345" s="86"/>
      <c r="O345" s="84"/>
      <c r="P345" s="84"/>
      <c r="Q345" s="217">
        <f>IF(N(K$33)=0,0,N(H345)/K$33)</f>
        <v>0</v>
      </c>
    </row>
    <row r="346" spans="2:17" x14ac:dyDescent="0.25">
      <c r="B346" s="1"/>
      <c r="C346" s="83"/>
      <c r="D346" s="83"/>
      <c r="E346" s="83"/>
      <c r="F346" s="83"/>
      <c r="G346" s="83"/>
      <c r="H346" s="88"/>
      <c r="I346" s="83"/>
      <c r="J346" s="62"/>
      <c r="K346" s="103"/>
      <c r="L346" s="40"/>
      <c r="M346" s="66"/>
      <c r="N346" s="86"/>
      <c r="O346" s="84"/>
      <c r="P346" s="84"/>
    </row>
    <row r="347" spans="2:17" x14ac:dyDescent="0.25">
      <c r="B347" s="109">
        <f>MAX(B$322:B346)+1</f>
        <v>13</v>
      </c>
      <c r="C347" s="1" t="s">
        <v>74</v>
      </c>
      <c r="D347" s="1"/>
      <c r="E347" s="286"/>
      <c r="F347" s="286"/>
      <c r="G347" s="48" t="s">
        <v>9</v>
      </c>
      <c r="H347" s="79"/>
      <c r="I347" s="1"/>
      <c r="J347" s="62"/>
      <c r="K347" s="103"/>
      <c r="L347" s="40"/>
      <c r="M347" s="66"/>
      <c r="N347" s="86"/>
      <c r="O347" s="84"/>
      <c r="P347" s="84"/>
      <c r="Q347" s="217">
        <f>IF(N(K$33)=0,0,N(H347)/K$33)</f>
        <v>0</v>
      </c>
    </row>
    <row r="348" spans="2:17" ht="12.75" customHeight="1" x14ac:dyDescent="0.25">
      <c r="B348" s="61"/>
      <c r="C348" s="1"/>
      <c r="D348" s="1"/>
      <c r="E348" s="65"/>
      <c r="F348" s="65"/>
      <c r="G348" s="83"/>
      <c r="H348" s="102"/>
      <c r="I348" s="1"/>
      <c r="J348" s="160"/>
      <c r="K348" s="160"/>
      <c r="L348" s="160"/>
      <c r="M348" s="160"/>
      <c r="N348" s="160"/>
      <c r="O348" s="160"/>
      <c r="P348" s="160"/>
    </row>
    <row r="349" spans="2:17" x14ac:dyDescent="0.25">
      <c r="B349" s="109">
        <f>MAX(B$322:B348)+1</f>
        <v>14</v>
      </c>
      <c r="C349" s="1" t="s">
        <v>81</v>
      </c>
      <c r="D349" s="1"/>
      <c r="E349" s="1"/>
      <c r="F349" s="1"/>
      <c r="G349" s="48" t="s">
        <v>9</v>
      </c>
      <c r="H349" s="79"/>
      <c r="I349" s="1"/>
      <c r="J349" s="160"/>
      <c r="K349" s="86"/>
      <c r="L349" s="66"/>
      <c r="M349" s="66"/>
      <c r="N349" s="86"/>
      <c r="O349" s="160"/>
      <c r="P349" s="160"/>
      <c r="Q349" s="217">
        <f>IF(N(K$33)=0,0,N(H349)/K$33)</f>
        <v>0</v>
      </c>
    </row>
    <row r="350" spans="2:17" x14ac:dyDescent="0.25">
      <c r="B350" s="1"/>
      <c r="C350" s="83"/>
      <c r="D350" s="83"/>
      <c r="E350" s="83"/>
      <c r="F350" s="83"/>
      <c r="G350" s="83"/>
      <c r="H350" s="88"/>
      <c r="I350" s="1"/>
      <c r="J350" s="160"/>
      <c r="K350" s="160"/>
      <c r="L350" s="160"/>
      <c r="M350" s="160"/>
      <c r="N350" s="160"/>
      <c r="O350" s="160"/>
      <c r="P350" s="160"/>
    </row>
    <row r="351" spans="2:17" ht="13.8" thickBot="1" x14ac:dyDescent="0.3">
      <c r="B351" s="110">
        <f>MAX(B$322:B350)+1</f>
        <v>15</v>
      </c>
      <c r="C351" s="25" t="s">
        <v>102</v>
      </c>
      <c r="D351" s="1"/>
      <c r="E351" s="1"/>
      <c r="F351" s="1"/>
      <c r="G351" s="48" t="s">
        <v>9</v>
      </c>
      <c r="H351" s="78" t="str">
        <f>IF(SUM(H322:H350)&lt;1,"",SUM(H322:H350))</f>
        <v/>
      </c>
      <c r="I351" s="83"/>
      <c r="J351" s="83"/>
      <c r="K351" s="86"/>
      <c r="L351" s="66"/>
      <c r="M351" s="66"/>
      <c r="N351" s="86"/>
      <c r="O351" s="84"/>
      <c r="P351" s="84"/>
      <c r="Q351" s="217">
        <f>IF(N(K$33)=0,0,N(H351)/K$33)</f>
        <v>0</v>
      </c>
    </row>
    <row r="352" spans="2:17" ht="13.5" customHeight="1" thickTop="1" x14ac:dyDescent="0.25">
      <c r="B352" s="61"/>
      <c r="C352" s="1"/>
      <c r="D352" s="1"/>
      <c r="E352" s="1"/>
      <c r="F352" s="1"/>
      <c r="G352" s="48"/>
      <c r="H352" s="87"/>
      <c r="I352" s="83"/>
      <c r="J352" s="83"/>
      <c r="K352" s="86"/>
      <c r="L352" s="66"/>
      <c r="M352" s="66"/>
      <c r="N352" s="86"/>
      <c r="O352" s="84"/>
      <c r="P352" s="84"/>
    </row>
    <row r="353" spans="1:17" x14ac:dyDescent="0.25">
      <c r="B353" s="32" t="s">
        <v>61</v>
      </c>
      <c r="C353" s="25" t="s">
        <v>95</v>
      </c>
      <c r="D353" s="25"/>
      <c r="E353" s="25"/>
      <c r="F353" s="25"/>
      <c r="G353" s="1"/>
      <c r="H353" s="15"/>
      <c r="I353" s="1"/>
      <c r="J353" s="38"/>
      <c r="K353" s="44"/>
      <c r="L353" s="66"/>
      <c r="M353" s="66"/>
      <c r="N353" s="86"/>
      <c r="O353" s="84"/>
      <c r="P353" s="84"/>
    </row>
    <row r="354" spans="1:17" x14ac:dyDescent="0.25">
      <c r="B354" s="32"/>
      <c r="C354" s="25"/>
      <c r="D354" s="28" t="str">
        <f>"(B."&amp;TEXT(B351,"0")&amp;". "&amp;C351&amp;", "</f>
        <v xml:space="preserve">(B.15. Total Permanent Funding Sources, </v>
      </c>
      <c r="E354" s="25"/>
      <c r="F354" s="25"/>
      <c r="G354" s="1"/>
      <c r="H354" s="15"/>
      <c r="I354" s="1"/>
      <c r="J354" s="38"/>
      <c r="K354" s="44"/>
      <c r="L354" s="66"/>
      <c r="M354" s="66"/>
      <c r="N354" s="86"/>
      <c r="O354" s="84"/>
      <c r="P354" s="124" t="str">
        <f ca="1">IF(N(H355)&lt;0,"**","")</f>
        <v/>
      </c>
    </row>
    <row r="355" spans="1:17" ht="13.8" thickBot="1" x14ac:dyDescent="0.3">
      <c r="B355" s="32"/>
      <c r="C355" s="25"/>
      <c r="D355" s="28" t="str">
        <f>" less "&amp;B319&amp;" "&amp;C319&amp;"):"</f>
        <v xml:space="preserve"> less A. Total Development Costs):</v>
      </c>
      <c r="E355" s="25"/>
      <c r="F355" s="25"/>
      <c r="G355" s="32" t="s">
        <v>9</v>
      </c>
      <c r="H355" s="78" t="str">
        <f ca="1">IF(AND(N(H351)=0,N(H319)=0),"",N(H351)-N(H319))</f>
        <v/>
      </c>
      <c r="I355" s="1"/>
      <c r="J355" s="38" t="s">
        <v>94</v>
      </c>
      <c r="K355" s="66"/>
      <c r="L355" s="86"/>
      <c r="M355" s="86"/>
      <c r="N355" s="86"/>
      <c r="O355" s="84"/>
      <c r="P355" s="84"/>
      <c r="Q355" s="85" t="str">
        <f ca="1">IF(N(H355)=0,"Permanent Funding Sources are equal to Total Development Costs.",IF(N(H355)&lt;0,"There is a shortfall in Permanent Funding Sources which must be corrected.","There is a surplus of Permanent Funding Sources which is permitted at time of Application."))</f>
        <v>Permanent Funding Sources are equal to Total Development Costs.</v>
      </c>
    </row>
    <row r="356" spans="1:17" ht="13.8" thickTop="1" x14ac:dyDescent="0.25">
      <c r="B356" s="25"/>
      <c r="C356" s="25"/>
      <c r="D356" s="1"/>
      <c r="E356" s="25"/>
      <c r="F356" s="25"/>
      <c r="G356" s="48"/>
      <c r="H356" s="83"/>
      <c r="I356" s="1"/>
      <c r="J356" s="1"/>
      <c r="K356" s="66"/>
      <c r="L356" s="86"/>
      <c r="M356" s="86"/>
      <c r="N356" s="86"/>
      <c r="O356" s="84"/>
      <c r="P356" s="84"/>
    </row>
    <row r="357" spans="1:17" ht="13.8" thickBot="1" x14ac:dyDescent="0.3">
      <c r="B357" s="25" t="s">
        <v>93</v>
      </c>
      <c r="C357" s="83"/>
      <c r="D357" s="1"/>
      <c r="E357" s="1"/>
      <c r="F357" s="1"/>
      <c r="G357" s="1"/>
      <c r="H357" s="1"/>
      <c r="I357" s="1"/>
      <c r="J357" s="1"/>
      <c r="K357" s="1"/>
      <c r="L357" s="1"/>
      <c r="M357" s="1"/>
      <c r="N357" s="83"/>
      <c r="O357" s="84"/>
      <c r="P357" s="84"/>
    </row>
    <row r="358" spans="1:17" ht="3.75" customHeight="1" x14ac:dyDescent="0.25">
      <c r="A358" s="82"/>
      <c r="B358" s="89"/>
      <c r="C358" s="89"/>
      <c r="D358" s="89"/>
      <c r="E358" s="89"/>
      <c r="F358" s="89"/>
      <c r="G358" s="89"/>
      <c r="H358" s="89"/>
      <c r="I358" s="89"/>
      <c r="J358" s="89"/>
      <c r="K358" s="89"/>
      <c r="L358" s="89"/>
      <c r="M358" s="89"/>
      <c r="N358" s="89"/>
      <c r="O358" s="82"/>
      <c r="P358" s="82"/>
    </row>
    <row r="359" spans="1:17" x14ac:dyDescent="0.25">
      <c r="B359" s="64" t="str">
        <f>B$2</f>
        <v>RFA 2021-106 DEVELOPMENT COST PRO FORMA</v>
      </c>
      <c r="C359" s="83"/>
      <c r="D359" s="83"/>
      <c r="E359" s="83"/>
      <c r="F359" s="83"/>
      <c r="G359" s="83"/>
      <c r="H359" s="83"/>
      <c r="I359" s="83"/>
      <c r="J359" s="83"/>
      <c r="K359" s="86"/>
      <c r="L359" s="86"/>
      <c r="M359" s="86"/>
      <c r="N359" s="86"/>
      <c r="O359" s="84"/>
      <c r="P359" s="3" t="s">
        <v>255</v>
      </c>
    </row>
    <row r="360" spans="1:17" x14ac:dyDescent="0.25">
      <c r="B360" s="83"/>
      <c r="C360" s="83"/>
      <c r="D360" s="83"/>
      <c r="E360" s="83"/>
      <c r="F360" s="83"/>
      <c r="G360" s="83"/>
      <c r="H360" s="83"/>
      <c r="I360" s="83"/>
      <c r="J360" s="83"/>
      <c r="K360" s="83"/>
      <c r="L360" s="83"/>
      <c r="M360" s="83"/>
      <c r="N360" s="83"/>
    </row>
    <row r="361" spans="1:17" x14ac:dyDescent="0.25">
      <c r="B361" s="113" t="s">
        <v>230</v>
      </c>
      <c r="C361" s="113"/>
      <c r="D361" s="113"/>
      <c r="E361" s="113"/>
      <c r="F361" s="113"/>
      <c r="G361" s="113"/>
      <c r="H361" s="113"/>
      <c r="I361" s="113"/>
      <c r="J361" s="113"/>
      <c r="K361" s="113"/>
      <c r="L361" s="113"/>
      <c r="M361" s="113"/>
      <c r="N361" s="113"/>
      <c r="O361" s="113"/>
      <c r="P361" s="113"/>
    </row>
    <row r="362" spans="1:17" x14ac:dyDescent="0.25">
      <c r="B362" s="113" t="s">
        <v>266</v>
      </c>
      <c r="C362" s="113"/>
      <c r="D362" s="113"/>
      <c r="E362" s="113"/>
      <c r="F362" s="113"/>
      <c r="G362" s="113"/>
      <c r="H362" s="113"/>
      <c r="I362" s="113"/>
      <c r="J362" s="113"/>
      <c r="K362" s="113"/>
      <c r="L362" s="113"/>
      <c r="M362" s="113"/>
      <c r="N362" s="113"/>
      <c r="O362" s="113"/>
      <c r="P362" s="113"/>
    </row>
    <row r="363" spans="1:17" x14ac:dyDescent="0.25">
      <c r="B363" s="113" t="s">
        <v>267</v>
      </c>
      <c r="C363" s="113"/>
      <c r="D363" s="113"/>
      <c r="E363" s="113"/>
      <c r="F363" s="113"/>
      <c r="G363" s="113"/>
      <c r="H363" s="113"/>
      <c r="I363" s="113"/>
      <c r="J363" s="113"/>
      <c r="K363" s="113"/>
      <c r="L363" s="113"/>
      <c r="M363" s="113"/>
      <c r="N363" s="113"/>
      <c r="O363" s="113"/>
      <c r="P363" s="113"/>
    </row>
    <row r="364" spans="1:17" x14ac:dyDescent="0.25">
      <c r="B364" s="113" t="s">
        <v>268</v>
      </c>
      <c r="C364" s="113"/>
      <c r="D364" s="113"/>
      <c r="E364" s="113"/>
      <c r="F364" s="113"/>
      <c r="G364" s="113"/>
      <c r="H364" s="113"/>
      <c r="I364" s="113"/>
      <c r="J364" s="113"/>
      <c r="K364" s="113"/>
      <c r="L364" s="113"/>
      <c r="M364" s="113"/>
      <c r="N364" s="113"/>
      <c r="O364" s="113"/>
      <c r="P364" s="113"/>
    </row>
    <row r="365" spans="1:17" x14ac:dyDescent="0.25">
      <c r="B365" s="113" t="s">
        <v>269</v>
      </c>
      <c r="C365" s="113"/>
      <c r="D365" s="113"/>
      <c r="E365" s="113"/>
      <c r="F365" s="113"/>
      <c r="G365" s="113"/>
      <c r="H365" s="113"/>
      <c r="I365" s="113"/>
      <c r="J365" s="113"/>
      <c r="K365" s="113"/>
      <c r="L365" s="113"/>
      <c r="M365" s="113"/>
      <c r="N365" s="113"/>
      <c r="O365" s="113"/>
      <c r="P365" s="113"/>
    </row>
    <row r="366" spans="1:17" x14ac:dyDescent="0.25">
      <c r="B366" s="113" t="s">
        <v>270</v>
      </c>
      <c r="C366" s="83"/>
      <c r="D366" s="83"/>
      <c r="E366" s="83"/>
      <c r="F366" s="83"/>
      <c r="G366" s="83"/>
      <c r="H366" s="83"/>
      <c r="I366" s="83"/>
      <c r="J366" s="83"/>
      <c r="K366" s="83"/>
      <c r="L366" s="83"/>
      <c r="M366" s="83"/>
      <c r="N366" s="83"/>
    </row>
    <row r="367" spans="1:17" x14ac:dyDescent="0.25">
      <c r="B367" s="83"/>
      <c r="C367" s="83"/>
      <c r="D367" s="83"/>
      <c r="E367" s="83"/>
      <c r="F367" s="83"/>
      <c r="G367" s="83"/>
      <c r="H367" s="83"/>
      <c r="I367" s="83"/>
      <c r="J367" s="83"/>
      <c r="K367" s="83"/>
      <c r="L367" s="83"/>
      <c r="M367" s="83"/>
      <c r="N367" s="83"/>
    </row>
    <row r="368" spans="1:17" x14ac:dyDescent="0.25">
      <c r="B368" s="25" t="s">
        <v>173</v>
      </c>
      <c r="C368" s="83"/>
      <c r="D368" s="83"/>
      <c r="E368" s="83"/>
      <c r="F368" s="83"/>
      <c r="G368" s="83"/>
      <c r="H368" s="83"/>
      <c r="I368" s="83"/>
      <c r="J368" s="83"/>
      <c r="K368" s="83"/>
      <c r="L368" s="83"/>
      <c r="M368" s="83"/>
      <c r="N368" s="171" t="str">
        <f>IF(K370=E480,"",IF(OR(K370="Broward",K370="Miami-Dade"),"South Florida, ","Not in South Florida, ")&amp;IF(K32=F473,"",IF(OR(K32="New Construction (w/ or w/o Acquisition)",K32="Redevelopment (w/ or w/o Acquisition)"),"New Construction, ","Rehab, ")&amp;IF(K375=K473,"",IF(K375=K474,"Garden",IF(OR(K32="New Construction (w/ or w/o Acquisition)",K32="Redevelopment (w/ or w/o Acquisition)"),IF(K375=K475,"Mid-Rise","High-Rise"),"Non-Garden"))&amp;IF(OR(K32="Rehabilitation (w/ or w/o Acquisition)",K32="Preservation (w/ or w/o Acquisition)"),".",IF(OR(K378=C474,K375=K476),", ESSC.",IF(OR(K378=C475,AND(OR(K32="New Construction (w/ or w/o Acquisition)",K32="Redevelopment (w/ or w/o Acquisition)"),OR(K378=C473,K378=C476))),", Wood.",""))))))</f>
        <v/>
      </c>
    </row>
    <row r="369" spans="2:22" x14ac:dyDescent="0.25">
      <c r="B369" s="83"/>
      <c r="C369" s="83"/>
      <c r="D369" s="83"/>
      <c r="E369" s="83"/>
      <c r="F369" s="83"/>
      <c r="G369" s="83"/>
      <c r="H369" s="83"/>
      <c r="I369" s="83"/>
      <c r="J369" s="83"/>
      <c r="K369" s="83"/>
      <c r="L369" s="83"/>
      <c r="M369" s="83"/>
      <c r="N369" s="83"/>
    </row>
    <row r="370" spans="2:22" x14ac:dyDescent="0.25">
      <c r="B370" s="83"/>
      <c r="C370" s="83" t="s">
        <v>163</v>
      </c>
      <c r="D370" s="83"/>
      <c r="E370" s="83"/>
      <c r="F370" s="83"/>
      <c r="G370" s="83"/>
      <c r="H370" s="83"/>
      <c r="I370" s="83"/>
      <c r="J370" s="83"/>
      <c r="K370" s="262" t="s">
        <v>232</v>
      </c>
      <c r="L370" s="262"/>
      <c r="M370" s="262"/>
      <c r="N370" s="205" t="str">
        <f>IF(K370=E480,"","("&amp;VLOOKUP(K370,ELIData,2)&amp;" County)")</f>
        <v/>
      </c>
      <c r="Q370" s="199"/>
    </row>
    <row r="371" spans="2:22" x14ac:dyDescent="0.25">
      <c r="B371" s="83"/>
      <c r="C371" s="83"/>
      <c r="D371" s="83"/>
      <c r="E371" s="83"/>
      <c r="F371" s="83"/>
      <c r="G371" s="83"/>
      <c r="H371" s="83"/>
      <c r="I371" s="83"/>
      <c r="J371" s="83"/>
      <c r="K371" s="255"/>
      <c r="L371" s="255"/>
      <c r="M371" s="255"/>
      <c r="N371" s="83"/>
    </row>
    <row r="372" spans="2:22" x14ac:dyDescent="0.25">
      <c r="B372" s="83"/>
      <c r="C372" s="63" t="s">
        <v>243</v>
      </c>
      <c r="D372" s="83"/>
      <c r="E372" s="83"/>
      <c r="F372" s="83"/>
      <c r="G372" s="83"/>
      <c r="H372" s="83"/>
      <c r="I372" s="83"/>
      <c r="J372" s="83"/>
      <c r="K372" s="173"/>
      <c r="L372" s="173"/>
      <c r="M372" s="173"/>
      <c r="N372" s="83"/>
    </row>
    <row r="373" spans="2:22" x14ac:dyDescent="0.25">
      <c r="B373" s="83"/>
      <c r="C373" s="83"/>
      <c r="D373" s="83" t="s">
        <v>244</v>
      </c>
      <c r="E373" s="83"/>
      <c r="F373" s="83"/>
      <c r="G373" s="83"/>
      <c r="H373" s="83"/>
      <c r="I373" s="83"/>
      <c r="J373" s="83"/>
      <c r="K373" s="266" t="str">
        <f>IF(K32=F473,"Need Dev Category",K32)</f>
        <v>Need Dev Category</v>
      </c>
      <c r="L373" s="266"/>
      <c r="M373" s="266"/>
      <c r="N373" s="266"/>
    </row>
    <row r="374" spans="2:22" x14ac:dyDescent="0.25">
      <c r="B374" s="83"/>
      <c r="C374" s="83"/>
      <c r="D374" s="83"/>
      <c r="E374" s="83"/>
      <c r="F374" s="83"/>
      <c r="G374" s="83"/>
      <c r="H374" s="83"/>
      <c r="I374" s="83"/>
      <c r="J374" s="83"/>
      <c r="K374" s="173"/>
      <c r="L374" s="173"/>
      <c r="M374" s="173"/>
      <c r="N374" s="83"/>
    </row>
    <row r="375" spans="2:22" x14ac:dyDescent="0.25">
      <c r="B375" s="83"/>
      <c r="C375" s="83" t="s">
        <v>164</v>
      </c>
      <c r="D375" s="83"/>
      <c r="E375" s="83"/>
      <c r="F375" s="83"/>
      <c r="G375" s="83"/>
      <c r="H375" s="83"/>
      <c r="I375" s="83"/>
      <c r="J375" s="83"/>
      <c r="K375" s="257" t="s">
        <v>232</v>
      </c>
      <c r="L375" s="257"/>
      <c r="M375" s="257"/>
      <c r="N375" s="83"/>
      <c r="Q375" s="244" t="s">
        <v>420</v>
      </c>
      <c r="R375" s="244"/>
      <c r="S375" s="244"/>
      <c r="T375" s="244"/>
      <c r="U375" s="244"/>
      <c r="V375" s="244"/>
    </row>
    <row r="376" spans="2:22" x14ac:dyDescent="0.25">
      <c r="B376" s="83"/>
      <c r="C376" s="83"/>
      <c r="D376" s="83"/>
      <c r="E376" s="83"/>
      <c r="F376" s="83"/>
      <c r="G376" s="83"/>
      <c r="H376" s="83"/>
      <c r="I376" s="83"/>
      <c r="J376" s="83"/>
      <c r="K376" s="255"/>
      <c r="L376" s="255"/>
      <c r="M376" s="255"/>
      <c r="N376" s="83"/>
      <c r="Q376" s="244"/>
      <c r="R376" s="244"/>
      <c r="S376" s="244"/>
      <c r="T376" s="244"/>
      <c r="U376" s="244"/>
      <c r="V376" s="244"/>
    </row>
    <row r="377" spans="2:22" x14ac:dyDescent="0.25">
      <c r="B377" s="83"/>
      <c r="C377" s="83" t="s">
        <v>241</v>
      </c>
      <c r="D377" s="83"/>
      <c r="E377" s="83"/>
      <c r="F377" s="83"/>
      <c r="G377" s="83"/>
      <c r="H377" s="83"/>
      <c r="I377" s="83"/>
      <c r="J377" s="83"/>
      <c r="K377" s="265"/>
      <c r="L377" s="265"/>
      <c r="M377" s="265"/>
      <c r="N377" s="83"/>
    </row>
    <row r="378" spans="2:22" x14ac:dyDescent="0.25">
      <c r="B378" s="83"/>
      <c r="C378" s="83"/>
      <c r="D378" s="83" t="s">
        <v>242</v>
      </c>
      <c r="E378" s="83"/>
      <c r="F378" s="83"/>
      <c r="G378" s="83"/>
      <c r="H378" s="83"/>
      <c r="I378" s="83"/>
      <c r="J378" s="83"/>
      <c r="K378" s="257" t="s">
        <v>232</v>
      </c>
      <c r="L378" s="257"/>
      <c r="M378" s="257"/>
      <c r="N378" s="83"/>
    </row>
    <row r="379" spans="2:22" x14ac:dyDescent="0.25">
      <c r="B379" s="83"/>
      <c r="C379" s="83"/>
      <c r="D379" s="83"/>
      <c r="E379" s="83"/>
      <c r="F379" s="83"/>
      <c r="G379" s="83"/>
      <c r="H379" s="83"/>
      <c r="I379" s="83"/>
      <c r="J379" s="83"/>
      <c r="K379" s="173"/>
      <c r="L379" s="173"/>
      <c r="M379" s="173"/>
      <c r="N379" s="83"/>
    </row>
    <row r="380" spans="2:22" x14ac:dyDescent="0.25">
      <c r="B380" s="83"/>
      <c r="C380" s="83" t="s">
        <v>179</v>
      </c>
      <c r="D380" s="83"/>
      <c r="E380" s="83"/>
      <c r="F380" s="83"/>
      <c r="G380" s="83"/>
      <c r="H380" s="83"/>
      <c r="I380" s="83"/>
      <c r="J380" s="83"/>
      <c r="K380" s="267" t="str">
        <f>IF(K32=F473,"Need Dev Category",IF(K370=E480,"Need County",IF(K375=K473,"Need Dev Type",IF(AND(OR(K32="New Construction (w/ or w/o Acquisition)",K32="Redevelopment (w/ or w/o Acquisition)"),K378=C473),"ESSC?",IF(ISERROR(VLOOKUP(K479,K481:N494,4)),"",VLOOKUP(K479,K481:N494,4))))))</f>
        <v>Need Dev Category</v>
      </c>
      <c r="L380" s="267"/>
      <c r="M380" s="267"/>
      <c r="N380" s="83"/>
    </row>
    <row r="381" spans="2:22" x14ac:dyDescent="0.25">
      <c r="B381" s="83"/>
      <c r="C381" s="83"/>
      <c r="D381" s="83"/>
      <c r="E381" s="83"/>
      <c r="F381" s="83"/>
      <c r="G381" s="83"/>
      <c r="H381" s="83"/>
      <c r="I381" s="83"/>
      <c r="J381" s="83"/>
      <c r="K381" s="258"/>
      <c r="L381" s="258"/>
      <c r="M381" s="258"/>
      <c r="N381" s="83"/>
    </row>
    <row r="382" spans="2:22" x14ac:dyDescent="0.25">
      <c r="B382" s="83"/>
      <c r="C382" s="83" t="s">
        <v>177</v>
      </c>
      <c r="D382" s="83"/>
      <c r="E382" s="83"/>
      <c r="F382" s="83"/>
      <c r="G382" s="83"/>
      <c r="H382" s="83"/>
      <c r="I382" s="83"/>
      <c r="J382" s="83"/>
      <c r="K382" s="147"/>
      <c r="L382" s="147"/>
      <c r="M382" s="147"/>
      <c r="N382" s="83"/>
    </row>
    <row r="383" spans="2:22" x14ac:dyDescent="0.25">
      <c r="B383" s="83"/>
      <c r="C383" s="83"/>
      <c r="D383" s="83"/>
      <c r="E383" s="83"/>
      <c r="F383" s="83"/>
      <c r="G383" s="83"/>
      <c r="H383" s="83"/>
      <c r="I383" s="83"/>
      <c r="J383" s="83"/>
      <c r="K383" s="258"/>
      <c r="L383" s="258"/>
      <c r="M383" s="258"/>
      <c r="N383" s="83"/>
    </row>
    <row r="384" spans="2:22" ht="12.75" customHeight="1" x14ac:dyDescent="0.25">
      <c r="B384" s="83"/>
      <c r="C384" s="83"/>
      <c r="D384" s="148">
        <f>MAX(D$383:D383)+1</f>
        <v>1</v>
      </c>
      <c r="E384" s="83" t="s">
        <v>327</v>
      </c>
      <c r="F384" s="83"/>
      <c r="G384" s="83"/>
      <c r="I384" s="83"/>
      <c r="J384" s="83"/>
      <c r="K384" s="257" t="s">
        <v>232</v>
      </c>
      <c r="L384" s="257"/>
      <c r="M384" s="257"/>
      <c r="N384" s="249" t="s">
        <v>238</v>
      </c>
    </row>
    <row r="385" spans="2:14" x14ac:dyDescent="0.25">
      <c r="B385" s="83"/>
      <c r="C385" s="83"/>
      <c r="D385" s="148"/>
      <c r="E385" s="83" t="s">
        <v>245</v>
      </c>
      <c r="F385" s="83"/>
      <c r="G385" s="83"/>
      <c r="I385" s="83"/>
      <c r="J385" s="83"/>
      <c r="K385" s="250" t="s">
        <v>143</v>
      </c>
      <c r="L385" s="250"/>
      <c r="M385" s="250"/>
      <c r="N385" s="249"/>
    </row>
    <row r="386" spans="2:14" x14ac:dyDescent="0.25">
      <c r="B386" s="83"/>
      <c r="C386" s="83"/>
      <c r="D386" s="148"/>
      <c r="E386" s="83" t="s">
        <v>246</v>
      </c>
      <c r="F386" s="83"/>
      <c r="G386" s="83"/>
      <c r="I386" s="83"/>
      <c r="J386" s="83"/>
      <c r="K386" s="250" t="s">
        <v>143</v>
      </c>
      <c r="L386" s="250"/>
      <c r="M386" s="250"/>
      <c r="N386" s="249"/>
    </row>
    <row r="387" spans="2:14" ht="8.1" customHeight="1" x14ac:dyDescent="0.25">
      <c r="B387" s="83"/>
      <c r="C387" s="83"/>
      <c r="D387" s="83"/>
      <c r="E387" s="83"/>
      <c r="F387" s="83"/>
      <c r="G387" s="83"/>
      <c r="I387" s="83"/>
      <c r="J387" s="83"/>
      <c r="K387" s="255"/>
      <c r="L387" s="255"/>
      <c r="M387" s="255"/>
      <c r="N387" s="83"/>
    </row>
    <row r="388" spans="2:14" x14ac:dyDescent="0.25">
      <c r="B388" s="83"/>
      <c r="C388" s="83"/>
      <c r="D388" s="148">
        <f>MAX(D$383:D387)+1</f>
        <v>2</v>
      </c>
      <c r="E388" s="83" t="s">
        <v>193</v>
      </c>
      <c r="F388" s="83"/>
      <c r="G388" s="83"/>
      <c r="I388" s="83"/>
      <c r="J388" s="83"/>
      <c r="K388" s="250" t="s">
        <v>143</v>
      </c>
      <c r="L388" s="250"/>
      <c r="M388" s="250"/>
      <c r="N388" s="149" t="s">
        <v>202</v>
      </c>
    </row>
    <row r="389" spans="2:14" ht="8.1" customHeight="1" x14ac:dyDescent="0.25">
      <c r="B389" s="83"/>
      <c r="C389" s="83"/>
      <c r="D389" s="83"/>
      <c r="E389" s="83"/>
      <c r="F389" s="83"/>
      <c r="G389" s="83"/>
      <c r="I389" s="83"/>
      <c r="J389" s="83"/>
      <c r="K389" s="255"/>
      <c r="L389" s="255"/>
      <c r="M389" s="255"/>
      <c r="N389" s="83"/>
    </row>
    <row r="390" spans="2:14" ht="12.75" customHeight="1" x14ac:dyDescent="0.25">
      <c r="B390" s="83"/>
      <c r="C390" s="83"/>
      <c r="D390" s="148">
        <f>MAX(D$383:D389)+1</f>
        <v>3</v>
      </c>
      <c r="E390" s="83" t="s">
        <v>189</v>
      </c>
      <c r="F390" s="83"/>
      <c r="G390" s="83"/>
      <c r="I390" s="83"/>
      <c r="J390" s="83"/>
      <c r="K390" s="257" t="s">
        <v>232</v>
      </c>
      <c r="L390" s="257"/>
      <c r="M390" s="257"/>
      <c r="N390" s="249" t="s">
        <v>257</v>
      </c>
    </row>
    <row r="391" spans="2:14" x14ac:dyDescent="0.25">
      <c r="B391" s="83"/>
      <c r="C391" s="83"/>
      <c r="D391" s="83"/>
      <c r="E391" s="83" t="s">
        <v>190</v>
      </c>
      <c r="F391" s="83"/>
      <c r="G391" s="83"/>
      <c r="I391" s="83"/>
      <c r="J391" s="83"/>
      <c r="K391" s="257" t="s">
        <v>232</v>
      </c>
      <c r="L391" s="257"/>
      <c r="M391" s="257"/>
      <c r="N391" s="249"/>
    </row>
    <row r="392" spans="2:14" ht="8.1" customHeight="1" x14ac:dyDescent="0.25">
      <c r="B392" s="83"/>
      <c r="C392" s="83"/>
      <c r="D392" s="83"/>
      <c r="E392" s="83"/>
      <c r="F392" s="83"/>
      <c r="G392" s="83"/>
      <c r="I392" s="83"/>
      <c r="J392" s="83"/>
      <c r="K392" s="255"/>
      <c r="L392" s="255"/>
      <c r="M392" s="255"/>
      <c r="N392" s="83"/>
    </row>
    <row r="393" spans="2:14" ht="12.75" customHeight="1" x14ac:dyDescent="0.25">
      <c r="B393" s="83"/>
      <c r="C393" s="83"/>
      <c r="D393" s="148">
        <f>MAX(D$383:D392)+1</f>
        <v>4</v>
      </c>
      <c r="E393" s="83" t="s">
        <v>289</v>
      </c>
      <c r="F393" s="83"/>
      <c r="G393" s="83"/>
      <c r="I393" s="83"/>
      <c r="J393" s="83"/>
      <c r="K393" s="253" t="str">
        <f>IF(K$34=N$475,"Yes","No")</f>
        <v>No</v>
      </c>
      <c r="L393" s="253"/>
      <c r="M393" s="253"/>
      <c r="N393" s="260" t="s">
        <v>444</v>
      </c>
    </row>
    <row r="394" spans="2:14" x14ac:dyDescent="0.25">
      <c r="B394" s="83"/>
      <c r="C394" s="83"/>
      <c r="D394" s="83"/>
      <c r="E394" s="83" t="s">
        <v>192</v>
      </c>
      <c r="F394" s="83"/>
      <c r="G394" s="83"/>
      <c r="I394" s="83"/>
      <c r="J394" s="83"/>
      <c r="K394" s="292" t="str">
        <f>IF(K$34=N$474,"Yes","No")</f>
        <v>No</v>
      </c>
      <c r="L394" s="292"/>
      <c r="M394" s="292"/>
      <c r="N394" s="260"/>
    </row>
    <row r="395" spans="2:14" x14ac:dyDescent="0.25">
      <c r="B395" s="83"/>
      <c r="C395" s="83"/>
      <c r="D395" s="83"/>
      <c r="E395" s="83" t="s">
        <v>324</v>
      </c>
      <c r="F395" s="83"/>
      <c r="G395" s="83"/>
      <c r="I395" s="83"/>
      <c r="J395" s="83"/>
      <c r="K395" s="250" t="s">
        <v>143</v>
      </c>
      <c r="L395" s="250"/>
      <c r="M395" s="250"/>
      <c r="N395" s="260"/>
    </row>
    <row r="396" spans="2:14" x14ac:dyDescent="0.25">
      <c r="B396" s="83"/>
      <c r="C396" s="83"/>
      <c r="D396" s="83"/>
      <c r="E396" s="83" t="s">
        <v>325</v>
      </c>
      <c r="F396" s="83"/>
      <c r="G396" s="83"/>
      <c r="I396" s="83"/>
      <c r="J396" s="83"/>
      <c r="K396" s="250" t="s">
        <v>143</v>
      </c>
      <c r="L396" s="250"/>
      <c r="M396" s="250"/>
      <c r="N396" s="260"/>
    </row>
    <row r="397" spans="2:14" ht="8.1" customHeight="1" x14ac:dyDescent="0.25">
      <c r="B397" s="83"/>
      <c r="C397" s="83"/>
      <c r="D397" s="83"/>
      <c r="E397" s="83"/>
      <c r="F397" s="83"/>
      <c r="G397" s="83"/>
      <c r="I397" s="83"/>
      <c r="J397" s="83"/>
      <c r="K397" s="255"/>
      <c r="L397" s="255"/>
      <c r="M397" s="255"/>
      <c r="N397" s="83"/>
    </row>
    <row r="398" spans="2:14" x14ac:dyDescent="0.25">
      <c r="B398" s="83"/>
      <c r="C398" s="83"/>
      <c r="D398" s="148">
        <f>MAX(D$383:D397)+1</f>
        <v>5</v>
      </c>
      <c r="E398" s="83" t="s">
        <v>178</v>
      </c>
      <c r="F398" s="83"/>
      <c r="G398" s="83"/>
      <c r="I398" s="83"/>
      <c r="J398" s="83"/>
      <c r="K398" s="250" t="s">
        <v>143</v>
      </c>
      <c r="L398" s="250"/>
      <c r="M398" s="250"/>
      <c r="N398" s="149" t="s">
        <v>202</v>
      </c>
    </row>
    <row r="399" spans="2:14" ht="8.1" customHeight="1" x14ac:dyDescent="0.25">
      <c r="B399" s="83"/>
      <c r="C399" s="83"/>
      <c r="D399" s="83"/>
      <c r="E399" s="83"/>
      <c r="F399" s="83"/>
      <c r="G399" s="83"/>
      <c r="H399" s="83"/>
      <c r="I399" s="83"/>
      <c r="J399" s="83"/>
      <c r="K399" s="255"/>
      <c r="L399" s="255"/>
      <c r="M399" s="255"/>
      <c r="N399" s="83"/>
    </row>
    <row r="400" spans="2:14" ht="13.2" customHeight="1" x14ac:dyDescent="0.25">
      <c r="B400" s="83"/>
      <c r="C400" s="83"/>
      <c r="D400" s="148">
        <f>MAX(D$383:D399)+1</f>
        <v>6</v>
      </c>
      <c r="E400" s="83" t="s">
        <v>248</v>
      </c>
      <c r="F400" s="83"/>
      <c r="G400" s="83"/>
      <c r="H400" s="83"/>
      <c r="I400" s="83"/>
      <c r="J400" s="83"/>
      <c r="K400" s="253" t="str">
        <f>IF(AND(K$32=F$474,K$370&lt;&gt;E$524,N(K$33)&gt;0,N(K$33)&lt;51),"Yes","No")</f>
        <v>No</v>
      </c>
      <c r="L400" s="253"/>
      <c r="M400" s="253"/>
      <c r="N400" s="260" t="s">
        <v>445</v>
      </c>
    </row>
    <row r="401" spans="2:17" x14ac:dyDescent="0.25">
      <c r="B401" s="83"/>
      <c r="C401" s="83"/>
      <c r="D401" s="83"/>
      <c r="E401" s="83" t="s">
        <v>247</v>
      </c>
      <c r="F401" s="83"/>
      <c r="G401" s="83"/>
      <c r="H401" s="83"/>
      <c r="I401" s="83"/>
      <c r="J401" s="83"/>
      <c r="K401" s="253" t="str">
        <f>IF(AND(K$32=F$474,K$370&lt;&gt;E$524,N(K$33)&gt;0,N(K$33)&lt;81,N(K$33)&gt;50),"Yes","No")</f>
        <v>No</v>
      </c>
      <c r="L401" s="253"/>
      <c r="M401" s="253"/>
      <c r="N401" s="260"/>
    </row>
    <row r="402" spans="2:17" ht="24.9" customHeight="1" x14ac:dyDescent="0.25">
      <c r="B402" s="83"/>
      <c r="C402" s="83"/>
      <c r="D402" s="83"/>
      <c r="E402" s="254" t="s">
        <v>280</v>
      </c>
      <c r="F402" s="254"/>
      <c r="G402" s="254"/>
      <c r="H402" s="254"/>
      <c r="I402" s="254"/>
      <c r="J402" s="254"/>
      <c r="K402" s="254"/>
      <c r="L402" s="254"/>
      <c r="M402" s="254"/>
      <c r="N402" s="260"/>
    </row>
    <row r="403" spans="2:17" x14ac:dyDescent="0.25">
      <c r="B403" s="83"/>
      <c r="C403" s="83"/>
      <c r="D403" s="83"/>
      <c r="E403" s="83"/>
      <c r="F403" s="83"/>
      <c r="G403" s="83"/>
      <c r="H403" s="83"/>
      <c r="I403" s="83"/>
      <c r="J403" s="83"/>
      <c r="K403" s="173"/>
      <c r="L403" s="173"/>
      <c r="M403" s="173"/>
      <c r="N403" s="83"/>
    </row>
    <row r="404" spans="2:17" x14ac:dyDescent="0.25">
      <c r="B404" s="83"/>
      <c r="C404" s="83" t="s">
        <v>180</v>
      </c>
      <c r="D404" s="83"/>
      <c r="E404" s="83"/>
      <c r="F404" s="83"/>
      <c r="G404" s="83"/>
      <c r="H404" s="83"/>
      <c r="I404" s="83"/>
      <c r="J404" s="83"/>
      <c r="K404" s="256" t="str">
        <f ca="1">IF(AND(CELL("type",K380)="v",N(K380)&gt;0),ROUND((K380+IF(OR(K384=C474,K385=C474,K386=C474),N496,0)+IF(K388=C474,N497,0))/IF(K390=C474,N498,1)/IF(K391=C474,N499,1)/IF(K393=C474,N500,1)/IF(K394=C474,N501,1)/IF(K395=C474,N502,1)/IF(K396=C474,N503,1)/IF(K398=C474,N504,1)/IF(K400=C474,N505,1)/IF(K401=C474,N506,1),2),"")</f>
        <v/>
      </c>
      <c r="L404" s="256"/>
      <c r="M404" s="256"/>
      <c r="N404" s="83"/>
    </row>
    <row r="405" spans="2:17" x14ac:dyDescent="0.25">
      <c r="B405" s="83"/>
      <c r="C405" s="83"/>
      <c r="D405" s="83"/>
      <c r="E405" s="83"/>
      <c r="F405" s="83"/>
      <c r="G405" s="83"/>
      <c r="H405" s="83"/>
      <c r="I405" s="83"/>
      <c r="J405" s="83"/>
      <c r="K405" s="255"/>
      <c r="L405" s="255"/>
      <c r="M405" s="255"/>
      <c r="N405" s="83"/>
    </row>
    <row r="406" spans="2:17" x14ac:dyDescent="0.25">
      <c r="B406" s="83"/>
      <c r="C406" s="150" t="s">
        <v>170</v>
      </c>
      <c r="D406" s="83"/>
      <c r="E406" s="83"/>
      <c r="F406" s="83"/>
      <c r="G406" s="83"/>
      <c r="H406" s="83"/>
      <c r="I406" s="83"/>
      <c r="J406" s="83"/>
      <c r="K406" s="83"/>
      <c r="L406" s="83"/>
      <c r="M406" s="83"/>
      <c r="N406" s="83"/>
    </row>
    <row r="407" spans="2:17" x14ac:dyDescent="0.25">
      <c r="B407" s="83"/>
      <c r="C407" s="83"/>
      <c r="D407" s="83"/>
      <c r="E407" s="83"/>
      <c r="F407" s="83"/>
      <c r="G407" s="83"/>
      <c r="H407" s="83"/>
      <c r="I407" s="83"/>
      <c r="J407" s="83"/>
      <c r="K407" s="258"/>
      <c r="L407" s="258"/>
      <c r="M407" s="258"/>
      <c r="N407" s="83"/>
    </row>
    <row r="408" spans="2:17" x14ac:dyDescent="0.25">
      <c r="B408" s="83"/>
      <c r="C408" s="83" t="s">
        <v>169</v>
      </c>
      <c r="D408" s="83"/>
      <c r="E408" s="83"/>
      <c r="F408" s="83"/>
      <c r="G408" s="83"/>
      <c r="H408" s="83"/>
      <c r="I408" s="83"/>
      <c r="J408" s="83"/>
      <c r="K408" s="251">
        <f ca="1">N(N193)</f>
        <v>0</v>
      </c>
      <c r="L408" s="251"/>
      <c r="M408" s="251"/>
      <c r="N408" s="83"/>
    </row>
    <row r="409" spans="2:17" x14ac:dyDescent="0.25">
      <c r="B409" s="83"/>
      <c r="C409" s="83"/>
      <c r="D409" s="83"/>
      <c r="E409" s="83"/>
      <c r="F409" s="83"/>
      <c r="G409" s="83"/>
      <c r="H409" s="83"/>
      <c r="I409" s="83"/>
      <c r="J409" s="83"/>
      <c r="K409" s="255"/>
      <c r="L409" s="255"/>
      <c r="M409" s="255"/>
      <c r="N409" s="83"/>
    </row>
    <row r="410" spans="2:17" x14ac:dyDescent="0.25">
      <c r="B410" s="83"/>
      <c r="C410" t="s">
        <v>434</v>
      </c>
      <c r="D410" s="83"/>
      <c r="E410" s="83"/>
      <c r="F410" s="83"/>
      <c r="G410" s="83"/>
      <c r="H410" s="83"/>
      <c r="I410" s="83"/>
      <c r="J410" s="83"/>
      <c r="K410" s="259">
        <f>IF(K32=F475,N(N$169),0)</f>
        <v>0</v>
      </c>
      <c r="L410" s="259"/>
      <c r="M410" s="259"/>
      <c r="N410" s="240" t="str">
        <f>IF(K32=F475,"","(Not Applicable)")</f>
        <v>(Not Applicable)</v>
      </c>
      <c r="O410"/>
      <c r="P410"/>
      <c r="Q410" s="241" t="str">
        <f>"In order to qualify for the removof of these costs, the response selected for Development Category in cell K32 must be either Rehabilitation or Preservation (w/ or w/o Acquisition)."</f>
        <v>In order to qualify for the removof of these costs, the response selected for Development Category in cell K32 must be either Rehabilitation or Preservation (w/ or w/o Acquisition).</v>
      </c>
    </row>
    <row r="411" spans="2:17" x14ac:dyDescent="0.25">
      <c r="B411" s="83"/>
      <c r="C411" s="83"/>
      <c r="D411" s="83"/>
      <c r="E411" s="83"/>
      <c r="F411" s="83"/>
      <c r="G411" s="83"/>
      <c r="H411" s="83"/>
      <c r="I411" s="83"/>
      <c r="J411" s="83"/>
      <c r="K411" s="236"/>
      <c r="L411" s="236"/>
      <c r="M411" s="236"/>
      <c r="N411" s="83"/>
    </row>
    <row r="412" spans="2:17" x14ac:dyDescent="0.25">
      <c r="B412" s="83"/>
      <c r="C412" s="83" t="s">
        <v>168</v>
      </c>
      <c r="D412" s="83"/>
      <c r="E412" s="83"/>
      <c r="F412" s="83"/>
      <c r="G412" s="83"/>
      <c r="H412" s="83"/>
      <c r="I412" s="83"/>
      <c r="J412" s="83"/>
      <c r="K412" s="251">
        <f ca="1">N(N191)</f>
        <v>0</v>
      </c>
      <c r="L412" s="251"/>
      <c r="M412" s="251"/>
      <c r="N412" s="83"/>
    </row>
    <row r="413" spans="2:17" x14ac:dyDescent="0.25">
      <c r="B413" s="83"/>
      <c r="C413" s="83"/>
      <c r="D413" s="83"/>
      <c r="E413" s="83"/>
      <c r="F413" s="83"/>
      <c r="G413" s="83"/>
      <c r="H413" s="83"/>
      <c r="I413" s="83"/>
      <c r="J413" s="83"/>
      <c r="K413" s="255"/>
      <c r="L413" s="255"/>
      <c r="M413" s="255"/>
      <c r="N413" s="83"/>
    </row>
    <row r="414" spans="2:17" x14ac:dyDescent="0.25">
      <c r="B414" s="83"/>
      <c r="C414" s="83" t="s">
        <v>167</v>
      </c>
      <c r="D414" s="83"/>
      <c r="E414" s="83"/>
      <c r="F414" s="83"/>
      <c r="G414" s="83"/>
      <c r="H414" s="83"/>
      <c r="I414" s="83"/>
      <c r="J414" s="83"/>
      <c r="K414" s="251">
        <f ca="1">N(N189)</f>
        <v>0</v>
      </c>
      <c r="L414" s="251"/>
      <c r="M414" s="251"/>
      <c r="N414" s="83"/>
    </row>
    <row r="415" spans="2:17" x14ac:dyDescent="0.25">
      <c r="B415" s="83"/>
      <c r="C415" s="83"/>
      <c r="D415" s="83"/>
      <c r="E415" s="83"/>
      <c r="F415" s="83"/>
      <c r="G415" s="83"/>
      <c r="H415" s="83"/>
      <c r="I415" s="83"/>
      <c r="J415" s="83"/>
      <c r="K415" s="255"/>
      <c r="L415" s="255"/>
      <c r="M415" s="255"/>
      <c r="N415" s="83"/>
    </row>
    <row r="416" spans="2:17" x14ac:dyDescent="0.25">
      <c r="B416" s="83"/>
      <c r="C416" s="83" t="s">
        <v>283</v>
      </c>
      <c r="D416" s="83"/>
      <c r="E416" s="83"/>
      <c r="F416" s="83"/>
      <c r="G416" s="83"/>
      <c r="H416" s="83"/>
      <c r="I416" s="83"/>
      <c r="J416" s="83"/>
      <c r="K416" s="251">
        <f>IF(K384=C474,N(N41)+N(N120),0)</f>
        <v>0</v>
      </c>
      <c r="L416" s="251"/>
      <c r="M416" s="251"/>
      <c r="N416" s="83"/>
      <c r="Q416" s="199" t="str">
        <f>"In order to qualify for the removof of these costs, the response above on row "&amp;TEXT(ROW(E384),"0")&amp;" for ""1.(a) PHA is a Principal Add-On"" must indicate a ""Yes"" in column K."</f>
        <v>In order to qualify for the removof of these costs, the response above on row 384 for "1.(a) PHA is a Principal Add-On" must indicate a "Yes" in column K.</v>
      </c>
    </row>
    <row r="417" spans="1:16" x14ac:dyDescent="0.25">
      <c r="B417" s="83"/>
      <c r="C417" s="83"/>
      <c r="D417" s="83"/>
      <c r="E417" s="83"/>
      <c r="F417" s="83"/>
      <c r="G417" s="83"/>
      <c r="H417" s="83"/>
      <c r="I417" s="83"/>
      <c r="J417" s="83"/>
      <c r="K417" s="173"/>
      <c r="L417" s="173"/>
      <c r="M417" s="173"/>
      <c r="N417" s="83"/>
    </row>
    <row r="418" spans="1:16" x14ac:dyDescent="0.25">
      <c r="B418" s="83"/>
      <c r="C418" s="83" t="s">
        <v>171</v>
      </c>
      <c r="D418" s="83"/>
      <c r="E418" s="83"/>
      <c r="F418" s="83"/>
      <c r="G418" s="83"/>
      <c r="H418" s="83"/>
      <c r="I418" s="83"/>
      <c r="J418" s="83"/>
      <c r="K418" s="251">
        <f ca="1">K408-K410-K412-K414-K416</f>
        <v>0</v>
      </c>
      <c r="L418" s="251"/>
      <c r="M418" s="251"/>
      <c r="N418" s="83"/>
    </row>
    <row r="419" spans="1:16" x14ac:dyDescent="0.25">
      <c r="B419" s="83"/>
      <c r="C419" s="83"/>
      <c r="D419" s="83"/>
      <c r="E419" s="83"/>
      <c r="F419" s="83"/>
      <c r="G419" s="83"/>
      <c r="H419" s="83"/>
      <c r="I419" s="83"/>
      <c r="J419" s="83"/>
      <c r="K419" s="255"/>
      <c r="L419" s="255"/>
      <c r="M419" s="255"/>
      <c r="N419" s="83"/>
    </row>
    <row r="420" spans="1:16" x14ac:dyDescent="0.25">
      <c r="B420" s="83"/>
      <c r="C420" s="83" t="s">
        <v>172</v>
      </c>
      <c r="D420" s="83"/>
      <c r="E420" s="83"/>
      <c r="F420" s="83"/>
      <c r="G420" s="83"/>
      <c r="H420" s="83"/>
      <c r="I420" s="83"/>
      <c r="J420" s="83"/>
      <c r="K420" s="251">
        <f>IF(N(K33)=0,0,K418/N(K33))</f>
        <v>0</v>
      </c>
      <c r="L420" s="251"/>
      <c r="M420" s="251"/>
      <c r="N420" s="172" t="str">
        <f>IF(N(K33)=0,"(Need Units)","")</f>
        <v>(Need Units)</v>
      </c>
    </row>
    <row r="421" spans="1:16" x14ac:dyDescent="0.25">
      <c r="B421" s="83"/>
      <c r="C421" s="83"/>
      <c r="D421" s="83"/>
      <c r="E421" s="83"/>
      <c r="F421" s="83"/>
      <c r="G421" s="83"/>
      <c r="H421" s="83"/>
      <c r="I421" s="83"/>
      <c r="J421" s="83"/>
      <c r="K421" s="255"/>
      <c r="L421" s="255"/>
      <c r="M421" s="255"/>
      <c r="N421" s="83"/>
    </row>
    <row r="422" spans="1:16" x14ac:dyDescent="0.25">
      <c r="B422" s="83"/>
      <c r="C422" s="83" t="s">
        <v>225</v>
      </c>
      <c r="D422" s="83"/>
      <c r="E422" s="83"/>
      <c r="F422" s="83"/>
      <c r="G422" s="83"/>
      <c r="H422" s="83"/>
      <c r="I422" s="83"/>
      <c r="J422" s="83"/>
      <c r="K422" s="258" t="str">
        <f ca="1">IF(AND(N(K404)&gt;0,N(K420)&gt;0),IF(K420&lt;=K404,"Yes","No"),"TBD")</f>
        <v>TBD</v>
      </c>
      <c r="L422" s="258"/>
      <c r="M422" s="258"/>
      <c r="N422" s="83"/>
    </row>
    <row r="423" spans="1:16" x14ac:dyDescent="0.25">
      <c r="B423" s="83"/>
      <c r="C423" s="83"/>
      <c r="D423" s="83" t="s">
        <v>226</v>
      </c>
      <c r="E423" s="83"/>
      <c r="F423" s="83"/>
      <c r="G423" s="83"/>
      <c r="H423" s="83"/>
      <c r="I423" s="83"/>
      <c r="J423" s="83"/>
      <c r="K423" s="288"/>
      <c r="L423" s="288"/>
      <c r="M423" s="288"/>
      <c r="N423" s="83"/>
      <c r="P423" s="124" t="str">
        <f ca="1">IF(K422="No","**","")</f>
        <v/>
      </c>
    </row>
    <row r="424" spans="1:16" x14ac:dyDescent="0.25">
      <c r="B424" s="83"/>
      <c r="C424" s="83"/>
      <c r="D424" s="83"/>
      <c r="E424" s="83"/>
      <c r="F424" s="83"/>
      <c r="G424" s="83"/>
      <c r="H424" s="83"/>
      <c r="I424" s="83"/>
      <c r="J424" s="83"/>
      <c r="K424" s="83"/>
      <c r="L424" s="83"/>
      <c r="M424" s="83"/>
      <c r="N424" s="83"/>
    </row>
    <row r="425" spans="1:16" ht="13.8" thickBot="1" x14ac:dyDescent="0.3">
      <c r="B425" s="1"/>
      <c r="C425" s="83"/>
      <c r="D425" s="83"/>
      <c r="E425" s="83"/>
      <c r="F425" s="83"/>
      <c r="G425" s="83"/>
      <c r="H425" s="83"/>
      <c r="I425" s="83"/>
      <c r="J425" s="83"/>
      <c r="K425" s="83"/>
      <c r="L425" s="83"/>
      <c r="M425" s="83"/>
      <c r="N425" s="83"/>
    </row>
    <row r="426" spans="1:16" ht="3.75" customHeight="1" x14ac:dyDescent="0.25">
      <c r="A426" s="82"/>
      <c r="B426" s="89"/>
      <c r="C426" s="89"/>
      <c r="D426" s="89"/>
      <c r="E426" s="89"/>
      <c r="F426" s="89"/>
      <c r="G426" s="89"/>
      <c r="H426" s="89"/>
      <c r="I426" s="89"/>
      <c r="J426" s="89"/>
      <c r="K426" s="89"/>
      <c r="L426" s="89"/>
      <c r="M426" s="89"/>
      <c r="N426" s="89"/>
      <c r="O426" s="82"/>
      <c r="P426" s="82"/>
    </row>
    <row r="427" spans="1:16" x14ac:dyDescent="0.25">
      <c r="B427" s="64" t="str">
        <f>B$2</f>
        <v>RFA 2021-106 DEVELOPMENT COST PRO FORMA</v>
      </c>
      <c r="C427" s="83"/>
      <c r="D427" s="83"/>
      <c r="E427" s="83"/>
      <c r="F427" s="83"/>
      <c r="G427" s="83"/>
      <c r="H427" s="83"/>
      <c r="I427" s="83"/>
      <c r="J427" s="83"/>
      <c r="K427" s="86"/>
      <c r="L427" s="86"/>
      <c r="M427" s="86"/>
      <c r="N427" s="86"/>
      <c r="O427" s="84"/>
      <c r="P427" s="3" t="s">
        <v>256</v>
      </c>
    </row>
    <row r="428" spans="1:16" x14ac:dyDescent="0.25">
      <c r="B428" s="83"/>
      <c r="C428" s="83"/>
      <c r="D428" s="83"/>
      <c r="E428" s="83"/>
      <c r="F428" s="83"/>
      <c r="G428" s="83"/>
      <c r="H428" s="83"/>
      <c r="I428" s="83"/>
      <c r="J428" s="83"/>
      <c r="K428" s="83"/>
      <c r="L428" s="83"/>
      <c r="M428" s="83"/>
      <c r="N428" s="83"/>
    </row>
    <row r="429" spans="1:16" x14ac:dyDescent="0.25">
      <c r="B429" s="113" t="s">
        <v>413</v>
      </c>
      <c r="C429" s="113"/>
      <c r="D429" s="113"/>
      <c r="E429" s="113"/>
      <c r="F429" s="113"/>
      <c r="G429" s="113"/>
      <c r="H429" s="113"/>
      <c r="I429" s="113"/>
      <c r="J429" s="113"/>
      <c r="K429" s="113"/>
      <c r="L429" s="113"/>
      <c r="M429" s="113"/>
      <c r="N429" s="113"/>
      <c r="O429" s="113"/>
      <c r="P429" s="113"/>
    </row>
    <row r="430" spans="1:16" x14ac:dyDescent="0.25">
      <c r="B430" s="113" t="s">
        <v>414</v>
      </c>
      <c r="C430" s="113"/>
      <c r="D430" s="113"/>
      <c r="E430" s="113"/>
      <c r="F430" s="113"/>
      <c r="G430" s="113"/>
      <c r="H430" s="113"/>
      <c r="I430" s="113"/>
      <c r="J430" s="113"/>
      <c r="K430" s="113"/>
      <c r="L430" s="113"/>
      <c r="M430" s="113"/>
      <c r="N430" s="113"/>
      <c r="O430" s="113"/>
      <c r="P430" s="113"/>
    </row>
    <row r="431" spans="1:16" x14ac:dyDescent="0.25">
      <c r="B431" s="113" t="s">
        <v>415</v>
      </c>
      <c r="C431" s="113"/>
      <c r="D431" s="113"/>
      <c r="E431" s="113"/>
      <c r="F431" s="113"/>
      <c r="G431" s="113"/>
      <c r="H431" s="113"/>
      <c r="I431" s="113"/>
      <c r="J431" s="113"/>
      <c r="K431" s="113"/>
      <c r="L431" s="113"/>
      <c r="M431" s="113"/>
      <c r="N431" s="113"/>
      <c r="O431" s="113"/>
      <c r="P431" s="113"/>
    </row>
    <row r="432" spans="1:16" x14ac:dyDescent="0.25">
      <c r="B432" s="113" t="s">
        <v>416</v>
      </c>
      <c r="C432" s="113"/>
      <c r="D432" s="113"/>
      <c r="E432" s="113"/>
      <c r="F432" s="113"/>
      <c r="G432" s="113"/>
      <c r="H432" s="113"/>
      <c r="I432" s="113"/>
      <c r="J432" s="113"/>
      <c r="K432" s="113"/>
      <c r="L432" s="113"/>
      <c r="M432" s="113"/>
      <c r="N432" s="113"/>
      <c r="O432" s="113"/>
      <c r="P432" s="113"/>
    </row>
    <row r="433" spans="2:17" x14ac:dyDescent="0.25">
      <c r="B433" s="113" t="s">
        <v>417</v>
      </c>
      <c r="C433" s="113"/>
      <c r="D433" s="113"/>
      <c r="E433" s="113"/>
      <c r="F433" s="113"/>
      <c r="G433" s="113"/>
      <c r="H433" s="113"/>
      <c r="I433" s="113"/>
      <c r="J433" s="113"/>
      <c r="K433" s="113"/>
      <c r="L433" s="113"/>
      <c r="M433" s="113"/>
      <c r="N433" s="113"/>
      <c r="O433" s="113"/>
      <c r="P433" s="113"/>
    </row>
    <row r="434" spans="2:17" x14ac:dyDescent="0.25">
      <c r="B434" s="113" t="s">
        <v>418</v>
      </c>
      <c r="C434" s="83"/>
      <c r="D434" s="83"/>
      <c r="E434" s="83"/>
      <c r="F434" s="83"/>
      <c r="G434" s="83"/>
      <c r="H434" s="83"/>
      <c r="I434" s="83"/>
      <c r="J434" s="83"/>
      <c r="K434" s="83"/>
      <c r="L434" s="83"/>
      <c r="M434" s="83"/>
      <c r="N434" s="83"/>
    </row>
    <row r="435" spans="2:17" x14ac:dyDescent="0.25">
      <c r="B435" s="113" t="s">
        <v>419</v>
      </c>
      <c r="C435" s="83"/>
      <c r="D435" s="83"/>
      <c r="E435" s="83"/>
      <c r="F435" s="83"/>
      <c r="G435" s="83"/>
      <c r="H435" s="83"/>
      <c r="I435" s="83"/>
      <c r="J435" s="83"/>
      <c r="K435" s="83"/>
      <c r="L435" s="83"/>
      <c r="M435" s="83"/>
      <c r="N435" s="83"/>
    </row>
    <row r="436" spans="2:17" x14ac:dyDescent="0.25">
      <c r="B436" s="218"/>
      <c r="C436" s="83"/>
      <c r="D436" s="83"/>
      <c r="E436" s="83"/>
      <c r="F436" s="83"/>
      <c r="G436" s="83"/>
      <c r="H436" s="83"/>
      <c r="I436" s="83"/>
      <c r="J436" s="83"/>
      <c r="K436" s="83"/>
      <c r="L436" s="83"/>
      <c r="M436" s="83"/>
      <c r="N436" s="83"/>
    </row>
    <row r="437" spans="2:17" x14ac:dyDescent="0.25">
      <c r="B437" s="25" t="s">
        <v>258</v>
      </c>
      <c r="C437" s="83"/>
      <c r="D437" s="83"/>
      <c r="E437" s="83"/>
      <c r="F437" s="83"/>
      <c r="G437" s="83"/>
      <c r="H437" s="83"/>
      <c r="I437" s="83"/>
      <c r="J437" s="83"/>
      <c r="K437" s="83"/>
      <c r="L437" s="83"/>
      <c r="M437" s="83"/>
      <c r="N437" s="171"/>
    </row>
    <row r="438" spans="2:17" x14ac:dyDescent="0.25">
      <c r="B438" s="83"/>
      <c r="C438" s="83"/>
      <c r="D438" s="83"/>
      <c r="E438" s="83"/>
      <c r="F438" s="83"/>
      <c r="G438" s="83"/>
      <c r="H438" s="83"/>
      <c r="I438" s="83"/>
      <c r="J438" s="83"/>
      <c r="K438" s="83"/>
      <c r="L438" s="83"/>
      <c r="M438" s="83"/>
      <c r="N438" s="83"/>
    </row>
    <row r="439" spans="2:17" ht="13.8" thickBot="1" x14ac:dyDescent="0.3">
      <c r="B439" s="83"/>
      <c r="C439" s="83"/>
      <c r="D439" s="83"/>
      <c r="E439" s="83"/>
      <c r="F439" s="174" t="s">
        <v>261</v>
      </c>
      <c r="H439" s="174" t="s">
        <v>259</v>
      </c>
      <c r="I439" s="83"/>
      <c r="J439" s="83"/>
      <c r="K439" s="174" t="s">
        <v>260</v>
      </c>
      <c r="L439" s="83"/>
      <c r="M439" s="83"/>
      <c r="N439" s="83"/>
    </row>
    <row r="440" spans="2:17" ht="5.25" customHeight="1" x14ac:dyDescent="0.25">
      <c r="B440" s="83"/>
      <c r="C440" s="83"/>
      <c r="D440" s="83"/>
      <c r="E440" s="83"/>
      <c r="F440" s="175"/>
      <c r="G440" s="83"/>
      <c r="H440" s="83"/>
      <c r="I440" s="83"/>
      <c r="J440" s="83"/>
      <c r="K440" s="175"/>
      <c r="L440" s="83"/>
      <c r="M440" s="83"/>
      <c r="N440" s="83"/>
    </row>
    <row r="441" spans="2:17" ht="18" customHeight="1" x14ac:dyDescent="0.25">
      <c r="B441" s="178"/>
      <c r="C441" s="178"/>
      <c r="D441" s="178"/>
      <c r="E441" s="178"/>
      <c r="F441" s="181">
        <v>0.2</v>
      </c>
      <c r="G441" s="182"/>
      <c r="H441" s="176"/>
      <c r="I441" s="182"/>
      <c r="J441" s="182"/>
      <c r="K441" s="185">
        <f>IF(H$453=0,0,H441/H$453)</f>
        <v>0</v>
      </c>
      <c r="L441" s="83"/>
      <c r="M441" s="83"/>
      <c r="N441" s="83"/>
    </row>
    <row r="442" spans="2:17" ht="18" customHeight="1" x14ac:dyDescent="0.25">
      <c r="B442" s="178"/>
      <c r="C442" s="178"/>
      <c r="D442" s="178"/>
      <c r="E442" s="196" t="s">
        <v>281</v>
      </c>
      <c r="F442" s="183">
        <v>0.3</v>
      </c>
      <c r="G442" s="184"/>
      <c r="H442" s="177"/>
      <c r="I442" s="184"/>
      <c r="J442" s="184"/>
      <c r="K442" s="186">
        <f t="shared" ref="K442:K447" si="0">IF(H$453=0,0,H442/H$453)</f>
        <v>0</v>
      </c>
      <c r="L442" s="194"/>
      <c r="M442" s="194"/>
      <c r="N442" s="83"/>
      <c r="Q442" s="206" t="str">
        <f>IF(AND(K442+K441&lt;$H$550,H453&gt;0),"Income Averaging Test requires a minimum of "&amp;TEXT($H$550,"0%")&amp;" of total units set-aside at 30% AMI or less.","")</f>
        <v/>
      </c>
    </row>
    <row r="443" spans="2:17" ht="18" customHeight="1" x14ac:dyDescent="0.25">
      <c r="B443" s="178"/>
      <c r="C443" s="178"/>
      <c r="D443" s="178"/>
      <c r="E443" s="178"/>
      <c r="F443" s="183">
        <v>0.4</v>
      </c>
      <c r="G443" s="184"/>
      <c r="H443" s="177"/>
      <c r="I443" s="184"/>
      <c r="J443" s="184"/>
      <c r="K443" s="186">
        <f t="shared" si="0"/>
        <v>0</v>
      </c>
      <c r="L443" s="83"/>
      <c r="M443" s="83"/>
      <c r="N443" s="83"/>
    </row>
    <row r="444" spans="2:17" ht="18" customHeight="1" x14ac:dyDescent="0.25">
      <c r="B444" s="178"/>
      <c r="C444" s="178"/>
      <c r="D444" s="178"/>
      <c r="E444" s="178"/>
      <c r="F444" s="183">
        <v>0.5</v>
      </c>
      <c r="G444" s="184"/>
      <c r="H444" s="177"/>
      <c r="I444" s="184"/>
      <c r="J444" s="184"/>
      <c r="K444" s="186">
        <f t="shared" si="0"/>
        <v>0</v>
      </c>
      <c r="L444" s="83"/>
      <c r="M444" s="83"/>
      <c r="N444" s="83"/>
    </row>
    <row r="445" spans="2:17" ht="18" customHeight="1" x14ac:dyDescent="0.25">
      <c r="B445" s="178"/>
      <c r="C445" s="178"/>
      <c r="D445" s="178"/>
      <c r="E445" s="178"/>
      <c r="F445" s="183">
        <v>0.6</v>
      </c>
      <c r="G445" s="184"/>
      <c r="H445" s="177"/>
      <c r="I445" s="184"/>
      <c r="J445" s="184"/>
      <c r="K445" s="186">
        <f t="shared" si="0"/>
        <v>0</v>
      </c>
      <c r="L445" s="83"/>
      <c r="M445" s="83"/>
      <c r="N445" s="83"/>
    </row>
    <row r="446" spans="2:17" ht="18" customHeight="1" x14ac:dyDescent="0.25">
      <c r="B446" s="178"/>
      <c r="C446" s="178"/>
      <c r="D446" s="178"/>
      <c r="E446" s="178"/>
      <c r="F446" s="183">
        <v>0.7</v>
      </c>
      <c r="G446" s="184"/>
      <c r="H446" s="177"/>
      <c r="I446" s="184"/>
      <c r="J446" s="184"/>
      <c r="K446" s="186">
        <f t="shared" si="0"/>
        <v>0</v>
      </c>
      <c r="L446" s="83"/>
      <c r="M446" s="83"/>
      <c r="N446" s="83"/>
    </row>
    <row r="447" spans="2:17" ht="18" customHeight="1" x14ac:dyDescent="0.25">
      <c r="B447" s="178"/>
      <c r="C447" s="178"/>
      <c r="D447" s="178"/>
      <c r="E447" s="178"/>
      <c r="F447" s="183">
        <v>0.8</v>
      </c>
      <c r="G447" s="184"/>
      <c r="H447" s="177"/>
      <c r="I447" s="184"/>
      <c r="J447" s="184"/>
      <c r="K447" s="186">
        <f t="shared" si="0"/>
        <v>0</v>
      </c>
      <c r="L447" s="83"/>
      <c r="M447" s="83"/>
      <c r="N447" s="83"/>
    </row>
    <row r="448" spans="2:17" ht="5.25" customHeight="1" x14ac:dyDescent="0.25">
      <c r="B448" s="83"/>
      <c r="C448" s="83"/>
      <c r="D448" s="83"/>
      <c r="E448" s="83"/>
      <c r="F448" s="175"/>
      <c r="G448" s="175"/>
      <c r="H448" s="175"/>
      <c r="I448" s="175"/>
      <c r="J448" s="175"/>
      <c r="K448" s="175"/>
      <c r="L448" s="83"/>
      <c r="M448" s="291" t="s">
        <v>271</v>
      </c>
      <c r="N448" s="291"/>
      <c r="O448" s="291"/>
      <c r="P448" s="291"/>
    </row>
    <row r="449" spans="2:16" ht="18" customHeight="1" thickBot="1" x14ac:dyDescent="0.3">
      <c r="B449" s="83"/>
      <c r="C449" s="83"/>
      <c r="D449" s="191"/>
      <c r="E449" s="191"/>
      <c r="F449" s="190" t="s">
        <v>265</v>
      </c>
      <c r="G449" s="182"/>
      <c r="H449" s="179">
        <f>SUM(H441:H448)</f>
        <v>0</v>
      </c>
      <c r="I449" s="182"/>
      <c r="J449" s="182"/>
      <c r="K449" s="188">
        <f>IF(H$453=0,0,H449/H$453)</f>
        <v>0</v>
      </c>
      <c r="L449" s="83"/>
      <c r="M449" s="291"/>
      <c r="N449" s="291"/>
      <c r="O449" s="291"/>
      <c r="P449" s="291"/>
    </row>
    <row r="450" spans="2:16" ht="5.25" customHeight="1" x14ac:dyDescent="0.25">
      <c r="B450" s="83"/>
      <c r="C450" s="83"/>
      <c r="D450" s="83"/>
      <c r="E450" s="83"/>
      <c r="F450" s="175"/>
      <c r="G450" s="175"/>
      <c r="H450" s="175"/>
      <c r="I450" s="175"/>
      <c r="J450" s="175"/>
      <c r="K450" s="175"/>
      <c r="L450" s="83"/>
      <c r="M450" s="291"/>
      <c r="N450" s="291"/>
      <c r="O450" s="291"/>
      <c r="P450" s="291"/>
    </row>
    <row r="451" spans="2:16" ht="18" customHeight="1" x14ac:dyDescent="0.25">
      <c r="B451" s="83"/>
      <c r="C451" s="83"/>
      <c r="D451" s="191"/>
      <c r="E451" s="191"/>
      <c r="F451" s="190" t="s">
        <v>262</v>
      </c>
      <c r="G451" s="182"/>
      <c r="H451" s="176"/>
      <c r="I451" s="182"/>
      <c r="J451" s="182"/>
      <c r="K451" s="185">
        <f>IF(H$453=0,0,H451/H$453)</f>
        <v>0</v>
      </c>
      <c r="L451" s="83"/>
      <c r="M451" s="83"/>
      <c r="N451" s="83"/>
    </row>
    <row r="452" spans="2:16" ht="5.25" customHeight="1" thickBot="1" x14ac:dyDescent="0.3">
      <c r="B452" s="83"/>
      <c r="C452" s="83"/>
      <c r="D452" s="83"/>
      <c r="E452" s="83"/>
      <c r="F452" s="175"/>
      <c r="G452" s="175"/>
      <c r="H452" s="175"/>
      <c r="I452" s="175"/>
      <c r="J452" s="175"/>
      <c r="K452" s="175"/>
      <c r="L452" s="83"/>
      <c r="M452" s="291" t="str">
        <f>IF(H453&gt;0,IF(H453=K33,"(Total Units here matches the Total Units entered on row 33 above)","(Total Units here does NOT match the Total Units entered on row 33 above)"),"")</f>
        <v/>
      </c>
      <c r="N452" s="291"/>
      <c r="O452" s="291"/>
      <c r="P452" s="291"/>
    </row>
    <row r="453" spans="2:16" ht="18" customHeight="1" thickBot="1" x14ac:dyDescent="0.3">
      <c r="B453" s="83"/>
      <c r="C453" s="83"/>
      <c r="D453" s="191"/>
      <c r="E453" s="191"/>
      <c r="F453" s="190" t="s">
        <v>263</v>
      </c>
      <c r="G453" s="182"/>
      <c r="H453" s="180">
        <f>H449+H451</f>
        <v>0</v>
      </c>
      <c r="I453" s="182"/>
      <c r="J453" s="182"/>
      <c r="K453" s="189">
        <f>IF(H$453=0,0,H453/H$453)</f>
        <v>0</v>
      </c>
      <c r="L453" s="83"/>
      <c r="M453" s="291"/>
      <c r="N453" s="291"/>
      <c r="O453" s="291"/>
      <c r="P453" s="291"/>
    </row>
    <row r="454" spans="2:16" ht="5.25" customHeight="1" thickTop="1" thickBot="1" x14ac:dyDescent="0.3">
      <c r="B454" s="83"/>
      <c r="C454" s="83"/>
      <c r="D454" s="83"/>
      <c r="E454" s="83"/>
      <c r="F454" s="175"/>
      <c r="G454" s="175"/>
      <c r="H454" s="175"/>
      <c r="I454" s="175"/>
      <c r="J454" s="175"/>
      <c r="K454" s="175"/>
      <c r="L454" s="83"/>
      <c r="M454" s="291"/>
      <c r="N454" s="291"/>
      <c r="O454" s="291"/>
      <c r="P454" s="291"/>
    </row>
    <row r="455" spans="2:16" ht="24.9" customHeight="1" thickBot="1" x14ac:dyDescent="0.3">
      <c r="B455" s="83"/>
      <c r="C455" s="83"/>
      <c r="D455" s="289" t="s">
        <v>264</v>
      </c>
      <c r="E455" s="290"/>
      <c r="F455" s="290"/>
      <c r="G455" s="192"/>
      <c r="H455" s="193">
        <f>IF(H449=0,0,SUMPRODUCT(F441:F447,H441:H447)/H449)</f>
        <v>0</v>
      </c>
      <c r="I455" s="83"/>
      <c r="J455" s="83"/>
      <c r="K455" s="187" t="str">
        <f>IF(H455=60%,"(equal to 60% maximum)",IF(AND(H455&lt;60%,H455&gt;0%),"(less than 60% maximum)",IF(H455&gt;60%,"(greater than 60% maximum)","")))</f>
        <v/>
      </c>
      <c r="L455" s="83"/>
      <c r="M455" s="83"/>
      <c r="N455" s="83"/>
    </row>
    <row r="456" spans="2:16" x14ac:dyDescent="0.25">
      <c r="B456" s="83"/>
      <c r="C456" s="83"/>
      <c r="D456" s="83"/>
      <c r="E456" s="83"/>
      <c r="F456" s="83"/>
      <c r="G456" s="83"/>
      <c r="H456" s="83"/>
      <c r="I456" s="83"/>
      <c r="J456" s="83"/>
      <c r="K456" s="83"/>
      <c r="L456" s="83"/>
      <c r="M456" s="83"/>
      <c r="N456" s="83"/>
    </row>
    <row r="457" spans="2:16" x14ac:dyDescent="0.25">
      <c r="B457" s="83"/>
      <c r="C457" s="83"/>
      <c r="D457" s="83"/>
      <c r="E457" s="83"/>
      <c r="F457" s="83"/>
      <c r="G457" s="83"/>
      <c r="H457" s="83"/>
      <c r="I457" s="83"/>
      <c r="J457" s="83"/>
      <c r="K457" s="83"/>
      <c r="L457" s="83"/>
      <c r="M457" s="83"/>
      <c r="N457" s="83"/>
    </row>
    <row r="458" spans="2:16" x14ac:dyDescent="0.25">
      <c r="B458" s="83"/>
      <c r="C458" s="83"/>
      <c r="D458" s="83"/>
      <c r="E458" s="83"/>
      <c r="F458" s="83"/>
      <c r="G458" s="83"/>
      <c r="H458" s="83"/>
      <c r="I458" s="83"/>
      <c r="J458" s="83"/>
      <c r="K458" s="83"/>
      <c r="L458" s="83"/>
      <c r="M458" s="83"/>
      <c r="N458" s="83"/>
    </row>
    <row r="459" spans="2:16" x14ac:dyDescent="0.25">
      <c r="B459" s="83"/>
      <c r="C459" s="83"/>
      <c r="D459" s="83"/>
      <c r="E459" s="83"/>
      <c r="F459" s="83"/>
      <c r="G459" s="83"/>
      <c r="H459" s="83"/>
      <c r="I459" s="83"/>
      <c r="J459" s="83"/>
      <c r="K459" s="83"/>
      <c r="L459" s="83"/>
      <c r="M459" s="83"/>
      <c r="N459" s="83"/>
    </row>
    <row r="460" spans="2:16" x14ac:dyDescent="0.25">
      <c r="B460" s="83"/>
      <c r="C460" s="83"/>
      <c r="D460" s="83"/>
      <c r="E460" s="83"/>
      <c r="F460" s="83"/>
      <c r="G460" s="83"/>
      <c r="H460" s="83"/>
      <c r="I460" s="83"/>
      <c r="J460" s="83"/>
      <c r="K460" s="83"/>
      <c r="L460" s="83"/>
      <c r="M460" s="83"/>
      <c r="N460" s="83"/>
    </row>
    <row r="461" spans="2:16" x14ac:dyDescent="0.25">
      <c r="B461" s="83"/>
      <c r="C461" s="83"/>
      <c r="D461" s="83"/>
      <c r="E461" s="83"/>
      <c r="F461" s="83"/>
      <c r="G461" s="83"/>
      <c r="H461" s="83"/>
      <c r="I461" s="83"/>
      <c r="J461" s="83"/>
      <c r="K461" s="83"/>
      <c r="L461" s="83"/>
      <c r="M461" s="83"/>
      <c r="N461" s="83"/>
    </row>
    <row r="462" spans="2:16" x14ac:dyDescent="0.25">
      <c r="B462" s="83"/>
      <c r="C462" s="83"/>
      <c r="D462" s="83"/>
      <c r="E462" s="83"/>
      <c r="F462" s="83"/>
      <c r="G462" s="83"/>
      <c r="H462" s="83"/>
      <c r="I462" s="83"/>
      <c r="J462" s="83"/>
      <c r="K462" s="83"/>
      <c r="L462" s="83"/>
      <c r="M462" s="83"/>
      <c r="N462" s="83"/>
    </row>
    <row r="463" spans="2:16" x14ac:dyDescent="0.25">
      <c r="B463" s="83"/>
      <c r="C463" s="83"/>
      <c r="D463" s="83"/>
      <c r="E463" s="83"/>
      <c r="F463" s="83"/>
      <c r="G463" s="83"/>
      <c r="H463" s="83"/>
      <c r="I463" s="83"/>
      <c r="J463" s="83"/>
      <c r="K463" s="83"/>
      <c r="L463" s="83"/>
      <c r="M463" s="83"/>
      <c r="N463" s="83"/>
    </row>
    <row r="464" spans="2:16" x14ac:dyDescent="0.25">
      <c r="B464" s="83"/>
      <c r="C464" s="83"/>
      <c r="D464" s="83"/>
      <c r="E464" s="83"/>
      <c r="F464" s="83"/>
      <c r="G464" s="83"/>
      <c r="H464" s="83"/>
      <c r="I464" s="83"/>
      <c r="J464" s="83"/>
      <c r="K464" s="83"/>
      <c r="L464" s="83"/>
      <c r="M464" s="83"/>
      <c r="N464" s="83"/>
    </row>
    <row r="465" spans="2:14" x14ac:dyDescent="0.25">
      <c r="B465" s="83"/>
      <c r="C465" s="83"/>
      <c r="D465" s="83"/>
      <c r="E465" s="83"/>
      <c r="F465" s="83"/>
      <c r="G465" s="83"/>
      <c r="H465" s="83"/>
      <c r="I465" s="83"/>
      <c r="J465" s="83"/>
      <c r="K465" s="83"/>
      <c r="L465" s="83"/>
      <c r="M465" s="83"/>
      <c r="N465" s="83"/>
    </row>
    <row r="466" spans="2:14" x14ac:dyDescent="0.25">
      <c r="B466" s="83"/>
      <c r="C466" s="83"/>
      <c r="D466" s="83"/>
      <c r="E466" s="83"/>
      <c r="F466" s="83"/>
      <c r="G466" s="83"/>
      <c r="H466" s="83"/>
      <c r="I466" s="83"/>
      <c r="J466" s="83"/>
      <c r="K466" s="83"/>
      <c r="L466" s="83"/>
      <c r="M466" s="83"/>
      <c r="N466" s="83"/>
    </row>
    <row r="467" spans="2:14" x14ac:dyDescent="0.25">
      <c r="B467" s="83"/>
      <c r="C467" s="83"/>
      <c r="D467" s="83"/>
      <c r="E467" s="83"/>
      <c r="F467" s="83"/>
      <c r="G467" s="83"/>
      <c r="H467" s="83"/>
      <c r="I467" s="83"/>
      <c r="J467" s="83"/>
      <c r="K467" s="83"/>
      <c r="L467" s="83"/>
      <c r="M467" s="83"/>
      <c r="N467" s="83"/>
    </row>
    <row r="468" spans="2:14" x14ac:dyDescent="0.25">
      <c r="B468" s="83"/>
      <c r="C468" s="83"/>
      <c r="D468" s="83"/>
      <c r="E468" s="83"/>
      <c r="F468" s="83"/>
      <c r="G468" s="83"/>
      <c r="H468" s="83"/>
      <c r="I468" s="83"/>
      <c r="J468" s="83"/>
      <c r="K468" s="83"/>
      <c r="L468" s="83"/>
      <c r="M468" s="83"/>
      <c r="N468" s="83"/>
    </row>
    <row r="469" spans="2:14" x14ac:dyDescent="0.25">
      <c r="B469" s="83"/>
      <c r="C469" s="83"/>
      <c r="D469" s="83"/>
      <c r="E469" s="83"/>
      <c r="F469" s="83"/>
      <c r="G469" s="83"/>
      <c r="H469" s="83"/>
      <c r="I469" s="83"/>
      <c r="J469" s="83"/>
      <c r="K469" s="83"/>
      <c r="L469" s="83"/>
      <c r="M469" s="83"/>
      <c r="N469" s="83"/>
    </row>
    <row r="470" spans="2:14" x14ac:dyDescent="0.25">
      <c r="B470" s="83"/>
      <c r="C470" s="83"/>
      <c r="D470" s="83"/>
      <c r="E470" s="83"/>
      <c r="F470" s="83"/>
      <c r="G470" s="83"/>
      <c r="H470" s="83"/>
      <c r="I470" s="83"/>
      <c r="J470" s="83"/>
      <c r="K470" s="83"/>
      <c r="L470" s="83"/>
      <c r="M470" s="83"/>
      <c r="N470" s="83"/>
    </row>
    <row r="471" spans="2:14" ht="13.8" thickBot="1" x14ac:dyDescent="0.3">
      <c r="B471" s="248" t="s">
        <v>229</v>
      </c>
      <c r="C471" s="248"/>
      <c r="D471" s="248"/>
      <c r="E471" s="248"/>
      <c r="F471" s="248"/>
      <c r="G471" s="248"/>
      <c r="H471" s="248"/>
      <c r="I471" s="248"/>
      <c r="J471" s="248"/>
      <c r="K471" s="248"/>
      <c r="L471" s="248"/>
      <c r="M471" s="248"/>
      <c r="N471" s="248"/>
    </row>
    <row r="472" spans="2:14" x14ac:dyDescent="0.25">
      <c r="B472" s="83"/>
      <c r="C472" s="83"/>
      <c r="D472" s="83"/>
      <c r="E472" s="83"/>
      <c r="F472" s="83"/>
      <c r="G472" s="83"/>
      <c r="H472" s="83"/>
      <c r="I472" s="83"/>
      <c r="J472" s="83"/>
      <c r="K472" s="83"/>
      <c r="L472" s="83"/>
      <c r="M472" s="83"/>
      <c r="N472" s="83"/>
    </row>
    <row r="473" spans="2:14" x14ac:dyDescent="0.25">
      <c r="B473" s="83"/>
      <c r="C473" s="83" t="s">
        <v>232</v>
      </c>
      <c r="D473" s="83"/>
      <c r="E473" s="83" t="s">
        <v>203</v>
      </c>
      <c r="F473" s="83" t="s">
        <v>135</v>
      </c>
      <c r="G473" s="83"/>
      <c r="H473" s="83"/>
      <c r="I473" s="83"/>
      <c r="J473" s="83"/>
      <c r="K473" s="83" t="s">
        <v>232</v>
      </c>
      <c r="L473" s="83"/>
      <c r="M473" s="83"/>
      <c r="N473" s="83" t="s">
        <v>135</v>
      </c>
    </row>
    <row r="474" spans="2:14" x14ac:dyDescent="0.25">
      <c r="B474" s="83"/>
      <c r="C474" s="83" t="s">
        <v>141</v>
      </c>
      <c r="D474" s="83"/>
      <c r="E474" s="198">
        <v>0.16</v>
      </c>
      <c r="F474" s="197" t="s">
        <v>160</v>
      </c>
      <c r="G474" s="83"/>
      <c r="H474" s="83"/>
      <c r="I474" s="83"/>
      <c r="J474" s="83"/>
      <c r="K474" s="197" t="s">
        <v>165</v>
      </c>
      <c r="L474" s="83"/>
      <c r="M474" s="83"/>
      <c r="N474" s="197" t="s">
        <v>175</v>
      </c>
    </row>
    <row r="475" spans="2:14" x14ac:dyDescent="0.25">
      <c r="B475" s="83"/>
      <c r="C475" s="83" t="s">
        <v>142</v>
      </c>
      <c r="D475" s="83"/>
      <c r="E475" s="198">
        <v>0.18</v>
      </c>
      <c r="F475" s="197" t="s">
        <v>117</v>
      </c>
      <c r="G475" s="83"/>
      <c r="H475" s="83"/>
      <c r="I475" s="83"/>
      <c r="J475" s="83"/>
      <c r="K475" s="197" t="s">
        <v>181</v>
      </c>
      <c r="L475" s="83"/>
      <c r="M475" s="83"/>
      <c r="N475" s="197" t="s">
        <v>326</v>
      </c>
    </row>
    <row r="476" spans="2:14" x14ac:dyDescent="0.25">
      <c r="B476" s="83"/>
      <c r="C476" s="83" t="s">
        <v>239</v>
      </c>
      <c r="D476" s="83"/>
      <c r="E476" s="198">
        <v>0.21</v>
      </c>
      <c r="G476" s="83"/>
      <c r="H476" s="83"/>
      <c r="I476" s="83"/>
      <c r="J476" s="83"/>
      <c r="K476" s="197" t="s">
        <v>166</v>
      </c>
      <c r="L476" s="83"/>
      <c r="M476" s="83"/>
      <c r="N476" s="83"/>
    </row>
    <row r="477" spans="2:14" x14ac:dyDescent="0.25">
      <c r="B477" s="83"/>
      <c r="C477" s="83"/>
      <c r="D477" s="83"/>
      <c r="E477" s="151"/>
      <c r="G477" s="83"/>
      <c r="H477" s="83"/>
      <c r="I477" s="83"/>
      <c r="J477" s="83"/>
      <c r="K477" s="197" t="s">
        <v>338</v>
      </c>
      <c r="L477" s="83"/>
      <c r="M477" s="83"/>
      <c r="N477" s="83"/>
    </row>
    <row r="478" spans="2:14" x14ac:dyDescent="0.25">
      <c r="B478" s="83"/>
      <c r="C478" s="83"/>
      <c r="D478" s="83"/>
      <c r="E478" s="83"/>
      <c r="F478" s="83"/>
      <c r="G478" s="83"/>
      <c r="H478" s="83"/>
      <c r="I478" s="83"/>
      <c r="J478" s="83"/>
      <c r="K478" s="83"/>
      <c r="L478" s="83"/>
      <c r="M478" s="83"/>
      <c r="N478" s="83"/>
    </row>
    <row r="479" spans="2:14" x14ac:dyDescent="0.25">
      <c r="B479" s="83"/>
      <c r="C479" s="83"/>
      <c r="D479" s="83"/>
      <c r="F479" s="83"/>
      <c r="G479" s="83"/>
      <c r="H479" s="204"/>
      <c r="I479" s="83"/>
      <c r="J479" s="83"/>
      <c r="K479" s="83" t="str">
        <f>IF(OR(K370="Broward",K370="Miami-Dade"),"SF","PF")&amp;"-"&amp;IF(OR(K32="New Construction (w/ or w/o Acquisition)",K32="Redevelopment (w/ or w/o Acquisition)"),"NC","RC")&amp;"-"&amp;IF(K375=K474,"GA",IF(OR(K32="New Construction (w/ or w/o Acquisition)",K32="Redevelopment (w/ or w/o Acquisition)"),IF(OR(K375=K475,K375=K477),"MR","HR"),"NG"))&amp;"-"&amp;IF(OR(K32="Rehabilitation (w/ or w/o Acquisition)",K32=F475),"",IF(OR(K378=C474,K375=K476),"ESSC","W"))</f>
        <v>PF-RC-NG-W</v>
      </c>
      <c r="L479" s="83"/>
      <c r="M479" s="83"/>
      <c r="N479" s="83"/>
    </row>
    <row r="480" spans="2:14" x14ac:dyDescent="0.25">
      <c r="B480" s="83"/>
      <c r="C480" s="83"/>
      <c r="D480" s="83"/>
      <c r="E480" s="83" t="s">
        <v>232</v>
      </c>
      <c r="F480" s="210" t="s">
        <v>332</v>
      </c>
      <c r="G480" s="211"/>
      <c r="H480" s="207"/>
      <c r="I480" s="83"/>
      <c r="J480" s="83"/>
      <c r="K480" s="83"/>
      <c r="L480" s="83"/>
      <c r="M480" s="83"/>
      <c r="N480" s="171" t="s">
        <v>431</v>
      </c>
    </row>
    <row r="481" spans="2:14" x14ac:dyDescent="0.25">
      <c r="B481" s="83"/>
      <c r="C481" s="83"/>
      <c r="D481" s="83"/>
      <c r="E481" s="219" t="s">
        <v>350</v>
      </c>
      <c r="F481" s="83" t="s">
        <v>351</v>
      </c>
      <c r="G481" s="211"/>
      <c r="H481" s="212"/>
      <c r="I481" s="83"/>
      <c r="J481" s="83"/>
      <c r="K481" s="83" t="s">
        <v>274</v>
      </c>
      <c r="L481" s="83"/>
      <c r="M481" s="83"/>
      <c r="N481" s="195">
        <v>264300</v>
      </c>
    </row>
    <row r="482" spans="2:14" x14ac:dyDescent="0.25">
      <c r="B482" s="83"/>
      <c r="C482" s="83"/>
      <c r="D482" s="83"/>
      <c r="E482" s="154" t="s">
        <v>352</v>
      </c>
      <c r="F482" s="83" t="s">
        <v>353</v>
      </c>
      <c r="G482" s="211"/>
      <c r="H482" s="212"/>
      <c r="I482" s="83"/>
      <c r="J482" s="83"/>
      <c r="K482" s="83" t="s">
        <v>184</v>
      </c>
      <c r="L482" s="83"/>
      <c r="M482" s="83"/>
      <c r="N482" s="195">
        <v>219600</v>
      </c>
    </row>
    <row r="483" spans="2:14" x14ac:dyDescent="0.25">
      <c r="B483" s="83"/>
      <c r="C483" s="83"/>
      <c r="D483" s="83"/>
      <c r="E483" s="154" t="s">
        <v>354</v>
      </c>
      <c r="F483" s="83" t="s">
        <v>351</v>
      </c>
      <c r="G483" s="211"/>
      <c r="H483" s="212"/>
      <c r="I483" s="83"/>
      <c r="J483" s="83"/>
      <c r="K483" s="83" t="s">
        <v>275</v>
      </c>
      <c r="L483" s="83"/>
      <c r="M483" s="83"/>
      <c r="N483" s="195">
        <v>328000</v>
      </c>
    </row>
    <row r="484" spans="2:14" x14ac:dyDescent="0.25">
      <c r="B484" s="83"/>
      <c r="C484" s="83"/>
      <c r="D484" s="83"/>
      <c r="E484" s="152" t="s">
        <v>355</v>
      </c>
      <c r="F484" s="83" t="s">
        <v>353</v>
      </c>
      <c r="G484" s="211"/>
      <c r="H484" s="212"/>
      <c r="I484" s="83"/>
      <c r="J484" s="83"/>
      <c r="K484" s="83" t="s">
        <v>276</v>
      </c>
      <c r="L484" s="83"/>
      <c r="M484" s="83"/>
      <c r="N484" s="195">
        <v>292100</v>
      </c>
    </row>
    <row r="485" spans="2:14" x14ac:dyDescent="0.25">
      <c r="B485" s="83"/>
      <c r="C485" s="83"/>
      <c r="D485" s="83"/>
      <c r="E485" s="152" t="s">
        <v>356</v>
      </c>
      <c r="F485" s="83" t="s">
        <v>351</v>
      </c>
      <c r="G485" s="211"/>
      <c r="H485" s="212"/>
      <c r="I485" s="83"/>
      <c r="J485" s="83"/>
      <c r="K485" s="83" t="s">
        <v>185</v>
      </c>
      <c r="L485" s="83"/>
      <c r="M485" s="83"/>
      <c r="N485" s="195">
        <v>264300</v>
      </c>
    </row>
    <row r="486" spans="2:14" x14ac:dyDescent="0.25">
      <c r="B486" s="83"/>
      <c r="C486" s="83"/>
      <c r="D486" s="83"/>
      <c r="E486" s="152" t="s">
        <v>339</v>
      </c>
      <c r="F486" s="83" t="s">
        <v>340</v>
      </c>
      <c r="G486" s="211"/>
      <c r="H486" s="212"/>
      <c r="I486" s="83"/>
      <c r="J486" s="83"/>
      <c r="K486" s="83" t="s">
        <v>236</v>
      </c>
      <c r="L486" s="83"/>
      <c r="M486" s="83"/>
      <c r="N486" s="195">
        <v>124500</v>
      </c>
    </row>
    <row r="487" spans="2:14" x14ac:dyDescent="0.25">
      <c r="B487" s="83"/>
      <c r="C487" s="83"/>
      <c r="D487" s="83"/>
      <c r="E487" s="152" t="s">
        <v>357</v>
      </c>
      <c r="F487" s="83" t="s">
        <v>353</v>
      </c>
      <c r="G487" s="211"/>
      <c r="H487" s="212"/>
      <c r="I487" s="83"/>
      <c r="J487" s="83"/>
      <c r="K487" s="83" t="s">
        <v>237</v>
      </c>
      <c r="L487" s="83"/>
      <c r="M487" s="83"/>
      <c r="N487" s="195">
        <v>187800</v>
      </c>
    </row>
    <row r="488" spans="2:14" x14ac:dyDescent="0.25">
      <c r="B488" s="83"/>
      <c r="C488" s="83"/>
      <c r="D488" s="83"/>
      <c r="E488" s="219" t="s">
        <v>358</v>
      </c>
      <c r="F488" s="83" t="s">
        <v>351</v>
      </c>
      <c r="G488" s="211"/>
      <c r="H488" s="212"/>
      <c r="I488" s="83"/>
      <c r="J488" s="83"/>
      <c r="K488" s="83" t="s">
        <v>277</v>
      </c>
      <c r="L488" s="83"/>
      <c r="M488" s="83"/>
      <c r="N488" s="195">
        <v>277200</v>
      </c>
    </row>
    <row r="489" spans="2:14" x14ac:dyDescent="0.25">
      <c r="B489" s="83"/>
      <c r="C489" s="83"/>
      <c r="D489" s="83"/>
      <c r="E489" s="219" t="s">
        <v>359</v>
      </c>
      <c r="F489" s="85" t="s">
        <v>351</v>
      </c>
      <c r="G489" s="211"/>
      <c r="H489" s="212"/>
      <c r="I489" s="83"/>
      <c r="J489" s="83"/>
      <c r="K489" s="83" t="s">
        <v>182</v>
      </c>
      <c r="L489" s="83"/>
      <c r="M489" s="83"/>
      <c r="N489" s="195">
        <v>231300</v>
      </c>
    </row>
    <row r="490" spans="2:14" x14ac:dyDescent="0.25">
      <c r="B490" s="83"/>
      <c r="C490" s="83"/>
      <c r="D490" s="83"/>
      <c r="E490" s="219" t="s">
        <v>360</v>
      </c>
      <c r="F490" s="85" t="s">
        <v>351</v>
      </c>
      <c r="G490" s="211"/>
      <c r="H490" s="212"/>
      <c r="I490" s="83"/>
      <c r="J490" s="83"/>
      <c r="K490" s="83" t="s">
        <v>278</v>
      </c>
      <c r="L490" s="83"/>
      <c r="M490" s="83"/>
      <c r="N490" s="195">
        <v>343000</v>
      </c>
    </row>
    <row r="491" spans="2:14" x14ac:dyDescent="0.25">
      <c r="B491" s="83"/>
      <c r="C491" s="83"/>
      <c r="D491" s="83"/>
      <c r="E491" s="154" t="s">
        <v>361</v>
      </c>
      <c r="F491" s="83" t="s">
        <v>351</v>
      </c>
      <c r="G491" s="211"/>
      <c r="H491" s="212"/>
      <c r="I491" s="83"/>
      <c r="J491" s="83"/>
      <c r="K491" s="83" t="s">
        <v>279</v>
      </c>
      <c r="L491" s="83"/>
      <c r="M491" s="83"/>
      <c r="N491" s="195">
        <v>305900</v>
      </c>
    </row>
    <row r="492" spans="2:14" x14ac:dyDescent="0.25">
      <c r="B492" s="83"/>
      <c r="C492" s="83"/>
      <c r="D492" s="83"/>
      <c r="E492" s="154" t="s">
        <v>362</v>
      </c>
      <c r="F492" s="83" t="s">
        <v>353</v>
      </c>
      <c r="G492" s="211"/>
      <c r="H492" s="212"/>
      <c r="I492" s="83"/>
      <c r="J492" s="83"/>
      <c r="K492" s="83" t="s">
        <v>183</v>
      </c>
      <c r="L492" s="83"/>
      <c r="M492" s="83"/>
      <c r="N492" s="195">
        <v>277200</v>
      </c>
    </row>
    <row r="493" spans="2:14" x14ac:dyDescent="0.25">
      <c r="B493" s="83"/>
      <c r="C493" s="83"/>
      <c r="D493" s="83"/>
      <c r="E493" s="154" t="s">
        <v>363</v>
      </c>
      <c r="F493" s="83" t="s">
        <v>353</v>
      </c>
      <c r="G493" s="211"/>
      <c r="H493" s="212"/>
      <c r="I493" s="83"/>
      <c r="J493" s="83"/>
      <c r="K493" s="83" t="s">
        <v>234</v>
      </c>
      <c r="L493" s="83"/>
      <c r="M493" s="83"/>
      <c r="N493" s="195">
        <v>130200</v>
      </c>
    </row>
    <row r="494" spans="2:14" x14ac:dyDescent="0.25">
      <c r="B494" s="83"/>
      <c r="C494" s="83"/>
      <c r="D494" s="83"/>
      <c r="E494" s="154" t="s">
        <v>364</v>
      </c>
      <c r="F494" s="83" t="s">
        <v>353</v>
      </c>
      <c r="G494" s="211"/>
      <c r="H494" s="212"/>
      <c r="I494" s="83"/>
      <c r="J494" s="83"/>
      <c r="K494" s="83" t="s">
        <v>235</v>
      </c>
      <c r="L494" s="83"/>
      <c r="M494" s="83"/>
      <c r="N494" s="195">
        <v>197100</v>
      </c>
    </row>
    <row r="495" spans="2:14" x14ac:dyDescent="0.25">
      <c r="B495" s="83"/>
      <c r="C495" s="83"/>
      <c r="D495" s="83"/>
      <c r="E495" s="154" t="s">
        <v>341</v>
      </c>
      <c r="F495" s="83" t="s">
        <v>340</v>
      </c>
      <c r="G495" s="211"/>
      <c r="H495" s="212"/>
      <c r="I495" s="83"/>
      <c r="J495" s="83"/>
      <c r="K495" s="83"/>
      <c r="L495" s="83"/>
      <c r="M495" s="83"/>
      <c r="N495" s="83"/>
    </row>
    <row r="496" spans="2:14" x14ac:dyDescent="0.25">
      <c r="B496" s="83"/>
      <c r="C496" s="83"/>
      <c r="D496" s="83"/>
      <c r="E496" s="154" t="s">
        <v>365</v>
      </c>
      <c r="F496" s="83" t="s">
        <v>351</v>
      </c>
      <c r="G496" s="211"/>
      <c r="H496" s="212"/>
      <c r="I496" s="83"/>
      <c r="J496" s="83"/>
      <c r="K496" s="83" t="s">
        <v>282</v>
      </c>
      <c r="L496" s="83"/>
      <c r="M496" s="83"/>
      <c r="N496" s="153">
        <v>5000</v>
      </c>
    </row>
    <row r="497" spans="2:14" x14ac:dyDescent="0.25">
      <c r="B497" s="83"/>
      <c r="C497" s="83"/>
      <c r="D497" s="83"/>
      <c r="E497" s="155" t="s">
        <v>366</v>
      </c>
      <c r="F497" s="83" t="s">
        <v>351</v>
      </c>
      <c r="G497" s="211"/>
      <c r="H497" s="212"/>
      <c r="I497" s="83"/>
      <c r="J497" s="83"/>
      <c r="K497" s="169" t="s">
        <v>194</v>
      </c>
      <c r="L497" s="169"/>
      <c r="M497" s="169"/>
      <c r="N497" s="225">
        <v>5000</v>
      </c>
    </row>
    <row r="498" spans="2:14" x14ac:dyDescent="0.25">
      <c r="B498" s="83"/>
      <c r="C498" s="83"/>
      <c r="D498" s="83"/>
      <c r="E498" s="154" t="s">
        <v>367</v>
      </c>
      <c r="F498" s="83" t="s">
        <v>353</v>
      </c>
      <c r="G498" s="211"/>
      <c r="H498" s="212"/>
      <c r="I498" s="83"/>
      <c r="J498" s="83"/>
      <c r="K498" s="1" t="s">
        <v>186</v>
      </c>
      <c r="L498" s="1"/>
      <c r="M498" s="1"/>
      <c r="N498" s="222">
        <v>0.65</v>
      </c>
    </row>
    <row r="499" spans="2:14" x14ac:dyDescent="0.25">
      <c r="B499" s="83"/>
      <c r="C499" s="83"/>
      <c r="D499" s="83"/>
      <c r="E499" s="154" t="s">
        <v>368</v>
      </c>
      <c r="F499" s="83" t="s">
        <v>353</v>
      </c>
      <c r="G499" s="211"/>
      <c r="H499" s="212"/>
      <c r="I499" s="83"/>
      <c r="J499" s="83"/>
      <c r="K499" s="1" t="s">
        <v>187</v>
      </c>
      <c r="L499" s="1"/>
      <c r="M499" s="1"/>
      <c r="N499" s="222">
        <v>0.5</v>
      </c>
    </row>
    <row r="500" spans="2:14" x14ac:dyDescent="0.25">
      <c r="B500" s="83"/>
      <c r="C500" s="83"/>
      <c r="D500" s="83"/>
      <c r="E500" s="154" t="s">
        <v>369</v>
      </c>
      <c r="F500" s="83" t="s">
        <v>353</v>
      </c>
      <c r="G500" s="211"/>
      <c r="H500" s="212"/>
      <c r="I500" s="83"/>
      <c r="J500" s="83"/>
      <c r="K500" s="1" t="s">
        <v>326</v>
      </c>
      <c r="L500" s="1"/>
      <c r="M500" s="1"/>
      <c r="N500" s="222">
        <v>0.9</v>
      </c>
    </row>
    <row r="501" spans="2:14" x14ac:dyDescent="0.25">
      <c r="B501" s="83"/>
      <c r="C501" s="83"/>
      <c r="D501" s="83"/>
      <c r="E501" s="154" t="s">
        <v>370</v>
      </c>
      <c r="F501" s="83" t="s">
        <v>353</v>
      </c>
      <c r="G501" s="211"/>
      <c r="H501" s="212"/>
      <c r="I501" s="83"/>
      <c r="J501" s="83"/>
      <c r="K501" s="1" t="s">
        <v>175</v>
      </c>
      <c r="L501" s="1"/>
      <c r="M501" s="1"/>
      <c r="N501" s="222">
        <v>0.9</v>
      </c>
    </row>
    <row r="502" spans="2:14" x14ac:dyDescent="0.25">
      <c r="B502" s="83"/>
      <c r="C502" s="83"/>
      <c r="D502" s="83"/>
      <c r="E502" s="154" t="s">
        <v>371</v>
      </c>
      <c r="F502" s="83" t="s">
        <v>353</v>
      </c>
      <c r="G502" s="211"/>
      <c r="H502" s="212"/>
      <c r="I502" s="83"/>
      <c r="J502" s="83"/>
      <c r="K502" s="169" t="s">
        <v>174</v>
      </c>
      <c r="L502" s="83"/>
      <c r="M502" s="83"/>
      <c r="N502" s="170">
        <v>0.9</v>
      </c>
    </row>
    <row r="503" spans="2:14" x14ac:dyDescent="0.25">
      <c r="B503" s="83"/>
      <c r="C503" s="83"/>
      <c r="D503" s="83"/>
      <c r="E503" s="154" t="s">
        <v>372</v>
      </c>
      <c r="F503" s="83" t="s">
        <v>353</v>
      </c>
      <c r="G503" s="211"/>
      <c r="H503" s="212"/>
      <c r="I503" s="83"/>
      <c r="J503" s="83"/>
      <c r="K503" s="169" t="s">
        <v>188</v>
      </c>
      <c r="L503" s="169"/>
      <c r="M503" s="169"/>
      <c r="N503" s="170">
        <v>0.9</v>
      </c>
    </row>
    <row r="504" spans="2:14" x14ac:dyDescent="0.25">
      <c r="B504" s="83"/>
      <c r="C504" s="83"/>
      <c r="D504" s="83"/>
      <c r="E504" s="154" t="s">
        <v>373</v>
      </c>
      <c r="F504" s="83" t="s">
        <v>353</v>
      </c>
      <c r="G504" s="211"/>
      <c r="H504" s="212"/>
      <c r="I504" s="83"/>
      <c r="J504" s="83"/>
      <c r="K504" s="169" t="s">
        <v>176</v>
      </c>
      <c r="L504" s="169"/>
      <c r="M504" s="169"/>
      <c r="N504" s="170">
        <v>0.95</v>
      </c>
    </row>
    <row r="505" spans="2:14" x14ac:dyDescent="0.25">
      <c r="B505" s="83"/>
      <c r="C505" s="83"/>
      <c r="D505" s="83"/>
      <c r="E505" s="154" t="s">
        <v>374</v>
      </c>
      <c r="F505" s="83" t="s">
        <v>353</v>
      </c>
      <c r="G505" s="211"/>
      <c r="H505" s="212"/>
      <c r="I505" s="83"/>
      <c r="J505" s="83"/>
      <c r="K505" s="237" t="s">
        <v>272</v>
      </c>
      <c r="L505" s="1"/>
      <c r="M505" s="1"/>
      <c r="N505" s="222">
        <v>0.9</v>
      </c>
    </row>
    <row r="506" spans="2:14" x14ac:dyDescent="0.25">
      <c r="B506" s="83"/>
      <c r="C506" s="83"/>
      <c r="D506" s="83"/>
      <c r="E506" s="154" t="s">
        <v>375</v>
      </c>
      <c r="F506" s="83" t="s">
        <v>351</v>
      </c>
      <c r="G506" s="211"/>
      <c r="H506" s="212"/>
      <c r="I506" s="83"/>
      <c r="J506" s="83"/>
      <c r="K506" s="237" t="s">
        <v>273</v>
      </c>
      <c r="L506" s="1"/>
      <c r="M506" s="1"/>
      <c r="N506" s="222">
        <v>0.95</v>
      </c>
    </row>
    <row r="507" spans="2:14" x14ac:dyDescent="0.25">
      <c r="B507" s="83"/>
      <c r="C507" s="83"/>
      <c r="D507" s="83"/>
      <c r="E507" s="154" t="s">
        <v>376</v>
      </c>
      <c r="F507" s="83" t="s">
        <v>351</v>
      </c>
      <c r="G507" s="211"/>
      <c r="H507" s="212"/>
      <c r="I507" s="83"/>
      <c r="J507" s="83"/>
      <c r="K507" s="83"/>
      <c r="L507" s="83"/>
      <c r="M507" s="83"/>
    </row>
    <row r="508" spans="2:14" x14ac:dyDescent="0.25">
      <c r="B508" s="83"/>
      <c r="C508" s="83"/>
      <c r="D508" s="83"/>
      <c r="E508" s="154" t="s">
        <v>342</v>
      </c>
      <c r="F508" s="83" t="s">
        <v>340</v>
      </c>
      <c r="G508" s="211"/>
      <c r="H508" s="212"/>
      <c r="I508" s="83"/>
      <c r="J508" s="83"/>
      <c r="K508" s="169"/>
      <c r="L508" s="83"/>
      <c r="M508" s="83"/>
    </row>
    <row r="509" spans="2:14" x14ac:dyDescent="0.25">
      <c r="B509" s="83"/>
      <c r="C509" s="83"/>
      <c r="D509" s="83"/>
      <c r="E509" s="154" t="s">
        <v>377</v>
      </c>
      <c r="F509" s="83" t="s">
        <v>353</v>
      </c>
      <c r="G509" s="211"/>
      <c r="H509" s="212"/>
      <c r="I509" s="83"/>
      <c r="J509" s="83"/>
      <c r="K509" s="83"/>
      <c r="L509" s="83"/>
      <c r="M509" s="83"/>
    </row>
    <row r="510" spans="2:14" x14ac:dyDescent="0.25">
      <c r="B510" s="83"/>
      <c r="C510" s="83"/>
      <c r="D510" s="83"/>
      <c r="E510" s="154" t="s">
        <v>378</v>
      </c>
      <c r="F510" s="83" t="s">
        <v>351</v>
      </c>
      <c r="G510" s="211"/>
      <c r="H510" s="212"/>
      <c r="I510" s="83"/>
      <c r="J510" s="83"/>
      <c r="K510" s="257" t="s">
        <v>232</v>
      </c>
      <c r="L510" s="257"/>
      <c r="M510" s="257"/>
    </row>
    <row r="511" spans="2:14" x14ac:dyDescent="0.25">
      <c r="B511" s="83"/>
      <c r="C511" s="83"/>
      <c r="D511" s="83"/>
      <c r="E511" s="154" t="s">
        <v>379</v>
      </c>
      <c r="F511" s="83" t="s">
        <v>353</v>
      </c>
      <c r="G511" s="211"/>
      <c r="H511" s="212"/>
      <c r="I511" s="83"/>
      <c r="J511" s="83"/>
      <c r="K511" s="250" t="s">
        <v>143</v>
      </c>
      <c r="L511" s="250"/>
      <c r="M511" s="250"/>
      <c r="N511" s="83"/>
    </row>
    <row r="512" spans="2:14" x14ac:dyDescent="0.25">
      <c r="B512" s="83"/>
      <c r="C512" s="83"/>
      <c r="D512" s="83"/>
      <c r="E512" s="154" t="s">
        <v>380</v>
      </c>
      <c r="F512" s="85" t="s">
        <v>353</v>
      </c>
      <c r="G512" s="211"/>
      <c r="H512" s="212"/>
      <c r="I512" s="83"/>
      <c r="J512" s="83"/>
      <c r="K512" s="83"/>
      <c r="L512" s="83"/>
      <c r="M512" s="83"/>
      <c r="N512" s="83"/>
    </row>
    <row r="513" spans="2:22" x14ac:dyDescent="0.25">
      <c r="B513" s="83"/>
      <c r="E513" s="154" t="s">
        <v>381</v>
      </c>
      <c r="F513" s="85" t="s">
        <v>353</v>
      </c>
      <c r="G513" s="207"/>
      <c r="H513" s="212"/>
      <c r="I513" s="83"/>
      <c r="J513" s="83"/>
      <c r="K513" s="83"/>
      <c r="L513" s="83"/>
      <c r="M513" s="83"/>
      <c r="N513" s="83"/>
    </row>
    <row r="514" spans="2:22" x14ac:dyDescent="0.25">
      <c r="B514" s="83"/>
      <c r="E514" s="154" t="s">
        <v>382</v>
      </c>
      <c r="F514" s="85" t="s">
        <v>351</v>
      </c>
      <c r="G514" s="207"/>
      <c r="H514" s="212"/>
      <c r="I514" s="83"/>
      <c r="J514" s="83"/>
      <c r="K514" s="83" t="s">
        <v>232</v>
      </c>
      <c r="L514" s="83"/>
      <c r="M514" s="83"/>
    </row>
    <row r="515" spans="2:22" x14ac:dyDescent="0.25">
      <c r="B515" s="83"/>
      <c r="E515" s="154" t="s">
        <v>383</v>
      </c>
      <c r="F515" s="85" t="s">
        <v>351</v>
      </c>
      <c r="G515" s="207"/>
      <c r="H515" s="212"/>
      <c r="I515" s="83"/>
      <c r="J515" s="83"/>
      <c r="K515" s="83" t="s">
        <v>287</v>
      </c>
      <c r="L515" s="83"/>
      <c r="M515" s="83"/>
      <c r="V515" s="83"/>
    </row>
    <row r="516" spans="2:22" x14ac:dyDescent="0.25">
      <c r="B516" s="83"/>
      <c r="E516" s="154" t="s">
        <v>384</v>
      </c>
      <c r="F516" s="85" t="s">
        <v>351</v>
      </c>
      <c r="G516" s="207"/>
      <c r="H516" s="212"/>
      <c r="I516" s="83"/>
      <c r="J516" s="83"/>
      <c r="K516" s="83" t="s">
        <v>288</v>
      </c>
      <c r="L516" s="83"/>
      <c r="M516" s="83"/>
    </row>
    <row r="517" spans="2:22" x14ac:dyDescent="0.25">
      <c r="B517" s="83"/>
      <c r="C517" s="83"/>
      <c r="D517" s="83"/>
      <c r="E517" s="152" t="s">
        <v>385</v>
      </c>
      <c r="F517" s="83" t="s">
        <v>353</v>
      </c>
      <c r="G517" s="211"/>
      <c r="H517" s="212"/>
      <c r="I517" s="83"/>
      <c r="J517" s="83"/>
      <c r="K517" s="83"/>
      <c r="L517" s="83"/>
      <c r="M517" s="83"/>
    </row>
    <row r="518" spans="2:22" x14ac:dyDescent="0.25">
      <c r="B518" s="83"/>
      <c r="C518" s="83"/>
      <c r="D518" s="83"/>
      <c r="E518" s="152" t="s">
        <v>386</v>
      </c>
      <c r="F518" s="83" t="s">
        <v>353</v>
      </c>
      <c r="G518" s="211"/>
      <c r="H518" s="212"/>
      <c r="I518" s="83"/>
      <c r="J518" s="83"/>
      <c r="K518" s="287" t="s">
        <v>135</v>
      </c>
      <c r="L518" s="287"/>
      <c r="M518" s="287"/>
      <c r="N518" s="287"/>
    </row>
    <row r="519" spans="2:22" x14ac:dyDescent="0.25">
      <c r="B519" s="83"/>
      <c r="C519" s="83"/>
      <c r="D519" s="83"/>
      <c r="E519" s="152" t="s">
        <v>387</v>
      </c>
      <c r="F519" s="83" t="s">
        <v>353</v>
      </c>
      <c r="G519" s="211"/>
      <c r="H519" s="212"/>
      <c r="I519" s="83"/>
      <c r="J519" s="83"/>
      <c r="K519" s="125" t="s">
        <v>196</v>
      </c>
    </row>
    <row r="520" spans="2:22" x14ac:dyDescent="0.25">
      <c r="B520" s="83"/>
      <c r="C520" s="83"/>
      <c r="D520" s="83"/>
      <c r="E520" s="152" t="s">
        <v>388</v>
      </c>
      <c r="F520" s="83" t="s">
        <v>351</v>
      </c>
      <c r="G520" s="211"/>
      <c r="H520" s="212"/>
      <c r="I520" s="83"/>
      <c r="J520" s="83"/>
      <c r="K520" s="268" t="s">
        <v>135</v>
      </c>
      <c r="L520" s="268"/>
      <c r="M520" s="268"/>
      <c r="N520" s="268"/>
    </row>
    <row r="521" spans="2:22" x14ac:dyDescent="0.25">
      <c r="B521" s="83"/>
      <c r="C521" s="83"/>
      <c r="D521" s="83"/>
      <c r="E521" s="152" t="s">
        <v>389</v>
      </c>
      <c r="F521" s="83" t="s">
        <v>351</v>
      </c>
      <c r="G521" s="211"/>
      <c r="H521" s="212"/>
      <c r="I521" s="83"/>
      <c r="J521" s="83"/>
      <c r="K521" s="83"/>
      <c r="L521" s="83"/>
      <c r="M521" s="83"/>
    </row>
    <row r="522" spans="2:22" x14ac:dyDescent="0.25">
      <c r="B522" s="83"/>
      <c r="C522" s="83"/>
      <c r="D522" s="83"/>
      <c r="E522" s="152" t="s">
        <v>390</v>
      </c>
      <c r="F522" s="83" t="s">
        <v>351</v>
      </c>
      <c r="G522" s="211"/>
      <c r="H522" s="212"/>
      <c r="I522" s="83"/>
      <c r="J522" s="83"/>
      <c r="K522" s="83" t="s">
        <v>191</v>
      </c>
      <c r="L522" s="83"/>
      <c r="M522" s="83"/>
    </row>
    <row r="523" spans="2:22" x14ac:dyDescent="0.25">
      <c r="B523" s="83"/>
      <c r="C523" s="83"/>
      <c r="D523" s="83"/>
      <c r="E523" s="152" t="s">
        <v>391</v>
      </c>
      <c r="F523" s="83" t="s">
        <v>340</v>
      </c>
      <c r="G523" s="211"/>
      <c r="H523" s="212"/>
      <c r="I523" s="83"/>
      <c r="J523" s="83"/>
      <c r="K523" s="83"/>
      <c r="L523" s="83"/>
      <c r="M523" s="83"/>
    </row>
    <row r="524" spans="2:22" x14ac:dyDescent="0.25">
      <c r="B524" s="83"/>
      <c r="C524" s="83"/>
      <c r="D524" s="83"/>
      <c r="E524" s="152" t="s">
        <v>392</v>
      </c>
      <c r="F524" s="83" t="s">
        <v>353</v>
      </c>
      <c r="G524" s="211"/>
      <c r="H524" s="212"/>
      <c r="I524" s="83"/>
      <c r="J524" s="83"/>
      <c r="K524" s="83" t="s">
        <v>232</v>
      </c>
      <c r="L524" s="83"/>
      <c r="M524" s="83"/>
    </row>
    <row r="525" spans="2:22" x14ac:dyDescent="0.25">
      <c r="B525" s="83"/>
      <c r="C525" s="83"/>
      <c r="D525" s="83"/>
      <c r="E525" s="152" t="s">
        <v>393</v>
      </c>
      <c r="F525" s="83" t="s">
        <v>353</v>
      </c>
      <c r="G525" s="211"/>
      <c r="H525" s="212"/>
      <c r="I525" s="83"/>
      <c r="J525" s="83"/>
      <c r="K525" s="83" t="s">
        <v>291</v>
      </c>
      <c r="L525" s="83"/>
      <c r="M525" s="83"/>
    </row>
    <row r="526" spans="2:22" x14ac:dyDescent="0.25">
      <c r="B526" s="83"/>
      <c r="C526" s="83"/>
      <c r="D526" s="83"/>
      <c r="E526" s="152" t="s">
        <v>394</v>
      </c>
      <c r="F526" s="83" t="s">
        <v>351</v>
      </c>
      <c r="G526" s="211"/>
      <c r="H526" s="212"/>
      <c r="I526" s="83"/>
      <c r="J526" s="83"/>
      <c r="K526" s="83" t="s">
        <v>441</v>
      </c>
      <c r="L526" s="83"/>
      <c r="M526" s="83"/>
    </row>
    <row r="527" spans="2:22" x14ac:dyDescent="0.25">
      <c r="B527" s="83"/>
      <c r="C527" s="83"/>
      <c r="D527" s="83"/>
      <c r="E527" s="152" t="s">
        <v>395</v>
      </c>
      <c r="F527" s="83" t="s">
        <v>353</v>
      </c>
      <c r="G527" s="211"/>
      <c r="H527" s="212"/>
      <c r="I527" s="83"/>
      <c r="J527" s="83"/>
      <c r="K527" s="83" t="s">
        <v>294</v>
      </c>
    </row>
    <row r="528" spans="2:22" x14ac:dyDescent="0.25">
      <c r="B528" s="83"/>
      <c r="C528" s="83"/>
      <c r="D528" s="83"/>
      <c r="E528" s="154" t="s">
        <v>343</v>
      </c>
      <c r="F528" s="83" t="s">
        <v>340</v>
      </c>
      <c r="G528" s="211"/>
      <c r="H528" s="212"/>
      <c r="I528" s="83"/>
      <c r="J528" s="83"/>
      <c r="K528" s="83" t="s">
        <v>295</v>
      </c>
      <c r="L528" s="83"/>
      <c r="M528" s="83"/>
    </row>
    <row r="529" spans="2:14" x14ac:dyDescent="0.25">
      <c r="B529" s="83"/>
      <c r="C529" s="83"/>
      <c r="D529" s="83"/>
      <c r="E529" s="154" t="s">
        <v>396</v>
      </c>
      <c r="F529" s="83" t="s">
        <v>351</v>
      </c>
      <c r="G529" s="211"/>
      <c r="H529" s="212"/>
      <c r="I529" s="83"/>
      <c r="J529" s="83"/>
      <c r="K529" t="s">
        <v>447</v>
      </c>
      <c r="L529" s="83"/>
      <c r="M529" s="83"/>
    </row>
    <row r="530" spans="2:14" x14ac:dyDescent="0.25">
      <c r="B530" s="83"/>
      <c r="C530" s="83"/>
      <c r="D530" s="83"/>
      <c r="E530" s="152" t="s">
        <v>344</v>
      </c>
      <c r="F530" s="83" t="s">
        <v>340</v>
      </c>
      <c r="G530" s="211"/>
      <c r="H530" s="212"/>
      <c r="I530" s="83"/>
      <c r="J530" s="83"/>
      <c r="K530" s="83" t="s">
        <v>303</v>
      </c>
      <c r="L530" s="83"/>
      <c r="M530" s="83"/>
    </row>
    <row r="531" spans="2:14" x14ac:dyDescent="0.25">
      <c r="B531" s="83"/>
      <c r="C531" s="83"/>
      <c r="D531" s="83"/>
      <c r="E531" s="152" t="s">
        <v>397</v>
      </c>
      <c r="F531" s="83" t="s">
        <v>351</v>
      </c>
      <c r="G531" s="211"/>
      <c r="H531" s="212"/>
      <c r="I531" s="83"/>
      <c r="J531" s="83"/>
      <c r="K531" s="83" t="s">
        <v>304</v>
      </c>
      <c r="L531" s="83"/>
      <c r="M531" s="83"/>
    </row>
    <row r="532" spans="2:14" x14ac:dyDescent="0.25">
      <c r="B532" s="83"/>
      <c r="C532" s="83"/>
      <c r="D532" s="83"/>
      <c r="E532" s="152" t="s">
        <v>345</v>
      </c>
      <c r="F532" s="83" t="s">
        <v>340</v>
      </c>
      <c r="G532" s="211"/>
      <c r="H532" s="212"/>
      <c r="I532" s="83"/>
      <c r="J532" s="83"/>
      <c r="K532" s="83" t="s">
        <v>293</v>
      </c>
      <c r="L532" s="83"/>
      <c r="M532" s="83"/>
      <c r="N532" s="83" t="s">
        <v>292</v>
      </c>
    </row>
    <row r="533" spans="2:14" x14ac:dyDescent="0.25">
      <c r="B533" s="83"/>
      <c r="C533" s="83"/>
      <c r="D533" s="83"/>
      <c r="E533" s="152" t="s">
        <v>398</v>
      </c>
      <c r="F533" s="83" t="s">
        <v>351</v>
      </c>
      <c r="G533" s="211"/>
      <c r="H533" s="212"/>
      <c r="I533" s="83"/>
      <c r="J533" s="83"/>
      <c r="K533" s="83" t="s">
        <v>302</v>
      </c>
      <c r="N533" s="83" t="s">
        <v>306</v>
      </c>
    </row>
    <row r="534" spans="2:14" x14ac:dyDescent="0.25">
      <c r="B534" s="83"/>
      <c r="C534" s="83"/>
      <c r="D534" s="83"/>
      <c r="E534" s="152" t="s">
        <v>399</v>
      </c>
      <c r="F534" s="83" t="s">
        <v>353</v>
      </c>
      <c r="G534" s="211"/>
      <c r="H534" s="212"/>
      <c r="I534" s="83"/>
      <c r="J534" s="83"/>
      <c r="L534" s="83"/>
      <c r="M534" s="83"/>
      <c r="N534" s="83" t="s">
        <v>299</v>
      </c>
    </row>
    <row r="535" spans="2:14" x14ac:dyDescent="0.25">
      <c r="B535" s="83"/>
      <c r="C535" s="83"/>
      <c r="D535" s="83"/>
      <c r="E535" s="152" t="s">
        <v>400</v>
      </c>
      <c r="F535" s="83" t="s">
        <v>351</v>
      </c>
      <c r="G535" s="211"/>
      <c r="H535" s="212"/>
      <c r="I535" s="83"/>
      <c r="J535" s="83"/>
      <c r="L535" s="83"/>
      <c r="M535" s="83"/>
      <c r="N535" s="83" t="s">
        <v>307</v>
      </c>
    </row>
    <row r="536" spans="2:14" x14ac:dyDescent="0.25">
      <c r="B536" s="83"/>
      <c r="C536" s="83"/>
      <c r="D536" s="83"/>
      <c r="E536" s="152" t="s">
        <v>401</v>
      </c>
      <c r="F536" s="85" t="s">
        <v>351</v>
      </c>
      <c r="G536" s="211"/>
      <c r="H536" s="212"/>
      <c r="I536" s="83"/>
      <c r="J536" s="83"/>
      <c r="L536" s="83"/>
      <c r="M536" s="83"/>
      <c r="N536" s="83" t="s">
        <v>305</v>
      </c>
    </row>
    <row r="537" spans="2:14" x14ac:dyDescent="0.25">
      <c r="B537" s="83"/>
      <c r="C537" s="83"/>
      <c r="D537" s="83"/>
      <c r="E537" s="152" t="s">
        <v>402</v>
      </c>
      <c r="F537" s="85" t="s">
        <v>351</v>
      </c>
      <c r="G537" s="211"/>
      <c r="H537" s="212"/>
      <c r="I537" s="83"/>
      <c r="J537" s="83"/>
      <c r="L537" s="83"/>
      <c r="M537" s="83"/>
      <c r="N537" s="83" t="s">
        <v>310</v>
      </c>
    </row>
    <row r="538" spans="2:14" x14ac:dyDescent="0.25">
      <c r="C538" s="83"/>
      <c r="D538" s="83"/>
      <c r="E538" s="152" t="s">
        <v>403</v>
      </c>
      <c r="F538" s="85" t="s">
        <v>351</v>
      </c>
      <c r="G538" s="211"/>
      <c r="H538" s="212"/>
      <c r="L538" s="83"/>
      <c r="M538" s="83"/>
      <c r="N538" s="83" t="s">
        <v>297</v>
      </c>
    </row>
    <row r="539" spans="2:14" x14ac:dyDescent="0.25">
      <c r="C539" s="83"/>
      <c r="D539" s="83"/>
      <c r="E539" s="152" t="s">
        <v>404</v>
      </c>
      <c r="F539" s="85" t="s">
        <v>351</v>
      </c>
      <c r="G539" s="211"/>
      <c r="H539" s="212"/>
      <c r="L539" s="83"/>
      <c r="M539" s="83"/>
      <c r="N539" s="83" t="s">
        <v>301</v>
      </c>
    </row>
    <row r="540" spans="2:14" x14ac:dyDescent="0.25">
      <c r="C540" s="83"/>
      <c r="D540" s="83"/>
      <c r="E540" s="152" t="s">
        <v>405</v>
      </c>
      <c r="F540" s="85" t="s">
        <v>351</v>
      </c>
      <c r="G540" s="211"/>
      <c r="H540" s="212"/>
      <c r="N540" s="83" t="s">
        <v>309</v>
      </c>
    </row>
    <row r="541" spans="2:14" x14ac:dyDescent="0.25">
      <c r="C541" s="83"/>
      <c r="D541" s="83"/>
      <c r="E541" s="219" t="s">
        <v>406</v>
      </c>
      <c r="F541" s="83" t="s">
        <v>353</v>
      </c>
      <c r="G541" s="211"/>
      <c r="H541" s="212"/>
      <c r="N541" s="83" t="s">
        <v>334</v>
      </c>
    </row>
    <row r="542" spans="2:14" x14ac:dyDescent="0.25">
      <c r="E542" s="154" t="s">
        <v>407</v>
      </c>
      <c r="F542" s="83" t="s">
        <v>353</v>
      </c>
      <c r="G542" s="207"/>
      <c r="H542" s="212"/>
      <c r="N542" s="83" t="s">
        <v>296</v>
      </c>
    </row>
    <row r="543" spans="2:14" x14ac:dyDescent="0.25">
      <c r="E543" s="154" t="s">
        <v>408</v>
      </c>
      <c r="F543" s="83" t="s">
        <v>353</v>
      </c>
      <c r="G543" s="207"/>
      <c r="H543" s="212"/>
      <c r="N543" s="1" t="s">
        <v>315</v>
      </c>
    </row>
    <row r="544" spans="2:14" x14ac:dyDescent="0.25">
      <c r="E544" s="152" t="s">
        <v>409</v>
      </c>
      <c r="F544" s="83" t="s">
        <v>351</v>
      </c>
      <c r="G544" s="207"/>
      <c r="H544" s="212"/>
      <c r="N544" s="1" t="s">
        <v>316</v>
      </c>
    </row>
    <row r="545" spans="4:14" x14ac:dyDescent="0.25">
      <c r="E545" s="152" t="s">
        <v>410</v>
      </c>
      <c r="F545" s="83" t="s">
        <v>353</v>
      </c>
      <c r="G545" s="207"/>
      <c r="H545" s="212"/>
      <c r="N545" s="1" t="s">
        <v>317</v>
      </c>
    </row>
    <row r="546" spans="4:14" x14ac:dyDescent="0.25">
      <c r="E546" s="152" t="s">
        <v>411</v>
      </c>
      <c r="F546" s="83" t="s">
        <v>353</v>
      </c>
      <c r="G546" s="207"/>
      <c r="H546" s="212"/>
    </row>
    <row r="547" spans="4:14" x14ac:dyDescent="0.25">
      <c r="E547" s="152" t="s">
        <v>412</v>
      </c>
      <c r="F547" s="83" t="s">
        <v>353</v>
      </c>
      <c r="G547" s="207"/>
      <c r="H547" s="212"/>
      <c r="K547" s="207"/>
    </row>
    <row r="548" spans="4:14" x14ac:dyDescent="0.25">
      <c r="E548" s="152"/>
      <c r="F548" s="83"/>
      <c r="H548" s="165"/>
    </row>
    <row r="549" spans="4:14" x14ac:dyDescent="0.25">
      <c r="E549" s="83"/>
      <c r="F549" s="83"/>
      <c r="H549" s="166"/>
      <c r="K549" s="83" t="s">
        <v>308</v>
      </c>
    </row>
    <row r="550" spans="4:14" x14ac:dyDescent="0.25">
      <c r="D550" s="242" t="s">
        <v>435</v>
      </c>
      <c r="E550" s="232" t="s">
        <v>426</v>
      </c>
      <c r="F550" s="83"/>
      <c r="H550" s="238">
        <v>0.2</v>
      </c>
      <c r="K550" s="85" t="s">
        <v>319</v>
      </c>
    </row>
    <row r="551" spans="4:14" x14ac:dyDescent="0.25">
      <c r="D551" s="242" t="s">
        <v>438</v>
      </c>
      <c r="E551" s="154" t="s">
        <v>428</v>
      </c>
      <c r="F551" s="83"/>
      <c r="H551" s="234">
        <f>600000+400000*0</f>
        <v>600000</v>
      </c>
      <c r="K551" s="83" t="s">
        <v>298</v>
      </c>
    </row>
    <row r="552" spans="4:14" x14ac:dyDescent="0.25">
      <c r="E552" s="154" t="s">
        <v>427</v>
      </c>
      <c r="F552" s="83"/>
      <c r="H552" s="234" t="s">
        <v>440</v>
      </c>
      <c r="K552" s="85" t="s">
        <v>318</v>
      </c>
    </row>
    <row r="553" spans="4:14" x14ac:dyDescent="0.25">
      <c r="D553" s="242" t="s">
        <v>436</v>
      </c>
      <c r="E553" s="154" t="s">
        <v>432</v>
      </c>
      <c r="H553" s="234">
        <v>4000000</v>
      </c>
      <c r="K553" s="83" t="s">
        <v>300</v>
      </c>
    </row>
    <row r="554" spans="4:14" x14ac:dyDescent="0.25">
      <c r="D554" s="242" t="s">
        <v>437</v>
      </c>
      <c r="E554" s="152" t="s">
        <v>429</v>
      </c>
      <c r="F554" s="83"/>
      <c r="H554" s="233">
        <v>0.35</v>
      </c>
    </row>
    <row r="555" spans="4:14" x14ac:dyDescent="0.25">
      <c r="D555" s="242" t="s">
        <v>439</v>
      </c>
      <c r="E555" s="154" t="s">
        <v>433</v>
      </c>
      <c r="F555" s="83"/>
      <c r="H555" s="234">
        <v>4000000</v>
      </c>
      <c r="K555" s="197" t="s">
        <v>116</v>
      </c>
    </row>
    <row r="556" spans="4:14" x14ac:dyDescent="0.25">
      <c r="E556" s="154"/>
      <c r="F556" s="83"/>
      <c r="K556" s="197" t="s">
        <v>118</v>
      </c>
    </row>
    <row r="557" spans="4:14" x14ac:dyDescent="0.25">
      <c r="E557" s="154"/>
      <c r="F557" s="83"/>
    </row>
    <row r="558" spans="4:14" x14ac:dyDescent="0.25">
      <c r="E558" s="152"/>
      <c r="F558" s="83"/>
    </row>
    <row r="559" spans="4:14" x14ac:dyDescent="0.25">
      <c r="E559" s="152"/>
      <c r="F559" s="83"/>
    </row>
    <row r="560" spans="4:14" x14ac:dyDescent="0.25">
      <c r="E560" s="152"/>
      <c r="F560" s="83"/>
    </row>
    <row r="561" spans="5:6" x14ac:dyDescent="0.25">
      <c r="E561" s="152"/>
      <c r="F561" s="83"/>
    </row>
  </sheetData>
  <sheetProtection algorithmName="SHA-512" hashValue="v0MlvuNlBwkTu4xJj2q7FQJrK4YUmqxpRQmWBjdD0kNX36lcqKCRF/SGP/2AX5pKAWnf4e4Wigkr17GOsjNZzg==" saltValue="my6g1oVgLgnIuW0SvSaLFg==" spinCount="100000" sheet="1" selectLockedCells="1"/>
  <sortState xmlns:xlrd2="http://schemas.microsoft.com/office/spreadsheetml/2017/richdata2" ref="E481:F487">
    <sortCondition ref="E481:E487"/>
  </sortState>
  <mergeCells count="135">
    <mergeCell ref="K34:N34"/>
    <mergeCell ref="K520:N520"/>
    <mergeCell ref="Q185:Z186"/>
    <mergeCell ref="Q108:Z109"/>
    <mergeCell ref="Q110:Z111"/>
    <mergeCell ref="Q150:Z151"/>
    <mergeCell ref="Q156:Z157"/>
    <mergeCell ref="Q93:Z94"/>
    <mergeCell ref="Q97:Z98"/>
    <mergeCell ref="Q112:Z113"/>
    <mergeCell ref="Q191:AC192"/>
    <mergeCell ref="Q114:Z115"/>
    <mergeCell ref="Q126:Z127"/>
    <mergeCell ref="Q118:Z119"/>
    <mergeCell ref="Q116:AC117"/>
    <mergeCell ref="Q120:Z121"/>
    <mergeCell ref="Q173:Z174"/>
    <mergeCell ref="Q34:Z36"/>
    <mergeCell ref="Q41:Z42"/>
    <mergeCell ref="Q55:Z56"/>
    <mergeCell ref="Q73:Z74"/>
    <mergeCell ref="Q53:Z54"/>
    <mergeCell ref="K273:N273"/>
    <mergeCell ref="R268:T268"/>
    <mergeCell ref="R267:T267"/>
    <mergeCell ref="R277:T277"/>
    <mergeCell ref="R319:T319"/>
    <mergeCell ref="R320:T320"/>
    <mergeCell ref="Q312:Z315"/>
    <mergeCell ref="Q77:Z78"/>
    <mergeCell ref="Q168:Z169"/>
    <mergeCell ref="Q87:Z88"/>
    <mergeCell ref="Q89:Z90"/>
    <mergeCell ref="Q102:Z103"/>
    <mergeCell ref="Q104:Z105"/>
    <mergeCell ref="Q122:Z123"/>
    <mergeCell ref="Q163:Z164"/>
    <mergeCell ref="Q148:Z149"/>
    <mergeCell ref="Q260:Z263"/>
    <mergeCell ref="Q170:Z172"/>
    <mergeCell ref="Q189:Z190"/>
    <mergeCell ref="K518:N518"/>
    <mergeCell ref="K422:M423"/>
    <mergeCell ref="K421:M421"/>
    <mergeCell ref="K420:M420"/>
    <mergeCell ref="D455:F455"/>
    <mergeCell ref="M452:P454"/>
    <mergeCell ref="M448:P450"/>
    <mergeCell ref="K388:M388"/>
    <mergeCell ref="K408:M408"/>
    <mergeCell ref="K419:M419"/>
    <mergeCell ref="K397:M397"/>
    <mergeCell ref="N393:N396"/>
    <mergeCell ref="K389:M389"/>
    <mergeCell ref="K399:M399"/>
    <mergeCell ref="K405:M405"/>
    <mergeCell ref="K394:M394"/>
    <mergeCell ref="K409:M409"/>
    <mergeCell ref="K413:M413"/>
    <mergeCell ref="K392:M392"/>
    <mergeCell ref="K416:M416"/>
    <mergeCell ref="K395:M395"/>
    <mergeCell ref="K510:M510"/>
    <mergeCell ref="K511:M511"/>
    <mergeCell ref="K418:M418"/>
    <mergeCell ref="K32:N32"/>
    <mergeCell ref="F209:O211"/>
    <mergeCell ref="F213:O215"/>
    <mergeCell ref="F220:O224"/>
    <mergeCell ref="F226:O230"/>
    <mergeCell ref="E347:F347"/>
    <mergeCell ref="E301:F301"/>
    <mergeCell ref="K335:N335"/>
    <mergeCell ref="K337:N337"/>
    <mergeCell ref="K339:N339"/>
    <mergeCell ref="K341:N341"/>
    <mergeCell ref="K317:N317"/>
    <mergeCell ref="E299:F299"/>
    <mergeCell ref="K275:N275"/>
    <mergeCell ref="K285:N285"/>
    <mergeCell ref="K287:N287"/>
    <mergeCell ref="K289:N289"/>
    <mergeCell ref="K323:N323"/>
    <mergeCell ref="K325:N325"/>
    <mergeCell ref="K327:N327"/>
    <mergeCell ref="F235:O237"/>
    <mergeCell ref="F242:O244"/>
    <mergeCell ref="E345:F345"/>
    <mergeCell ref="K277:N277"/>
    <mergeCell ref="I251:K251"/>
    <mergeCell ref="K381:M381"/>
    <mergeCell ref="K387:M387"/>
    <mergeCell ref="K370:M370"/>
    <mergeCell ref="K375:M375"/>
    <mergeCell ref="K371:M371"/>
    <mergeCell ref="K376:M376"/>
    <mergeCell ref="K279:N279"/>
    <mergeCell ref="K281:N281"/>
    <mergeCell ref="K283:N283"/>
    <mergeCell ref="I252:K252"/>
    <mergeCell ref="K271:N271"/>
    <mergeCell ref="K265:N265"/>
    <mergeCell ref="K377:M377"/>
    <mergeCell ref="K373:N373"/>
    <mergeCell ref="N384:N386"/>
    <mergeCell ref="K386:M386"/>
    <mergeCell ref="K380:M380"/>
    <mergeCell ref="K384:M384"/>
    <mergeCell ref="K385:M385"/>
    <mergeCell ref="K383:M383"/>
    <mergeCell ref="K378:M378"/>
    <mergeCell ref="Q375:V376"/>
    <mergeCell ref="R272:AB274"/>
    <mergeCell ref="R324:AB326"/>
    <mergeCell ref="R329:T329"/>
    <mergeCell ref="B471:N471"/>
    <mergeCell ref="N390:N391"/>
    <mergeCell ref="K396:M396"/>
    <mergeCell ref="K398:M398"/>
    <mergeCell ref="K412:M412"/>
    <mergeCell ref="K329:N329"/>
    <mergeCell ref="K331:N331"/>
    <mergeCell ref="K333:N333"/>
    <mergeCell ref="K400:M400"/>
    <mergeCell ref="K401:M401"/>
    <mergeCell ref="E402:M402"/>
    <mergeCell ref="K415:M415"/>
    <mergeCell ref="K404:M404"/>
    <mergeCell ref="K390:M390"/>
    <mergeCell ref="K391:M391"/>
    <mergeCell ref="K393:M393"/>
    <mergeCell ref="K414:M414"/>
    <mergeCell ref="K407:M407"/>
    <mergeCell ref="K410:M410"/>
    <mergeCell ref="N400:N402"/>
  </mergeCells>
  <conditionalFormatting sqref="Q60">
    <cfRule type="cellIs" dxfId="114" priority="339" operator="equal">
      <formula>"Yes"</formula>
    </cfRule>
    <cfRule type="cellIs" dxfId="113" priority="340" operator="equal">
      <formula>"No"</formula>
    </cfRule>
  </conditionalFormatting>
  <conditionalFormatting sqref="Q65">
    <cfRule type="cellIs" dxfId="112" priority="337" operator="equal">
      <formula>"Yes"</formula>
    </cfRule>
    <cfRule type="cellIs" dxfId="111" priority="338" operator="equal">
      <formula>"No"</formula>
    </cfRule>
  </conditionalFormatting>
  <conditionalFormatting sqref="N33">
    <cfRule type="cellIs" dxfId="110" priority="336" operator="equal">
      <formula>$F$473</formula>
    </cfRule>
  </conditionalFormatting>
  <conditionalFormatting sqref="Q131">
    <cfRule type="cellIs" dxfId="109" priority="334" operator="equal">
      <formula>"Yes"</formula>
    </cfRule>
    <cfRule type="cellIs" dxfId="108" priority="335" operator="equal">
      <formula>"No"</formula>
    </cfRule>
  </conditionalFormatting>
  <conditionalFormatting sqref="Q188">
    <cfRule type="cellIs" dxfId="107" priority="332" operator="equal">
      <formula>"Yes"</formula>
    </cfRule>
    <cfRule type="cellIs" dxfId="106" priority="333" operator="equal">
      <formula>"No"</formula>
    </cfRule>
  </conditionalFormatting>
  <conditionalFormatting sqref="Q181">
    <cfRule type="cellIs" dxfId="105" priority="330" operator="equal">
      <formula>"Yes"</formula>
    </cfRule>
    <cfRule type="cellIs" dxfId="104" priority="331" operator="equal">
      <formula>"No"</formula>
    </cfRule>
  </conditionalFormatting>
  <conditionalFormatting sqref="Q183:Q184">
    <cfRule type="cellIs" dxfId="103" priority="328" operator="equal">
      <formula>"Yes"</formula>
    </cfRule>
    <cfRule type="cellIs" dxfId="102" priority="329" operator="equal">
      <formula>"No"</formula>
    </cfRule>
  </conditionalFormatting>
  <conditionalFormatting sqref="J309">
    <cfRule type="expression" dxfId="101" priority="325">
      <formula>H309&lt;0</formula>
    </cfRule>
  </conditionalFormatting>
  <conditionalFormatting sqref="J355">
    <cfRule type="expression" dxfId="100" priority="324">
      <formula>H355&lt;0</formula>
    </cfRule>
  </conditionalFormatting>
  <conditionalFormatting sqref="D354:F355 J355:P355">
    <cfRule type="expression" dxfId="99" priority="321">
      <formula>$H$355&lt;0</formula>
    </cfRule>
  </conditionalFormatting>
  <conditionalFormatting sqref="D308:F309 J309:P309">
    <cfRule type="expression" dxfId="98" priority="320">
      <formula>$H$309&lt;0</formula>
    </cfRule>
  </conditionalFormatting>
  <conditionalFormatting sqref="F235:O237">
    <cfRule type="expression" dxfId="97" priority="312">
      <formula>AND(F235="",N163&lt;&gt;"")</formula>
    </cfRule>
  </conditionalFormatting>
  <conditionalFormatting sqref="F226:O230">
    <cfRule type="expression" dxfId="96" priority="311">
      <formula>AND(F226="",N126&lt;&gt;"")</formula>
    </cfRule>
  </conditionalFormatting>
  <conditionalFormatting sqref="F220:O224">
    <cfRule type="expression" dxfId="95" priority="310">
      <formula>AND(F220="",N102&lt;&gt;"")</formula>
    </cfRule>
  </conditionalFormatting>
  <conditionalFormatting sqref="F213:O215">
    <cfRule type="expression" dxfId="94" priority="309">
      <formula>AND(F213="",N55&lt;&gt;"")</formula>
    </cfRule>
  </conditionalFormatting>
  <conditionalFormatting sqref="F209:O211">
    <cfRule type="expression" dxfId="93" priority="308">
      <formula>AND(F209="",N45&lt;&gt;"")</formula>
    </cfRule>
  </conditionalFormatting>
  <conditionalFormatting sqref="Q187">
    <cfRule type="cellIs" dxfId="92" priority="307" operator="equal">
      <formula>$E$473</formula>
    </cfRule>
  </conditionalFormatting>
  <conditionalFormatting sqref="F242:O244">
    <cfRule type="expression" dxfId="91" priority="300">
      <formula>AND(F242="",$N$171&lt;&gt;"")</formula>
    </cfRule>
  </conditionalFormatting>
  <conditionalFormatting sqref="N187 N182 N180">
    <cfRule type="expression" dxfId="90" priority="356">
      <formula>Q181="No"</formula>
    </cfRule>
  </conditionalFormatting>
  <conditionalFormatting sqref="N131">
    <cfRule type="expression" dxfId="89" priority="299">
      <formula>Q131="No"</formula>
    </cfRule>
  </conditionalFormatting>
  <conditionalFormatting sqref="N60">
    <cfRule type="expression" dxfId="88" priority="298">
      <formula>Q60="No"</formula>
    </cfRule>
  </conditionalFormatting>
  <conditionalFormatting sqref="N65">
    <cfRule type="expression" dxfId="87" priority="297">
      <formula>Q65="No"</formula>
    </cfRule>
  </conditionalFormatting>
  <conditionalFormatting sqref="C187:F187 D182:F182 D180:F180">
    <cfRule type="expression" dxfId="86" priority="296">
      <formula>$Q181="No"</formula>
    </cfRule>
  </conditionalFormatting>
  <conditionalFormatting sqref="C131:F131 C60:F60 C65:F65">
    <cfRule type="expression" dxfId="85" priority="295">
      <formula>$Q60="No"</formula>
    </cfRule>
  </conditionalFormatting>
  <conditionalFormatting sqref="P180">
    <cfRule type="cellIs" dxfId="84" priority="294" operator="equal">
      <formula>"**"</formula>
    </cfRule>
  </conditionalFormatting>
  <conditionalFormatting sqref="P182">
    <cfRule type="cellIs" dxfId="83" priority="293" operator="equal">
      <formula>"**"</formula>
    </cfRule>
  </conditionalFormatting>
  <conditionalFormatting sqref="P187">
    <cfRule type="cellIs" dxfId="82" priority="292" operator="equal">
      <formula>"**"</formula>
    </cfRule>
  </conditionalFormatting>
  <conditionalFormatting sqref="P131">
    <cfRule type="cellIs" dxfId="81" priority="291" operator="equal">
      <formula>"**"</formula>
    </cfRule>
  </conditionalFormatting>
  <conditionalFormatting sqref="P65">
    <cfRule type="cellIs" dxfId="80" priority="290" operator="equal">
      <formula>"**"</formula>
    </cfRule>
  </conditionalFormatting>
  <conditionalFormatting sqref="P60">
    <cfRule type="cellIs" dxfId="79" priority="289" operator="equal">
      <formula>"**"</formula>
    </cfRule>
  </conditionalFormatting>
  <conditionalFormatting sqref="P209">
    <cfRule type="cellIs" dxfId="78" priority="288" operator="equal">
      <formula>"**"</formula>
    </cfRule>
  </conditionalFormatting>
  <conditionalFormatting sqref="P213">
    <cfRule type="cellIs" dxfId="77" priority="287" operator="equal">
      <formula>"**"</formula>
    </cfRule>
  </conditionalFormatting>
  <conditionalFormatting sqref="P220">
    <cfRule type="cellIs" dxfId="76" priority="286" operator="equal">
      <formula>"**"</formula>
    </cfRule>
  </conditionalFormatting>
  <conditionalFormatting sqref="P226">
    <cfRule type="cellIs" dxfId="75" priority="285" operator="equal">
      <formula>"**"</formula>
    </cfRule>
  </conditionalFormatting>
  <conditionalFormatting sqref="P235">
    <cfRule type="cellIs" dxfId="74" priority="284" operator="equal">
      <formula>"**"</formula>
    </cfRule>
  </conditionalFormatting>
  <conditionalFormatting sqref="P242">
    <cfRule type="cellIs" dxfId="73" priority="283" operator="equal">
      <formula>"**"</formula>
    </cfRule>
  </conditionalFormatting>
  <conditionalFormatting sqref="P32:P33">
    <cfRule type="cellIs" dxfId="72" priority="282" operator="equal">
      <formula>"**"</formula>
    </cfRule>
  </conditionalFormatting>
  <conditionalFormatting sqref="P308">
    <cfRule type="cellIs" dxfId="71" priority="281" operator="equal">
      <formula>"**"</formula>
    </cfRule>
  </conditionalFormatting>
  <conditionalFormatting sqref="P423">
    <cfRule type="cellIs" dxfId="70" priority="279" operator="equal">
      <formula>"**"</formula>
    </cfRule>
  </conditionalFormatting>
  <conditionalFormatting sqref="K422:M423">
    <cfRule type="cellIs" dxfId="69" priority="278" operator="equal">
      <formula>"No"</formula>
    </cfRule>
  </conditionalFormatting>
  <conditionalFormatting sqref="Q180">
    <cfRule type="cellIs" dxfId="68" priority="273" operator="equal">
      <formula>"(select below)"</formula>
    </cfRule>
    <cfRule type="cellIs" dxfId="67" priority="276" operator="equal">
      <formula>$E$473</formula>
    </cfRule>
  </conditionalFormatting>
  <conditionalFormatting sqref="Q182">
    <cfRule type="cellIs" dxfId="66" priority="275" operator="equal">
      <formula>$E$473</formula>
    </cfRule>
  </conditionalFormatting>
  <conditionalFormatting sqref="N189">
    <cfRule type="expression" dxfId="65" priority="274">
      <formula>Q190="No"</formula>
    </cfRule>
  </conditionalFormatting>
  <conditionalFormatting sqref="D184:D185">
    <cfRule type="expression" dxfId="64" priority="271">
      <formula>$Q186="No"</formula>
    </cfRule>
  </conditionalFormatting>
  <conditionalFormatting sqref="H185 N185">
    <cfRule type="expression" dxfId="63" priority="269">
      <formula>$Q$182=21%</formula>
    </cfRule>
  </conditionalFormatting>
  <conditionalFormatting sqref="P354">
    <cfRule type="cellIs" dxfId="62" priority="268" operator="equal">
      <formula>"**"</formula>
    </cfRule>
  </conditionalFormatting>
  <conditionalFormatting sqref="C65:F65">
    <cfRule type="expression" dxfId="61" priority="264">
      <formula>AND(N($N65)&gt;0,$Q65="TBD")</formula>
    </cfRule>
  </conditionalFormatting>
  <conditionalFormatting sqref="I32:I34">
    <cfRule type="expression" dxfId="60" priority="227">
      <formula>$P32="**"</formula>
    </cfRule>
  </conditionalFormatting>
  <conditionalFormatting sqref="Q309">
    <cfRule type="expression" dxfId="59" priority="214">
      <formula>H309&lt;0</formula>
    </cfRule>
    <cfRule type="expression" dxfId="58" priority="215">
      <formula>H309&gt;=0</formula>
    </cfRule>
  </conditionalFormatting>
  <conditionalFormatting sqref="Q355">
    <cfRule type="expression" dxfId="57" priority="212">
      <formula>H355&lt;0</formula>
    </cfRule>
    <cfRule type="expression" dxfId="56" priority="213">
      <formula>H355&gt;=0</formula>
    </cfRule>
  </conditionalFormatting>
  <conditionalFormatting sqref="K481:N494">
    <cfRule type="expression" dxfId="55" priority="211">
      <formula>$K$479=$K481</formula>
    </cfRule>
  </conditionalFormatting>
  <conditionalFormatting sqref="C372">
    <cfRule type="expression" dxfId="54" priority="188">
      <formula>$P372="**"</formula>
    </cfRule>
  </conditionalFormatting>
  <conditionalFormatting sqref="K455">
    <cfRule type="cellIs" dxfId="53" priority="185" operator="equal">
      <formula>"(less than 60% maximum)"</formula>
    </cfRule>
    <cfRule type="cellIs" dxfId="52" priority="186" operator="equal">
      <formula>"(greater than 60% maximum)"</formula>
    </cfRule>
    <cfRule type="cellIs" dxfId="51" priority="187" operator="equal">
      <formula>"(equal to 60% maximum)"</formula>
    </cfRule>
  </conditionalFormatting>
  <conditionalFormatting sqref="M452:P454">
    <cfRule type="cellIs" dxfId="50" priority="183" operator="equal">
      <formula>"(Total Units here does NOT match the Total Units entered on row 33 above)"</formula>
    </cfRule>
    <cfRule type="cellIs" dxfId="49" priority="184" operator="equal">
      <formula>"(Total Units here matches the Total Units entered on row 33 above)"</formula>
    </cfRule>
  </conditionalFormatting>
  <conditionalFormatting sqref="L33:M33">
    <cfRule type="cellIs" dxfId="48" priority="173" operator="equal">
      <formula>$F$473</formula>
    </cfRule>
  </conditionalFormatting>
  <conditionalFormatting sqref="K519">
    <cfRule type="expression" dxfId="47" priority="166">
      <formula>OR(K519=0,K519="(enter a value)")</formula>
    </cfRule>
  </conditionalFormatting>
  <conditionalFormatting sqref="K518:N518">
    <cfRule type="cellIs" dxfId="46" priority="165" operator="equal">
      <formula>$F$473</formula>
    </cfRule>
  </conditionalFormatting>
  <conditionalFormatting sqref="K518:N518">
    <cfRule type="cellIs" dxfId="45" priority="164" operator="equal">
      <formula>""</formula>
    </cfRule>
  </conditionalFormatting>
  <conditionalFormatting sqref="F442:K442">
    <cfRule type="expression" dxfId="44" priority="163">
      <formula>AND($K442+$K441&lt;$H$550,$H453&gt;0)</formula>
    </cfRule>
  </conditionalFormatting>
  <conditionalFormatting sqref="K271:N271">
    <cfRule type="expression" dxfId="43" priority="133">
      <formula>AND(K271=$K$524,N(H271)&gt;0)</formula>
    </cfRule>
  </conditionalFormatting>
  <conditionalFormatting sqref="K32:N32">
    <cfRule type="cellIs" dxfId="42" priority="100" operator="equal">
      <formula>$F$473</formula>
    </cfRule>
  </conditionalFormatting>
  <conditionalFormatting sqref="K32:N32">
    <cfRule type="cellIs" dxfId="41" priority="99" operator="equal">
      <formula>""</formula>
    </cfRule>
  </conditionalFormatting>
  <conditionalFormatting sqref="K273:N273">
    <cfRule type="expression" dxfId="40" priority="65">
      <formula>AND(K273=$K$524,N(H273)&gt;0)</formula>
    </cfRule>
  </conditionalFormatting>
  <conditionalFormatting sqref="K275:N275">
    <cfRule type="expression" dxfId="39" priority="64">
      <formula>AND(K275=$K$524,N(H275)&gt;0)</formula>
    </cfRule>
  </conditionalFormatting>
  <conditionalFormatting sqref="K277:N277">
    <cfRule type="expression" dxfId="38" priority="63">
      <formula>AND(K277=$K$524,N(H277)&gt;0)</formula>
    </cfRule>
  </conditionalFormatting>
  <conditionalFormatting sqref="K279:N279">
    <cfRule type="expression" dxfId="37" priority="62">
      <formula>AND(K279=$K$524,N(H279)&gt;0)</formula>
    </cfRule>
  </conditionalFormatting>
  <conditionalFormatting sqref="K281:N281">
    <cfRule type="expression" dxfId="36" priority="61">
      <formula>AND(K281=$K$524,N(H281)&gt;0)</formula>
    </cfRule>
  </conditionalFormatting>
  <conditionalFormatting sqref="K283:N283">
    <cfRule type="expression" dxfId="35" priority="60">
      <formula>AND(K283=$K$524,N(H283)&gt;0)</formula>
    </cfRule>
  </conditionalFormatting>
  <conditionalFormatting sqref="K285:N285">
    <cfRule type="expression" dxfId="34" priority="59">
      <formula>AND(K285=$K$524,N(H285)&gt;0)</formula>
    </cfRule>
  </conditionalFormatting>
  <conditionalFormatting sqref="K287:N287">
    <cfRule type="expression" dxfId="33" priority="57">
      <formula>AND(K287=$K$524,N(H287)&gt;0)</formula>
    </cfRule>
  </conditionalFormatting>
  <conditionalFormatting sqref="K289:N289">
    <cfRule type="expression" dxfId="32" priority="56">
      <formula>AND(K289=$K$524,N(H289)&gt;0)</formula>
    </cfRule>
  </conditionalFormatting>
  <conditionalFormatting sqref="K323:N323">
    <cfRule type="expression" dxfId="31" priority="55">
      <formula>AND(K323=$K$524,N(H323)&gt;0)</formula>
    </cfRule>
  </conditionalFormatting>
  <conditionalFormatting sqref="K325:N325">
    <cfRule type="expression" dxfId="30" priority="54">
      <formula>AND(K325=$K$524,N(H325)&gt;0)</formula>
    </cfRule>
  </conditionalFormatting>
  <conditionalFormatting sqref="K327:N327">
    <cfRule type="expression" dxfId="29" priority="53">
      <formula>AND(K327=$K$524,N(H327)&gt;0)</formula>
    </cfRule>
  </conditionalFormatting>
  <conditionalFormatting sqref="K329:N329">
    <cfRule type="expression" dxfId="28" priority="52">
      <formula>AND(K329=$K$524,N(H329)&gt;0)</formula>
    </cfRule>
  </conditionalFormatting>
  <conditionalFormatting sqref="K331:N331">
    <cfRule type="expression" dxfId="27" priority="51">
      <formula>AND(K331=$K$524,N(H331)&gt;0)</formula>
    </cfRule>
  </conditionalFormatting>
  <conditionalFormatting sqref="K333:N333">
    <cfRule type="expression" dxfId="26" priority="50">
      <formula>AND(K333=$K$524,N(H333)&gt;0)</formula>
    </cfRule>
  </conditionalFormatting>
  <conditionalFormatting sqref="K335:N335">
    <cfRule type="expression" dxfId="25" priority="49">
      <formula>AND(K335=$K$524,N(H335)&gt;0)</formula>
    </cfRule>
  </conditionalFormatting>
  <conditionalFormatting sqref="K337:N337">
    <cfRule type="expression" dxfId="24" priority="48">
      <formula>AND(K337=$K$524,N(H337)&gt;0)</formula>
    </cfRule>
  </conditionalFormatting>
  <conditionalFormatting sqref="K339:N339">
    <cfRule type="expression" dxfId="23" priority="47">
      <formula>AND(K339=$K$524,N(H339)&gt;0)</formula>
    </cfRule>
  </conditionalFormatting>
  <conditionalFormatting sqref="K341:N341">
    <cfRule type="expression" dxfId="22" priority="46">
      <formula>AND(K341=$K$524,N(H341)&gt;0)</formula>
    </cfRule>
  </conditionalFormatting>
  <conditionalFormatting sqref="K375:M375">
    <cfRule type="expression" dxfId="21" priority="439">
      <formula>AND(K375=K477,K32&lt;&gt;F475)</formula>
    </cfRule>
  </conditionalFormatting>
  <conditionalFormatting sqref="K378:M378">
    <cfRule type="expression" dxfId="20" priority="440">
      <formula>AND(K378=C476,K32&lt;&gt;F475)</formula>
    </cfRule>
  </conditionalFormatting>
  <conditionalFormatting sqref="I252:K252">
    <cfRule type="expression" dxfId="19" priority="441">
      <formula>OR(K$32=F$475,K$32=K$556)</formula>
    </cfRule>
  </conditionalFormatting>
  <conditionalFormatting sqref="I252:K252">
    <cfRule type="expression" dxfId="18" priority="442">
      <formula>AND(OR(K32=F475,K32=K556),OR(I252="",I252=$C$473))</formula>
    </cfRule>
  </conditionalFormatting>
  <conditionalFormatting sqref="I251:K251">
    <cfRule type="expression" dxfId="17" priority="443">
      <formula>OR(K$32=F$475,K$32=K$556)</formula>
    </cfRule>
    <cfRule type="expression" dxfId="16" priority="444">
      <formula>AND(OR(K$32=F$475,K$32=K$556),N(I251)=0)</formula>
    </cfRule>
  </conditionalFormatting>
  <conditionalFormatting sqref="P34">
    <cfRule type="cellIs" dxfId="15" priority="25" operator="equal">
      <formula>"**"</formula>
    </cfRule>
  </conditionalFormatting>
  <conditionalFormatting sqref="K34:N34">
    <cfRule type="cellIs" dxfId="14" priority="24" operator="equal">
      <formula>$N$473</formula>
    </cfRule>
  </conditionalFormatting>
  <conditionalFormatting sqref="K520:N520">
    <cfRule type="cellIs" dxfId="13" priority="23" operator="equal">
      <formula>$N$473</formula>
    </cfRule>
  </conditionalFormatting>
  <conditionalFormatting sqref="Q264:AF264">
    <cfRule type="expression" dxfId="12" priority="21">
      <formula>$Q264&lt;&gt;""</formula>
    </cfRule>
  </conditionalFormatting>
  <conditionalFormatting sqref="Q316:AF316">
    <cfRule type="expression" dxfId="11" priority="20">
      <formula>$Q316&lt;&gt;""</formula>
    </cfRule>
  </conditionalFormatting>
  <conditionalFormatting sqref="R272 R324">
    <cfRule type="expression" dxfId="10" priority="446">
      <formula>N(SUMIF($K271:$K289,$K$529,$H271:$H289))&gt;$H$551</formula>
    </cfRule>
  </conditionalFormatting>
  <conditionalFormatting sqref="U267:AD267 U319:AD319">
    <cfRule type="expression" dxfId="9" priority="448">
      <formula>$K$33="  (enter a value)"</formula>
    </cfRule>
    <cfRule type="expression" dxfId="8" priority="449">
      <formula>0*N(SUMIF($K271:$K289,$K$528,$H271:$H289))&gt;$R267*N($K$33)</formula>
    </cfRule>
  </conditionalFormatting>
  <conditionalFormatting sqref="R320:AD320 R268:AD268">
    <cfRule type="expression" dxfId="7" priority="452">
      <formula>$R268&lt;N(SUMIF($K271:$K289,$K$528,$H271:$H289))+N(SUMIF($K271:$K289,$K$529,$H271:$H289))</formula>
    </cfRule>
  </conditionalFormatting>
  <conditionalFormatting sqref="R277:T277 R329:T329">
    <cfRule type="cellIs" dxfId="6" priority="454" operator="lessThan">
      <formula>N(SUMIF($K271:$K289,$K$528,$H271:$H289))+N(SUMIF($K271:$K289,$K$529,$H271:$H289))</formula>
    </cfRule>
  </conditionalFormatting>
  <conditionalFormatting sqref="U277:AD277 U329:AD329">
    <cfRule type="expression" dxfId="5" priority="456">
      <formula>N(SUMIF($K271:$K289,$K$528,$H271:$H289))+N(SUMIF($K271:$K289,$K$529,$H271:$H289))&gt;ROUNDDOWN(N($H$267)*35%,2)</formula>
    </cfRule>
  </conditionalFormatting>
  <conditionalFormatting sqref="R269:AD269 R321:AD321">
    <cfRule type="expression" dxfId="4" priority="458">
      <formula>N(SUMIF($K271:$K289,$K$528,$H271:$H289))&gt;MIN($R267*N($K$33),N(R268)-N(SUMIF($K271:$K289,$K$529,$H271:$H289)))</formula>
    </cfRule>
  </conditionalFormatting>
  <conditionalFormatting sqref="R267:T267 R319:T319">
    <cfRule type="expression" dxfId="3" priority="460">
      <formula>0*N(SUMIF($K271:$K289,$K$528,$H271:$H289))&gt;$R267*N($K$33)</formula>
    </cfRule>
  </conditionalFormatting>
  <conditionalFormatting sqref="K395:N396 N393:N394">
    <cfRule type="expression" dxfId="2" priority="7">
      <formula>COUNTIF($K$393:$K$396,"=Yes")&gt;1</formula>
    </cfRule>
  </conditionalFormatting>
  <conditionalFormatting sqref="K390:N391">
    <cfRule type="expression" dxfId="1" priority="6">
      <formula>COUNTIF($K$390:$K$391,"=Yes")&gt;1</formula>
    </cfRule>
  </conditionalFormatting>
  <conditionalFormatting sqref="K33">
    <cfRule type="expression" dxfId="0" priority="2">
      <formula>OR(K33=0,K33="(enter a value)")</formula>
    </cfRule>
  </conditionalFormatting>
  <dataValidations count="12">
    <dataValidation type="list" allowBlank="1" showInputMessage="1" showErrorMessage="1" sqref="I252:K252 K395:K396 K510:K511 K398 K390:K391 K388 K384:K386" xr:uid="{00000000-0002-0000-0000-000000000000}">
      <formula1>$C$473:$C$475</formula1>
    </dataValidation>
    <dataValidation type="whole" operator="lessThanOrEqual" allowBlank="1" showInputMessage="1" showErrorMessage="1" sqref="I251:K251" xr:uid="{00000000-0002-0000-0000-000001000000}">
      <formula1>100</formula1>
    </dataValidation>
    <dataValidation type="list" allowBlank="1" showInputMessage="1" showErrorMessage="1" sqref="K378:M378" xr:uid="{00000000-0002-0000-0000-000002000000}">
      <formula1>$C$473:$C$476</formula1>
    </dataValidation>
    <dataValidation type="list" allowBlank="1" showInputMessage="1" showErrorMessage="1" sqref="K375:M375" xr:uid="{00000000-0002-0000-0000-000003000000}">
      <formula1>$K$473:$K$477</formula1>
    </dataValidation>
    <dataValidation type="whole" allowBlank="1" showInputMessage="1" showErrorMessage="1" prompt="Please enter a whole number of at least 20." sqref="K519" xr:uid="{00000000-0002-0000-0000-000004000000}">
      <formula1>20</formula1>
      <formula2>999</formula2>
    </dataValidation>
    <dataValidation type="list" allowBlank="1" showInputMessage="1" showErrorMessage="1" sqref="K271:N271 K287:N287 K273:N273 K275:N275 K277:N277 K279:N279 K281:N281 K283:N283 K285:N285 K289:N289 K323:N323 K339:N339 K325:N325 K327:N327 K329:N329 K331:N331 K333:N333 K335:N335 K337:N337 K341:N341" xr:uid="{00000000-0002-0000-0000-000005000000}">
      <formula1>SourceType</formula1>
    </dataValidation>
    <dataValidation type="list" allowBlank="1" showInputMessage="1" showErrorMessage="1" sqref="Q182" xr:uid="{00000000-0002-0000-0000-000006000000}">
      <formula1>$E$473:$E$476</formula1>
    </dataValidation>
    <dataValidation type="whole" allowBlank="1" showInputMessage="1" showErrorMessage="1" prompt="Please enter a whole number of at least 30." sqref="K33" xr:uid="{00000000-0002-0000-0000-000007000000}">
      <formula1>30</formula1>
      <formula2>999</formula2>
    </dataValidation>
    <dataValidation type="list" allowBlank="1" showInputMessage="1" showErrorMessage="1" sqref="K370:M370" xr:uid="{00000000-0002-0000-0000-000008000000}">
      <formula1>$E$480:$E$547</formula1>
    </dataValidation>
    <dataValidation type="list" allowBlank="1" showInputMessage="1" showErrorMessage="1" sqref="K518:N518" xr:uid="{00000000-0002-0000-0000-000009000000}">
      <formula1>$F$473:$F$477</formula1>
    </dataValidation>
    <dataValidation type="list" allowBlank="1" showInputMessage="1" showErrorMessage="1" sqref="K32:N32" xr:uid="{00000000-0002-0000-0000-00000A000000}">
      <formula1>$F$473:$F$475</formula1>
    </dataValidation>
    <dataValidation type="list" allowBlank="1" showInputMessage="1" showErrorMessage="1" sqref="K34:N34 K520:N520" xr:uid="{00000000-0002-0000-0000-00000B000000}">
      <formula1>$N$473:$N$475</formula1>
    </dataValidation>
  </dataValidations>
  <printOptions horizontalCentered="1"/>
  <pageMargins left="0.5" right="0.5" top="0.75" bottom="0.75" header="0.25" footer="0.25"/>
  <pageSetup scale="82" orientation="portrait" r:id="rId1"/>
  <rowBreaks count="7" manualBreakCount="7">
    <brk id="67" max="15" man="1"/>
    <brk id="133" max="15" man="1"/>
    <brk id="195" max="15" man="1"/>
    <brk id="259" max="15" man="1"/>
    <brk id="311" max="16383" man="1"/>
    <brk id="357" max="15" man="1"/>
    <brk id="425" max="1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2" ma:contentTypeDescription="Create a new document." ma:contentTypeScope="" ma:versionID="9054663fb39640b2ab1cc222cb2b0bba">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0b158f4102d84c18749311473bf7e6b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D1D602-BD9F-4FD5-B934-BF4F7E3B2EA2}">
  <ds:schemaRefs>
    <ds:schemaRef ds:uri="http://schemas.microsoft.com/sharepoint/v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purl.org/dc/dcmitype/"/>
    <ds:schemaRef ds:uri="5a5b18f4-a66d-498a-8c29-5461dd409234"/>
    <ds:schemaRef ds:uri="http://schemas.openxmlformats.org/package/2006/metadata/core-properties"/>
    <ds:schemaRef ds:uri="a226f5f0-4194-4a70-829c-4bbef480395c"/>
    <ds:schemaRef ds:uri="http://www.w3.org/XML/1998/namespace"/>
  </ds:schemaRefs>
</ds:datastoreItem>
</file>

<file path=customXml/itemProps2.xml><?xml version="1.0" encoding="utf-8"?>
<ds:datastoreItem xmlns:ds="http://schemas.openxmlformats.org/officeDocument/2006/customXml" ds:itemID="{AC58CF49-6A47-4595-8EFA-96D60B0F1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5072B5-3729-49E2-BF1D-EBF19C5514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249</vt:i4>
      </vt:variant>
    </vt:vector>
  </HeadingPairs>
  <TitlesOfParts>
    <vt:vector size="250" baseType="lpstr">
      <vt:lpstr>Sheet1</vt:lpstr>
      <vt:lpstr>Acq_elig</vt:lpstr>
      <vt:lpstr>Acq_inelig</vt:lpstr>
      <vt:lpstr>Acq_total</vt:lpstr>
      <vt:lpstr>Acquisition_eligible</vt:lpstr>
      <vt:lpstr>Acquisition_ineligible</vt:lpstr>
      <vt:lpstr>Acquisition_total</vt:lpstr>
      <vt:lpstr>Actual_Accessory_eligible</vt:lpstr>
      <vt:lpstr>Actual_Accessory_ineligible</vt:lpstr>
      <vt:lpstr>Actual_Accessory_total</vt:lpstr>
      <vt:lpstr>Actual_commonareas_eligible</vt:lpstr>
      <vt:lpstr>Actual_commonareas_ineligible</vt:lpstr>
      <vt:lpstr>Actual_commonareas_total</vt:lpstr>
      <vt:lpstr>Actual_Constructioncost_eligible</vt:lpstr>
      <vt:lpstr>Actual_Constructioncost_ineligible</vt:lpstr>
      <vt:lpstr>Actual_Constructioncost_total</vt:lpstr>
      <vt:lpstr>Actual_Demolition_eligible</vt:lpstr>
      <vt:lpstr>Actual_Demolition_ineligible</vt:lpstr>
      <vt:lpstr>Actual_Demolition_total</vt:lpstr>
      <vt:lpstr>Actual_existingrental_eligible</vt:lpstr>
      <vt:lpstr>Actual_existingrental_ineligible</vt:lpstr>
      <vt:lpstr>Actual_existingrental_total</vt:lpstr>
      <vt:lpstr>Actual_GCfee_eligible</vt:lpstr>
      <vt:lpstr>Actual_GCfee_ineligible</vt:lpstr>
      <vt:lpstr>Actual_GCfee_total</vt:lpstr>
      <vt:lpstr>Actual_NewUnits_eligible</vt:lpstr>
      <vt:lpstr>Actual_NewUnits_ineligible</vt:lpstr>
      <vt:lpstr>Actual_NewUnits_total</vt:lpstr>
      <vt:lpstr>Actual_Offsite_eligible</vt:lpstr>
      <vt:lpstr>Actual_Offsite_ineligible</vt:lpstr>
      <vt:lpstr>Actual_Offsite_total</vt:lpstr>
      <vt:lpstr>Actual_Other_eligible</vt:lpstr>
      <vt:lpstr>Actual_Other_ineligible</vt:lpstr>
      <vt:lpstr>Actual_Other_total</vt:lpstr>
      <vt:lpstr>Actual_recreational_eligible</vt:lpstr>
      <vt:lpstr>Actual_recreational_ineligible</vt:lpstr>
      <vt:lpstr>Actual_recreational_total</vt:lpstr>
      <vt:lpstr>Actual_sitework_eligible</vt:lpstr>
      <vt:lpstr>Actual_sitework_ineligible</vt:lpstr>
      <vt:lpstr>Actual_sitework_total</vt:lpstr>
      <vt:lpstr>Actual_TotalConstructioncost_eligible</vt:lpstr>
      <vt:lpstr>Actual_TotalConstructioncost_ineligible</vt:lpstr>
      <vt:lpstr>Actual_TotalConstructioncost_total</vt:lpstr>
      <vt:lpstr>ConstrAnalysis__1st_Mtg</vt:lpstr>
      <vt:lpstr>ConstrAnalysis__1st_Type</vt:lpstr>
      <vt:lpstr>ConstrAnalysis__2nd_Mtg</vt:lpstr>
      <vt:lpstr>ConstrAnalysis__2nd_Type</vt:lpstr>
      <vt:lpstr>ConstrAnalysis__3rd_Mtg</vt:lpstr>
      <vt:lpstr>ConstrAnalysis__3rd_Type</vt:lpstr>
      <vt:lpstr>ConstrAnalysis__4th_Mtg</vt:lpstr>
      <vt:lpstr>ConstrAnalysis__4th_Type</vt:lpstr>
      <vt:lpstr>ConstrAnalysis__5th_Mtg</vt:lpstr>
      <vt:lpstr>ConstrAnalysis__5th_Type</vt:lpstr>
      <vt:lpstr>ConstrAnalysis__6th_Mtg</vt:lpstr>
      <vt:lpstr>ConstrAnalysis__6th_Type</vt:lpstr>
      <vt:lpstr>ConstrAnalysis__7th_Mtg</vt:lpstr>
      <vt:lpstr>ConstrAnalysis__7th_Type</vt:lpstr>
      <vt:lpstr>ConstrAnalysis__8th_Mtg</vt:lpstr>
      <vt:lpstr>ConstrAnalysis__8th_Type</vt:lpstr>
      <vt:lpstr>ConstrAnalysis__9th_Mtg</vt:lpstr>
      <vt:lpstr>ConstrAnalysis__9th_Type</vt:lpstr>
      <vt:lpstr>ConstrAnalysis_10th_Mtg</vt:lpstr>
      <vt:lpstr>ConstrAnalysis_10th_Type</vt:lpstr>
      <vt:lpstr>ConstrAnalysis_deferredfee</vt:lpstr>
      <vt:lpstr>ConstrAnalysis_HC</vt:lpstr>
      <vt:lpstr>ConstrAnalysis_other1</vt:lpstr>
      <vt:lpstr>ConstrAnalysis_other1_title</vt:lpstr>
      <vt:lpstr>ConstrAnalysis_other2</vt:lpstr>
      <vt:lpstr>ConstrAnalysis_other2_title</vt:lpstr>
      <vt:lpstr>ConstrAnalysis_surplus</vt:lpstr>
      <vt:lpstr>ConstrAnalysis_totalsources</vt:lpstr>
      <vt:lpstr>Contingency_Hard_eligible</vt:lpstr>
      <vt:lpstr>Contingency_Hard_ineligible</vt:lpstr>
      <vt:lpstr>Contingency_Hard_total</vt:lpstr>
      <vt:lpstr>Contingency_Soft_eligible</vt:lpstr>
      <vt:lpstr>Contingency_Soft_ineligible</vt:lpstr>
      <vt:lpstr>Contingency_Soft_total</vt:lpstr>
      <vt:lpstr>Description_acquisition_other</vt:lpstr>
      <vt:lpstr>Description_Actual_offsite</vt:lpstr>
      <vt:lpstr>Description_Actual_other</vt:lpstr>
      <vt:lpstr>Description_financial_other</vt:lpstr>
      <vt:lpstr>Description_General_impact</vt:lpstr>
      <vt:lpstr>Description_General_other</vt:lpstr>
      <vt:lpstr>Developer_fee_acq_eligible</vt:lpstr>
      <vt:lpstr>Developer_fee_acq_ineligible</vt:lpstr>
      <vt:lpstr>Developer_fee_acq_total</vt:lpstr>
      <vt:lpstr>Developer_fee_eligible</vt:lpstr>
      <vt:lpstr>Developer_fee_ineligible</vt:lpstr>
      <vt:lpstr>Developer_fee_non_acq_eligible</vt:lpstr>
      <vt:lpstr>Developer_fee_non_acq_ineligible</vt:lpstr>
      <vt:lpstr>Developer_fee_non_acq_total</vt:lpstr>
      <vt:lpstr>Developer_fee_Percentage_dropdown</vt:lpstr>
      <vt:lpstr>Developer_fee_total</vt:lpstr>
      <vt:lpstr>Development_Cost_eligible</vt:lpstr>
      <vt:lpstr>Development_Cost_ineligible</vt:lpstr>
      <vt:lpstr>Development_Cost_total</vt:lpstr>
      <vt:lpstr>ELIData</vt:lpstr>
      <vt:lpstr>Excel_RFA_Number</vt:lpstr>
      <vt:lpstr>Financial_bridge_commitment_eligible</vt:lpstr>
      <vt:lpstr>Financial_bridge_commitment_ineligible</vt:lpstr>
      <vt:lpstr>Financial_bridge_commitment_total</vt:lpstr>
      <vt:lpstr>Financial_bridge_interest_eligible</vt:lpstr>
      <vt:lpstr>Financial_bridge_interest_ineligible</vt:lpstr>
      <vt:lpstr>Financial_bridge_interest_total</vt:lpstr>
      <vt:lpstr>Financial_constr_commitment_eligible</vt:lpstr>
      <vt:lpstr>Financial_constr_commitment_ineligible</vt:lpstr>
      <vt:lpstr>Financial_constr_commitment_total</vt:lpstr>
      <vt:lpstr>Financial_constr_enhancement_eligible</vt:lpstr>
      <vt:lpstr>Financial_constr_enhancement_ineligible</vt:lpstr>
      <vt:lpstr>Financial_constr_enhancement_total</vt:lpstr>
      <vt:lpstr>Financial_constr_interest_eligible</vt:lpstr>
      <vt:lpstr>Financial_constr_interest_ineligible</vt:lpstr>
      <vt:lpstr>Financial_constr_interest_total</vt:lpstr>
      <vt:lpstr>Financial_nonperm_closing_eligible</vt:lpstr>
      <vt:lpstr>Financial_nonperm_closing_ineligible</vt:lpstr>
      <vt:lpstr>Financial_nonperm_closing_total</vt:lpstr>
      <vt:lpstr>Financial_other_eligible</vt:lpstr>
      <vt:lpstr>Financial_other_ineligible</vt:lpstr>
      <vt:lpstr>Financial_other_total</vt:lpstr>
      <vt:lpstr>Financial_perm_closing_ineligible</vt:lpstr>
      <vt:lpstr>Financial_perm_closing_total</vt:lpstr>
      <vt:lpstr>Financial_perm_commitment_ineligible</vt:lpstr>
      <vt:lpstr>Financial_perm_commitment_total</vt:lpstr>
      <vt:lpstr>Financial_perm_enhancement_ineligible</vt:lpstr>
      <vt:lpstr>Financial_perm_enhancement_total</vt:lpstr>
      <vt:lpstr>Financial_total_eligible</vt:lpstr>
      <vt:lpstr>Financial_total_ineligible</vt:lpstr>
      <vt:lpstr>Financial_totalcosts_total</vt:lpstr>
      <vt:lpstr>FundingTable</vt:lpstr>
      <vt:lpstr>General_Accounting_eligible</vt:lpstr>
      <vt:lpstr>General_Accounting_ineligible</vt:lpstr>
      <vt:lpstr>General_Accounting_total</vt:lpstr>
      <vt:lpstr>General_adminfee_ineligible</vt:lpstr>
      <vt:lpstr>General_adminfee_total</vt:lpstr>
      <vt:lpstr>General_applicationfee_ineligible</vt:lpstr>
      <vt:lpstr>General_applicationfee_total</vt:lpstr>
      <vt:lpstr>General_Appraisal_eligible</vt:lpstr>
      <vt:lpstr>General_Appraisal_ineligible</vt:lpstr>
      <vt:lpstr>General_Appraisal_total</vt:lpstr>
      <vt:lpstr>General_Architectfeedesign_eligible</vt:lpstr>
      <vt:lpstr>General_Architectfeedesign_ineligible</vt:lpstr>
      <vt:lpstr>General_Architectfeedesign_total</vt:lpstr>
      <vt:lpstr>General_Architectfeesupervision_eligible</vt:lpstr>
      <vt:lpstr>General_Architectfeesupervision_ineligible</vt:lpstr>
      <vt:lpstr>General_Architectfeesupervision_total</vt:lpstr>
      <vt:lpstr>General_builder_ins_eligible</vt:lpstr>
      <vt:lpstr>General_builder_ins_ineligible</vt:lpstr>
      <vt:lpstr>General_builder_ins_total</vt:lpstr>
      <vt:lpstr>General_capitalneeds_eligible</vt:lpstr>
      <vt:lpstr>General_capitalneeds_ineligible</vt:lpstr>
      <vt:lpstr>General_capitalneeds_total</vt:lpstr>
      <vt:lpstr>General_compliancefee_ineligible</vt:lpstr>
      <vt:lpstr>General_compliancefee_total</vt:lpstr>
      <vt:lpstr>General_cu_fee_eligible</vt:lpstr>
      <vt:lpstr>General_cu_fee_ineligible</vt:lpstr>
      <vt:lpstr>General_cu_fee_total</vt:lpstr>
      <vt:lpstr>General_engineering_eligible</vt:lpstr>
      <vt:lpstr>General_engineering_ineligible</vt:lpstr>
      <vt:lpstr>General_engineering_total</vt:lpstr>
      <vt:lpstr>General_environmental_eligible</vt:lpstr>
      <vt:lpstr>General_environmental_ineligible</vt:lpstr>
      <vt:lpstr>General_environmental_total</vt:lpstr>
      <vt:lpstr>General_HERS_eligible</vt:lpstr>
      <vt:lpstr>General_HERS_ineligible</vt:lpstr>
      <vt:lpstr>General_HERS_total</vt:lpstr>
      <vt:lpstr>General_Impact_eligible</vt:lpstr>
      <vt:lpstr>General_Impact_ineligible</vt:lpstr>
      <vt:lpstr>General_Impact_total</vt:lpstr>
      <vt:lpstr>General_inspectionfee_eligible</vt:lpstr>
      <vt:lpstr>General_inspectionfee_ineligible</vt:lpstr>
      <vt:lpstr>General_inspectionfee_total</vt:lpstr>
      <vt:lpstr>General_insurance_eligible</vt:lpstr>
      <vt:lpstr>General_insurance_ineligible</vt:lpstr>
      <vt:lpstr>General_insurance_total</vt:lpstr>
      <vt:lpstr>General_legalfee_eligible</vt:lpstr>
      <vt:lpstr>General_legalfee_ineligible</vt:lpstr>
      <vt:lpstr>General_legalfee_total</vt:lpstr>
      <vt:lpstr>General_marketing_ineligible</vt:lpstr>
      <vt:lpstr>General_marketing_total</vt:lpstr>
      <vt:lpstr>General_marketstudy_eligible</vt:lpstr>
      <vt:lpstr>General_marketstudy_ineligible</vt:lpstr>
      <vt:lpstr>General_marketstudy_total</vt:lpstr>
      <vt:lpstr>General_other_eligible</vt:lpstr>
      <vt:lpstr>General_other_ineligible</vt:lpstr>
      <vt:lpstr>General_other_total</vt:lpstr>
      <vt:lpstr>General_permit_eligible</vt:lpstr>
      <vt:lpstr>General_permit_ineligible</vt:lpstr>
      <vt:lpstr>General_permit_total</vt:lpstr>
      <vt:lpstr>General_propertytaxes_eligible</vt:lpstr>
      <vt:lpstr>General_propertytaxes_ineligible</vt:lpstr>
      <vt:lpstr>General_propertytaxes_total</vt:lpstr>
      <vt:lpstr>General_relocation_eligible</vt:lpstr>
      <vt:lpstr>General_relocation_ineligible</vt:lpstr>
      <vt:lpstr>General_relocation_total</vt:lpstr>
      <vt:lpstr>General_soiltest_eligible</vt:lpstr>
      <vt:lpstr>General_soiltest_ineligible</vt:lpstr>
      <vt:lpstr>General_soiltest_total</vt:lpstr>
      <vt:lpstr>General_survey_eligible</vt:lpstr>
      <vt:lpstr>General_survey_ineligible</vt:lpstr>
      <vt:lpstr>General_survey_total</vt:lpstr>
      <vt:lpstr>General_titleinsurance_eligible</vt:lpstr>
      <vt:lpstr>General_titleinsurance_ineligible</vt:lpstr>
      <vt:lpstr>General_titleinsurance_total</vt:lpstr>
      <vt:lpstr>General_totaldevelopmentcost_eligible</vt:lpstr>
      <vt:lpstr>General_totaldevelopmentcost_ineligible</vt:lpstr>
      <vt:lpstr>General_totaldevelopmentcost_total</vt:lpstr>
      <vt:lpstr>General_utilityconnection_eligible</vt:lpstr>
      <vt:lpstr>General_utilityconnection_ineligible</vt:lpstr>
      <vt:lpstr>General_utilityconnection_total</vt:lpstr>
      <vt:lpstr>Land_ineligible</vt:lpstr>
      <vt:lpstr>Land_total</vt:lpstr>
      <vt:lpstr>ODR_eligible</vt:lpstr>
      <vt:lpstr>ODR_ineligible</vt:lpstr>
      <vt:lpstr>ODR_total</vt:lpstr>
      <vt:lpstr>Other_eligible</vt:lpstr>
      <vt:lpstr>Other_ineligible</vt:lpstr>
      <vt:lpstr>Other_total</vt:lpstr>
      <vt:lpstr>PermAnalysis__1st_Mtg</vt:lpstr>
      <vt:lpstr>PermAnalysis__1st_Type</vt:lpstr>
      <vt:lpstr>PermAnalysis__2nd_Mtg</vt:lpstr>
      <vt:lpstr>PermAnalysis__2nd_Type</vt:lpstr>
      <vt:lpstr>PermAnalysis__3rd_Mtg</vt:lpstr>
      <vt:lpstr>PermAnalysis__3rd_Type</vt:lpstr>
      <vt:lpstr>PermAnalysis__4th_Mtg</vt:lpstr>
      <vt:lpstr>PermAnalysis__4th_Type</vt:lpstr>
      <vt:lpstr>PermAnalysis__5th_Mtg</vt:lpstr>
      <vt:lpstr>PermAnalysis__5th_Type</vt:lpstr>
      <vt:lpstr>PermAnalysis__6th_Mtg</vt:lpstr>
      <vt:lpstr>PermAnalysis__6th_Type</vt:lpstr>
      <vt:lpstr>PermAnalysis__7th_Mtg</vt:lpstr>
      <vt:lpstr>PermAnalysis__7th_Type</vt:lpstr>
      <vt:lpstr>PermAnalysis__8th_Mtg</vt:lpstr>
      <vt:lpstr>PermAnalysis__9th_Mtg</vt:lpstr>
      <vt:lpstr>PermAnalysis__9th_Type</vt:lpstr>
      <vt:lpstr>PermAnalysis_10th_Mtg</vt:lpstr>
      <vt:lpstr>PermAnalysis_10th_Type</vt:lpstr>
      <vt:lpstr>PermAnalysis_deferredfee</vt:lpstr>
      <vt:lpstr>PermAnalysis_HC</vt:lpstr>
      <vt:lpstr>PermAnalysis_other1</vt:lpstr>
      <vt:lpstr>PermAnalysis_other1_title</vt:lpstr>
      <vt:lpstr>PermAnalysis_other2</vt:lpstr>
      <vt:lpstr>PermAnalysis_other2_title</vt:lpstr>
      <vt:lpstr>PermAnalysis_surplus</vt:lpstr>
      <vt:lpstr>PermAnalysis_totalsources</vt:lpstr>
      <vt:lpstr>Sheet1!Print_Area</vt:lpstr>
      <vt:lpstr>Pro_Forma_Dev_Cat</vt:lpstr>
      <vt:lpstr>SourceType</vt:lpstr>
      <vt:lpstr>TDC_eligible</vt:lpstr>
      <vt:lpstr>TDC_ineligible</vt:lpstr>
      <vt:lpstr>TDC_total</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 Tatreau</dc:creator>
  <cp:lastModifiedBy>Jean Salmonsen</cp:lastModifiedBy>
  <cp:lastPrinted>2021-01-05T16:45:33Z</cp:lastPrinted>
  <dcterms:created xsi:type="dcterms:W3CDTF">2012-05-16T14:37:48Z</dcterms:created>
  <dcterms:modified xsi:type="dcterms:W3CDTF">2021-01-12T21:17:23Z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ies>
</file>