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floridahousing.sharepoint.com/sites/MF/allocations/Combined Cycle/2021 Rules and RFAs/2021-106 DCDD/ELI Worksheet/"/>
    </mc:Choice>
  </mc:AlternateContent>
  <xr:revisionPtr revIDLastSave="1" documentId="8_{5F1411F8-AF18-41FD-8B2C-39E3E2689793}" xr6:coauthVersionLast="45" xr6:coauthVersionMax="45" xr10:uidLastSave="{B0AE286D-135B-4795-8F21-1D5BCD612617}"/>
  <workbookProtection workbookAlgorithmName="SHA-512" workbookHashValue="PtATi6fe/CI7R9z7Y5KdLhOXkhmSh4mPKRctF9rKWO8bvjN1XEn7ttaO7ZPiX43dGPOob1gMeOAuIfGqTncNVA==" workbookSaltValue="OzjM5yuniwdLfLEFB69Q1g==" workbookSpinCount="100000" lockStructure="1"/>
  <bookViews>
    <workbookView xWindow="19090" yWindow="-110" windowWidth="19420" windowHeight="10420" xr2:uid="{00000000-000D-0000-FFFF-FFFF00000000}"/>
  </bookViews>
  <sheets>
    <sheet name="Sheet1" sheetId="1" r:id="rId1"/>
  </sheets>
  <definedNames>
    <definedName name="ELI_PU">Sheet1!$B$39:$I$106</definedName>
    <definedName name="_xlnm.Print_Area" localSheetId="0">Sheet1!$A$1:$H$34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1" l="1"/>
  <c r="H31" i="1"/>
  <c r="H21" i="1"/>
  <c r="G21" i="1"/>
  <c r="F21" i="1"/>
  <c r="J26" i="1"/>
  <c r="J25" i="1"/>
  <c r="B18" i="1" l="1"/>
  <c r="G24" i="1"/>
  <c r="H24" i="1" s="1"/>
  <c r="G28" i="1"/>
  <c r="G27" i="1"/>
  <c r="G26" i="1"/>
  <c r="G25" i="1"/>
  <c r="G23" i="1"/>
  <c r="H23" i="1" s="1"/>
  <c r="E21" i="1"/>
  <c r="J23" i="1" l="1"/>
  <c r="D120" i="1" l="1"/>
  <c r="G15" i="1"/>
  <c r="G13" i="1"/>
  <c r="D23" i="1" l="1"/>
  <c r="E23" i="1" l="1"/>
  <c r="F23" i="1" s="1"/>
  <c r="B17" i="1"/>
  <c r="A7" i="1"/>
  <c r="A10" i="1" l="1"/>
  <c r="G17" i="1" l="1"/>
  <c r="A12" i="1" l="1"/>
  <c r="I17" i="1"/>
  <c r="B127" i="1"/>
  <c r="A13" i="1" l="1"/>
  <c r="G8" i="1"/>
  <c r="A14" i="1" l="1"/>
  <c r="A15" i="1" s="1"/>
  <c r="D125" i="1"/>
  <c r="D124" i="1"/>
  <c r="D123" i="1"/>
  <c r="D122" i="1"/>
  <c r="D121" i="1"/>
  <c r="C30" i="1"/>
  <c r="D24" i="1" l="1"/>
  <c r="J24" i="1"/>
  <c r="I23" i="1"/>
  <c r="I28" i="1"/>
  <c r="I27" i="1"/>
  <c r="I26" i="1"/>
  <c r="I24" i="1"/>
  <c r="I25" i="1"/>
  <c r="J27" i="1"/>
  <c r="E24" i="1" l="1"/>
  <c r="F24" i="1" s="1"/>
  <c r="D25" i="1"/>
  <c r="I30" i="1"/>
  <c r="E25" i="1" l="1"/>
  <c r="F25" i="1" s="1"/>
  <c r="H25" i="1" s="1"/>
  <c r="D26" i="1"/>
  <c r="E26" i="1" l="1"/>
  <c r="F26" i="1" s="1"/>
  <c r="H26" i="1" s="1"/>
  <c r="D27" i="1"/>
  <c r="E27" i="1" l="1"/>
  <c r="F27" i="1" s="1"/>
  <c r="H27" i="1" s="1"/>
  <c r="D28" i="1"/>
  <c r="E28" i="1" l="1"/>
  <c r="E30" i="1" s="1"/>
  <c r="D30" i="1"/>
  <c r="L38" i="1" s="1"/>
  <c r="E31" i="1" l="1"/>
  <c r="L42" i="1"/>
  <c r="F28" i="1"/>
  <c r="H28" i="1" s="1"/>
  <c r="H30" i="1" s="1"/>
  <c r="D31" i="1"/>
  <c r="G31" i="1" l="1"/>
  <c r="F30" i="1"/>
  <c r="J38" i="1" l="1"/>
  <c r="G30" i="1"/>
  <c r="F31" i="1"/>
</calcChain>
</file>

<file path=xl/sharedStrings.xml><?xml version="1.0" encoding="utf-8"?>
<sst xmlns="http://schemas.openxmlformats.org/spreadsheetml/2006/main" count="206" uniqueCount="131">
  <si>
    <t>A</t>
  </si>
  <si>
    <t>B</t>
  </si>
  <si>
    <t>C</t>
  </si>
  <si>
    <t>D</t>
  </si>
  <si>
    <t>E</t>
  </si>
  <si>
    <t>F</t>
  </si>
  <si>
    <t>G</t>
  </si>
  <si>
    <t># of Bedrooms</t>
  </si>
  <si>
    <t># of Proposed Units</t>
  </si>
  <si>
    <t>Cumulative Proposed Units</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</si>
  <si>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</si>
  <si>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</si>
  <si>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</si>
  <si>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</si>
  <si>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</si>
  <si>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</si>
  <si>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</si>
  <si>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</si>
  <si>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</si>
  <si>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</si>
  <si>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</si>
  <si>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</si>
  <si>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</si>
  <si>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</si>
  <si>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</si>
  <si>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</si>
  <si>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</si>
  <si>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</si>
  <si>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</si>
  <si>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</si>
  <si>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</si>
  <si>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</si>
  <si>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</si>
  <si>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</si>
  <si>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</si>
  <si>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</si>
  <si>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</si>
  <si>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</si>
  <si>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</si>
  <si>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</si>
  <si>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</si>
  <si>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</si>
  <si>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</si>
  <si>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</si>
  <si>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</si>
  <si>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</si>
  <si>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</si>
  <si>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</si>
  <si>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</si>
  <si>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</si>
  <si>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</si>
  <si>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</si>
  <si>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</si>
  <si>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</si>
  <si>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</si>
  <si>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</si>
  <si>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</si>
  <si>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</si>
  <si>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</si>
  <si>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</si>
  <si>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</si>
  <si>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</si>
  <si>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</si>
  <si>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</si>
  <si>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</si>
  <si>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</si>
  <si>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</si>
  <si>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</si>
  <si>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</si>
  <si>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</si>
  <si>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</si>
  <si>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</si>
  <si>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</si>
  <si>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</si>
  <si>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</si>
  <si>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</si>
  <si>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</si>
  <si>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</si>
  <si>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</si>
  <si>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</si>
  <si>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</si>
  <si>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</si>
  <si>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Input your unit mix into this column</t>
  </si>
  <si>
    <t>&lt;Select a County&gt;</t>
  </si>
  <si>
    <t>Medium</t>
  </si>
  <si>
    <t>Small</t>
  </si>
  <si>
    <t>Large</t>
  </si>
  <si>
    <t>County Size</t>
  </si>
  <si>
    <t>Yes</t>
  </si>
  <si>
    <t>No</t>
  </si>
  <si>
    <t>&lt;Select&gt;</t>
  </si>
  <si>
    <t>&lt;Enter %&gt;</t>
  </si>
  <si>
    <t>ELI Loan cap</t>
  </si>
  <si>
    <t>Avg Inc Test</t>
  </si>
  <si>
    <t>40% @ 60%</t>
  </si>
  <si>
    <t>20% @ 50%</t>
  </si>
  <si>
    <t>RFA ELI AMI</t>
  </si>
  <si>
    <t>Garden (Not ESSC)</t>
  </si>
  <si>
    <t>Garden (ESSC)</t>
  </si>
  <si>
    <t>Mid-Rise (not ESSC)</t>
  </si>
  <si>
    <t>Mid-Rise (ESSC)</t>
  </si>
  <si>
    <t>High-Rise</t>
  </si>
  <si>
    <t>% of Proposed Units</t>
  </si>
  <si>
    <t>(This unit type is not allowed in RFA 2020-103)</t>
  </si>
  <si>
    <r>
      <t>(</t>
    </r>
    <r>
      <rPr>
        <i/>
        <sz val="10"/>
        <color theme="2" tint="-0.499984740745262"/>
        <rFont val="Calibri"/>
        <family val="2"/>
      </rPr>
      <t>§</t>
    </r>
    <r>
      <rPr>
        <i/>
        <sz val="9"/>
        <color theme="2" tint="-0.499984740745262"/>
        <rFont val="Arial"/>
        <family val="2"/>
      </rPr>
      <t xml:space="preserve"> Four, A, 5. a.)</t>
    </r>
  </si>
  <si>
    <r>
      <t>(</t>
    </r>
    <r>
      <rPr>
        <i/>
        <sz val="10"/>
        <color theme="2" tint="-0.499984740745262"/>
        <rFont val="Calibri"/>
        <family val="2"/>
      </rPr>
      <t>§</t>
    </r>
    <r>
      <rPr>
        <i/>
        <sz val="9"/>
        <color theme="2" tint="-0.499984740745262"/>
        <rFont val="Arial"/>
        <family val="2"/>
      </rPr>
      <t xml:space="preserve"> Four, A. 4. c. &amp; d.)</t>
    </r>
  </si>
  <si>
    <r>
      <t>(</t>
    </r>
    <r>
      <rPr>
        <i/>
        <sz val="10"/>
        <color theme="2" tint="-0.499984740745262"/>
        <rFont val="Calibri"/>
        <family val="2"/>
      </rPr>
      <t>§</t>
    </r>
    <r>
      <rPr>
        <i/>
        <sz val="9"/>
        <color theme="2" tint="-0.499984740745262"/>
        <rFont val="Arial"/>
        <family val="2"/>
      </rPr>
      <t xml:space="preserve"> Four, A. 6. d. (1))</t>
    </r>
  </si>
  <si>
    <t>Maximum ELI Loan Determination Worksheet</t>
  </si>
  <si>
    <t>ELI Loan Amounts Per Bedroom Count for each County.</t>
  </si>
  <si>
    <t>Intentionally left blank</t>
  </si>
  <si>
    <t>A Tool to Assist Applicants in Determining their Pro-rata Distribution of ELI Units &amp; Maximum ELI Loan Amount for those that commit to the Persons with a Disabling Condition Demgraphic Commitment</t>
  </si>
  <si>
    <t>RFA 2021-106</t>
  </si>
  <si>
    <t>Select the County in which your proposed Development is located…...........................................................................</t>
  </si>
  <si>
    <t>County size designation….......................................................................................................................................................</t>
  </si>
  <si>
    <t>Indicate the Construction Type &amp; ESSC status…...............................................................................................................................</t>
  </si>
  <si>
    <t>Indicate the IRS Minimum Set-Aside Commitment…........................................................................................................</t>
  </si>
  <si>
    <t>Is the proposed Development located in an LDA?............................................................................................................</t>
  </si>
  <si>
    <t>What is the Demographic Commitment?...................................................................................................................................</t>
  </si>
  <si>
    <t>Is the proposed Development 100% New Construction?....................................................................................................</t>
  </si>
  <si>
    <t>Persons with Developmental Disabilities</t>
  </si>
  <si>
    <t>Persons with Disabling Condition</t>
  </si>
  <si>
    <t>What is the maximum ELI Set-Aside funded with SAIL-ELI (% of Total Units)?.................................................</t>
  </si>
  <si>
    <r>
      <t>(</t>
    </r>
    <r>
      <rPr>
        <i/>
        <sz val="10"/>
        <color theme="2" tint="-0.499984740745262"/>
        <rFont val="Calibri"/>
        <family val="2"/>
      </rPr>
      <t>§</t>
    </r>
    <r>
      <rPr>
        <i/>
        <sz val="9"/>
        <color theme="2" tint="-0.499984740745262"/>
        <rFont val="Arial"/>
        <family val="2"/>
      </rPr>
      <t xml:space="preserve"> Four, A, 6. d. (2)(b))</t>
    </r>
  </si>
  <si>
    <r>
      <t>(</t>
    </r>
    <r>
      <rPr>
        <i/>
        <sz val="10"/>
        <color theme="2" tint="-0.499984740745262"/>
        <rFont val="Calibri"/>
        <family val="2"/>
      </rPr>
      <t>§</t>
    </r>
    <r>
      <rPr>
        <i/>
        <sz val="9"/>
        <color theme="2" tint="-0.499984740745262"/>
        <rFont val="Arial"/>
        <family val="2"/>
      </rPr>
      <t xml:space="preserve"> Four, A, 2. a.)</t>
    </r>
  </si>
  <si>
    <t>IRO</t>
  </si>
  <si>
    <t>IRO Units</t>
  </si>
  <si>
    <t>The number of funded ELI units will be determined by taking 5% of total units, rounded up to the next whole number.  The number of funded ELI units will be determined by taking 15% of total units, rounded up to the next whole number, and subtracting the number of ELI units that are inclusive of the 9% HC funding (10% of total units, rounded up to the next whole number).</t>
  </si>
  <si>
    <t>What is the Applicant's Overall ELI Set-Aside Commitment?........................................................................................................</t>
  </si>
  <si>
    <t>What ELI Set-Aside Commitment is covered by the 9% HC Allocation?...................................................................................</t>
  </si>
  <si>
    <r>
      <t xml:space="preserve">The table below is intended to assist an Applicant in RFA 2021-106 to determine the maximum amount of an ELI Loan that may be requested in its Application based on the proposed Unit mix.  The ELI Loan amount is based on distributing the ELI Units pro-rata across the entire Unit mix, up to the specific maximum identified in the RFA, rounding up to a whole number of units, and then applying the relative per unit ELI Loan limitations to each ELI Unit.  </t>
    </r>
    <r>
      <rPr>
        <u/>
        <sz val="10"/>
        <color theme="1"/>
        <rFont val="Arial"/>
        <family val="2"/>
      </rPr>
      <t>This ELI Loan funding is only available to Applicants that commit to the Persons with a Disabling Condition Demographic Commitment that do NOT commit to the Average Income Test for the minimum set-aside commitment of Section 42 of the IRC.</t>
    </r>
  </si>
  <si>
    <r>
      <t xml:space="preserve">This RFA provides ELI Loan funding for up to 5% of the total units for those developments that qualify for said ELI funding (and indicated in the Table's Column E).  The number of funded ELI units will be determined by taking 15% of total units, rounded up to the next whole number (identified in the Table's Column C, and subtracting the number of ELI units that are inclusive of the 9% HC funding (10% of total units, rounded up to the next whole number identified in the Table's Column D).
Please identify the county in which the propsed Development will be located at question 1.  Input the number of Units the proposed Development will have in the Table's Column B below, separated by how many bedrooms are in each of the proposed Units.  The Table's Column C is set-up to provide the correct overall ELI Unit distribution based on the Applicant's ELI Set-Aside commitment </t>
    </r>
    <r>
      <rPr>
        <i/>
        <sz val="10"/>
        <color theme="1"/>
        <rFont val="Arial"/>
        <family val="2"/>
      </rPr>
      <t>(the response to question 4)</t>
    </r>
    <r>
      <rPr>
        <sz val="10"/>
        <color theme="1"/>
        <rFont val="Arial"/>
        <family val="2"/>
      </rPr>
      <t xml:space="preserve"> with the Table's Column D assigning the ELI units associated to the 9% HC funding while the Table's Column E provides the correct number of ELI Unit distribution for those ELI Units being funded with the ELI Loan funding.  The amount for the total in the Table's Column G provides the Applicant with the maximum ELI Loan funding allowable in the RFA.  This information can be used by the Applicant to determine how much ELI Loan funding to request </t>
    </r>
    <r>
      <rPr>
        <i/>
        <sz val="10"/>
        <color theme="1"/>
        <rFont val="Arial"/>
        <family val="2"/>
      </rPr>
      <t>(at or below the maximum allowed in the RFA)</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</si>
</sst>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quot;.&quot;"/>
    <numFmt numFmtId="165" formatCode="0.0"/>
  </numFmts>
  <fonts count="20" x14ac:knownFonts="1">
    <font>
      <sz val="10"/>
      <color theme="1"/>
      <name val="Arial"/>
      <family val="2"/>
    </font>
    <font>
      <sz val="10"/>
      <color theme="1"/>
      <name val="Arial"/>
      <family val="2"/>
    </font>
    <font>
      <b/>
      <sz val="10"/>
      <color theme="1"/>
      <name val="Arial"/>
      <family val="2"/>
    </font>
    <font>
      <sz val="10"/>
      <color rgb="FF0000FF"/>
      <name val="Arial"/>
      <family val="2"/>
    </font>
    <font>
      <sz val="9"/>
      <color theme="1"/>
      <name val="Arial"/>
      <family val="2"/>
    </font>
    <font>
      <i/>
      <sz val="9"/>
      <color theme="1"/>
      <name val="Arial"/>
      <family val="2"/>
    </font>
    <font>
      <i/>
      <sz val="10"/>
      <color theme="1"/>
      <name val="Arial"/>
      <family val="2"/>
    </font>
    <font>
      <sz val="10"/>
      <color theme="0"/>
      <name val="Arial"/>
      <family val="2"/>
    </font>
    <font>
      <sz val="10"/>
      <name val="Arial"/>
      <family val="2"/>
    </font>
    <font>
      <b/>
      <i/>
      <sz val="12"/>
      <color theme="1"/>
      <name val="Arial"/>
      <family val="2"/>
    </font>
    <font>
      <b/>
      <sz val="10"/>
      <color rgb="FF7030A0"/>
      <name val="Arial"/>
      <family val="2"/>
    </font>
    <font>
      <i/>
      <sz val="10"/>
      <color theme="2" tint="-0.499984740745262"/>
      <name val="Arial"/>
      <family val="2"/>
    </font>
    <font>
      <i/>
      <sz val="10"/>
      <color theme="2" tint="-0.499984740745262"/>
      <name val="Calibri"/>
      <family val="2"/>
    </font>
    <font>
      <i/>
      <sz val="9"/>
      <color theme="2" tint="-0.499984740745262"/>
      <name val="Arial"/>
      <family val="2"/>
    </font>
    <font>
      <u/>
      <sz val="10"/>
      <color theme="1"/>
      <name val="Arial"/>
      <family val="2"/>
    </font>
    <font>
      <b/>
      <sz val="10"/>
      <color theme="0"/>
      <name val="Arial"/>
      <family val="2"/>
    </font>
    <font>
      <b/>
      <i/>
      <sz val="10"/>
      <color rgb="FFC00000"/>
      <name val="Arial"/>
      <family val="2"/>
    </font>
    <font>
      <b/>
      <sz val="11"/>
      <color theme="1"/>
      <name val="Arial"/>
      <family val="2"/>
    </font>
    <font>
      <sz val="8"/>
      <color theme="1"/>
      <name val="Arial"/>
      <family val="2"/>
    </font>
    <font>
      <b/>
      <sz val="10"/>
      <color rgb="FFFF0000"/>
      <name val="Arial"/>
      <family val="2"/>
    </font>
  </fonts>
  <fills count="11">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indexed="64"/>
      </patternFill>
    </fill>
    <fill>
      <patternFill patternType="solid">
        <fgColor rgb="FFEFFFEF"/>
        <bgColor indexed="64"/>
      </patternFill>
    </fill>
    <fill>
      <patternFill patternType="solid">
        <fgColor theme="0"/>
        <bgColor auto="1"/>
      </patternFill>
    </fill>
    <fill>
      <patternFill patternType="mediumGray">
        <fgColor theme="0"/>
        <bgColor theme="0"/>
      </patternFill>
    </fill>
    <fill>
      <patternFill patternType="lightUp">
        <fgColor theme="0" tint="-0.24994659260841701"/>
        <bgColor indexed="65"/>
      </patternFill>
    </fill>
    <fill>
      <patternFill patternType="solid">
        <fgColor theme="0" tint="-0.14999847407452621"/>
        <bgColor indexed="64"/>
      </patternFill>
    </fill>
  </fills>
  <borders count="59">
    <border>
      <left/>
      <right/>
      <top/>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right style="double">
        <color theme="1"/>
      </right>
      <top style="medium">
        <color theme="1"/>
      </top>
      <bottom/>
      <diagonal/>
    </border>
    <border>
      <left/>
      <right style="double">
        <color theme="1"/>
      </right>
      <top/>
      <bottom/>
      <diagonal/>
    </border>
    <border>
      <left style="medium">
        <color theme="1"/>
      </left>
      <right style="medium">
        <color theme="1"/>
      </right>
      <top style="hair">
        <color theme="1"/>
      </top>
      <bottom style="medium">
        <color theme="1"/>
      </bottom>
      <diagonal/>
    </border>
    <border>
      <left style="medium">
        <color theme="1"/>
      </left>
      <right style="medium">
        <color theme="1"/>
      </right>
      <top style="hair">
        <color theme="1"/>
      </top>
      <bottom style="double">
        <color theme="1"/>
      </bottom>
      <diagonal/>
    </border>
    <border>
      <left style="medium">
        <color theme="1"/>
      </left>
      <right style="medium">
        <color theme="1"/>
      </right>
      <top style="medium">
        <color theme="1"/>
      </top>
      <bottom style="thin">
        <color theme="1"/>
      </bottom>
      <diagonal/>
    </border>
    <border>
      <left style="double">
        <color theme="1"/>
      </left>
      <right style="medium">
        <color theme="1"/>
      </right>
      <top style="double">
        <color theme="1"/>
      </top>
      <bottom style="medium">
        <color theme="1"/>
      </bottom>
      <diagonal/>
    </border>
    <border>
      <left style="medium">
        <color theme="1"/>
      </left>
      <right/>
      <top style="hair">
        <color theme="1"/>
      </top>
      <bottom style="medium">
        <color theme="1"/>
      </bottom>
      <diagonal/>
    </border>
    <border>
      <left/>
      <right/>
      <top style="hair">
        <color theme="1"/>
      </top>
      <bottom style="medium">
        <color theme="1"/>
      </bottom>
      <diagonal/>
    </border>
    <border>
      <left/>
      <right style="medium">
        <color theme="1"/>
      </right>
      <top style="hair">
        <color theme="1"/>
      </top>
      <bottom style="medium">
        <color theme="1"/>
      </bottom>
      <diagonal/>
    </border>
    <border>
      <left/>
      <right/>
      <top style="thin">
        <color theme="1"/>
      </top>
      <bottom style="thin">
        <color theme="1"/>
      </bottom>
      <diagonal/>
    </border>
    <border>
      <left style="hair">
        <color theme="1"/>
      </left>
      <right/>
      <top/>
      <bottom style="hair">
        <color theme="1"/>
      </bottom>
      <diagonal/>
    </border>
    <border>
      <left/>
      <right style="hair">
        <color theme="1"/>
      </right>
      <top style="hair">
        <color theme="1"/>
      </top>
      <bottom/>
      <diagonal/>
    </border>
    <border>
      <left/>
      <right style="hair">
        <color theme="1"/>
      </right>
      <top/>
      <bottom/>
      <diagonal/>
    </border>
    <border>
      <left/>
      <right style="hair">
        <color theme="1"/>
      </right>
      <top/>
      <bottom style="hair">
        <color theme="1"/>
      </bottom>
      <diagonal/>
    </border>
    <border>
      <left style="medium">
        <color theme="1"/>
      </left>
      <right/>
      <top style="hair">
        <color theme="1"/>
      </top>
      <bottom/>
      <diagonal/>
    </border>
    <border>
      <left style="hair">
        <color theme="1"/>
      </left>
      <right/>
      <top/>
      <bottom/>
      <diagonal/>
    </border>
    <border>
      <left style="hair">
        <color theme="1"/>
      </left>
      <right/>
      <top style="hair">
        <color theme="1"/>
      </top>
      <bottom/>
      <diagonal/>
    </border>
    <border>
      <left/>
      <right style="hair">
        <color theme="1"/>
      </right>
      <top style="medium">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s>
  <cellStyleXfs count="2">
    <xf numFmtId="0" fontId="0" fillId="0" borderId="0"/>
    <xf numFmtId="9" fontId="1" fillId="0" borderId="0" applyFont="0" applyFill="0" applyBorder="0" applyAlignment="0" applyProtection="0"/>
  </cellStyleXfs>
  <cellXfs count="131">
    <xf numFmtId="0" fontId="0" fillId="0" borderId="0" xfId="0"/>
    <xf numFmtId="0" fontId="2" fillId="2" borderId="0" xfId="0" applyFont="1" applyFill="1" applyAlignment="1">
      <alignment horizontal="center" vertical="center"/>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4" borderId="2" xfId="0" applyFont="1" applyFill="1" applyBorder="1" applyAlignment="1">
      <alignment horizontal="center" wrapText="1"/>
    </xf>
    <xf numFmtId="0" fontId="3" fillId="2" borderId="5" xfId="0" applyFont="1" applyFill="1" applyBorder="1" applyAlignment="1">
      <alignment horizontal="right" vertical="center" indent="1"/>
    </xf>
    <xf numFmtId="0" fontId="3" fillId="0" borderId="13" xfId="0" applyFont="1" applyBorder="1" applyAlignment="1">
      <alignment horizontal="right" vertical="center" indent="1"/>
    </xf>
    <xf numFmtId="0" fontId="2" fillId="0" borderId="15" xfId="0" applyFont="1" applyBorder="1" applyAlignment="1">
      <alignment horizontal="center" vertical="center"/>
    </xf>
    <xf numFmtId="9" fontId="0" fillId="2" borderId="28" xfId="1" applyFont="1" applyFill="1" applyBorder="1" applyAlignment="1">
      <alignment horizontal="center" vertical="center"/>
    </xf>
    <xf numFmtId="9" fontId="0" fillId="2" borderId="31"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0" fontId="0" fillId="2" borderId="4" xfId="0" applyFont="1" applyFill="1" applyBorder="1" applyAlignment="1">
      <alignment horizontal="center" vertical="center"/>
    </xf>
    <xf numFmtId="0" fontId="0" fillId="2" borderId="5" xfId="0" applyFont="1" applyFill="1" applyBorder="1" applyAlignment="1">
      <alignment vertical="center"/>
    </xf>
    <xf numFmtId="0" fontId="0" fillId="2" borderId="5" xfId="0" applyFont="1" applyFill="1" applyBorder="1" applyAlignment="1">
      <alignment horizontal="right" vertical="center"/>
    </xf>
    <xf numFmtId="0" fontId="0" fillId="0" borderId="7" xfId="0" applyFont="1" applyBorder="1" applyAlignment="1">
      <alignment horizontal="center" vertical="center"/>
    </xf>
    <xf numFmtId="38" fontId="0" fillId="0" borderId="8" xfId="0" applyNumberFormat="1" applyFont="1" applyBorder="1" applyAlignment="1">
      <alignment horizontal="right" vertical="center" indent="2"/>
    </xf>
    <xf numFmtId="6" fontId="0" fillId="0" borderId="8" xfId="0" applyNumberFormat="1" applyFont="1" applyBorder="1" applyAlignment="1">
      <alignment horizontal="right" vertical="center" indent="1"/>
    </xf>
    <xf numFmtId="0" fontId="0" fillId="0" borderId="10" xfId="0" applyFont="1" applyBorder="1" applyAlignment="1">
      <alignment horizontal="center" vertical="center"/>
    </xf>
    <xf numFmtId="38" fontId="0" fillId="0" borderId="11" xfId="0" applyNumberFormat="1" applyFont="1" applyBorder="1" applyAlignment="1">
      <alignment horizontal="right" vertical="center" indent="2"/>
    </xf>
    <xf numFmtId="0" fontId="0" fillId="0" borderId="12" xfId="0" applyFont="1" applyBorder="1" applyAlignment="1">
      <alignment horizontal="center" vertical="center"/>
    </xf>
    <xf numFmtId="0" fontId="0" fillId="0" borderId="13" xfId="0" applyFont="1" applyBorder="1" applyAlignment="1">
      <alignment horizontal="right" vertical="center" indent="2"/>
    </xf>
    <xf numFmtId="0" fontId="0" fillId="5" borderId="13" xfId="0" applyFont="1" applyFill="1" applyBorder="1" applyAlignment="1">
      <alignment horizontal="right" vertical="center" indent="2"/>
    </xf>
    <xf numFmtId="6" fontId="0" fillId="0" borderId="13" xfId="0" applyNumberFormat="1" applyFont="1" applyBorder="1" applyAlignment="1">
      <alignment horizontal="right" vertical="center" indent="1"/>
    </xf>
    <xf numFmtId="38" fontId="0" fillId="0" borderId="16" xfId="0" applyNumberFormat="1" applyFont="1" applyBorder="1" applyAlignment="1">
      <alignment horizontal="right" vertical="center" indent="2"/>
    </xf>
    <xf numFmtId="6" fontId="0" fillId="0" borderId="18" xfId="0" applyNumberFormat="1" applyFont="1" applyBorder="1" applyAlignment="1">
      <alignment horizontal="right" vertical="center" indent="1"/>
    </xf>
    <xf numFmtId="0" fontId="0" fillId="2" borderId="0" xfId="0" applyFont="1" applyFill="1" applyAlignment="1">
      <alignment vertical="center" wrapText="1"/>
    </xf>
    <xf numFmtId="0" fontId="2" fillId="2" borderId="24" xfId="0" applyFont="1" applyFill="1" applyBorder="1" applyAlignment="1">
      <alignment horizontal="left" indent="1"/>
    </xf>
    <xf numFmtId="0" fontId="2" fillId="2" borderId="25" xfId="0" applyFont="1" applyFill="1" applyBorder="1" applyAlignment="1">
      <alignment horizontal="center" wrapText="1"/>
    </xf>
    <xf numFmtId="0" fontId="2" fillId="2" borderId="0" xfId="0" applyFont="1" applyFill="1" applyBorder="1" applyAlignment="1">
      <alignment horizontal="center" wrapText="1"/>
    </xf>
    <xf numFmtId="0" fontId="2" fillId="2" borderId="23" xfId="0" applyFont="1" applyFill="1" applyBorder="1" applyAlignment="1">
      <alignment horizontal="center" wrapText="1"/>
    </xf>
    <xf numFmtId="0" fontId="0" fillId="2" borderId="27" xfId="0" applyFont="1" applyFill="1" applyBorder="1" applyAlignment="1">
      <alignment horizontal="left" vertical="center" indent="1"/>
    </xf>
    <xf numFmtId="6" fontId="0" fillId="2" borderId="28" xfId="0" applyNumberFormat="1" applyFont="1" applyFill="1" applyBorder="1" applyAlignment="1">
      <alignment horizontal="center" vertical="center"/>
    </xf>
    <xf numFmtId="0" fontId="0" fillId="2" borderId="30" xfId="0" applyFont="1" applyFill="1" applyBorder="1" applyAlignment="1">
      <alignment horizontal="left" vertical="center" indent="1"/>
    </xf>
    <xf numFmtId="6" fontId="0" fillId="2" borderId="31" xfId="0" applyNumberFormat="1" applyFont="1" applyFill="1" applyBorder="1" applyAlignment="1">
      <alignment horizontal="center" vertical="center"/>
    </xf>
    <xf numFmtId="0" fontId="2" fillId="6" borderId="3" xfId="0" applyFont="1" applyFill="1" applyBorder="1" applyAlignment="1">
      <alignment horizontal="center" wrapText="1"/>
    </xf>
    <xf numFmtId="0" fontId="2" fillId="6" borderId="6" xfId="0" applyFont="1" applyFill="1" applyBorder="1" applyAlignment="1">
      <alignment vertical="center"/>
    </xf>
    <xf numFmtId="6" fontId="2" fillId="6" borderId="9" xfId="0" applyNumberFormat="1" applyFont="1" applyFill="1" applyBorder="1" applyAlignment="1">
      <alignment horizontal="right" vertical="center" indent="1"/>
    </xf>
    <xf numFmtId="6" fontId="2" fillId="6" borderId="14" xfId="0" applyNumberFormat="1" applyFont="1" applyFill="1" applyBorder="1" applyAlignment="1">
      <alignment horizontal="right" vertical="center" indent="1"/>
    </xf>
    <xf numFmtId="6" fontId="2" fillId="6" borderId="21" xfId="0" applyNumberFormat="1" applyFont="1" applyFill="1" applyBorder="1" applyAlignment="1">
      <alignment horizontal="right" vertical="center" indent="1"/>
    </xf>
    <xf numFmtId="38" fontId="2" fillId="0" borderId="16" xfId="0" applyNumberFormat="1" applyFont="1" applyBorder="1" applyAlignment="1">
      <alignment horizontal="right" vertical="center" indent="1"/>
    </xf>
    <xf numFmtId="0" fontId="7" fillId="2" borderId="22" xfId="0" applyFont="1" applyFill="1" applyBorder="1" applyAlignment="1">
      <alignment horizontal="left" indent="1"/>
    </xf>
    <xf numFmtId="9" fontId="3" fillId="3" borderId="34" xfId="0" applyNumberFormat="1" applyFont="1" applyFill="1" applyBorder="1" applyAlignment="1" applyProtection="1">
      <alignment horizontal="center" vertical="center"/>
      <protection locked="0"/>
    </xf>
    <xf numFmtId="38" fontId="3" fillId="3" borderId="8" xfId="0" applyNumberFormat="1" applyFont="1" applyFill="1" applyBorder="1" applyAlignment="1" applyProtection="1">
      <alignment horizontal="right" vertical="center" indent="1"/>
      <protection locked="0"/>
    </xf>
    <xf numFmtId="38" fontId="3" fillId="3" borderId="11" xfId="0" applyNumberFormat="1" applyFont="1" applyFill="1" applyBorder="1" applyAlignment="1" applyProtection="1">
      <alignment horizontal="right" vertical="center" indent="1"/>
      <protection locked="0"/>
    </xf>
    <xf numFmtId="0" fontId="2" fillId="2" borderId="35" xfId="0" applyFont="1" applyFill="1" applyBorder="1" applyAlignment="1">
      <alignment horizontal="center" wrapText="1"/>
    </xf>
    <xf numFmtId="0" fontId="2" fillId="2" borderId="36" xfId="0" applyFont="1" applyFill="1" applyBorder="1" applyAlignment="1">
      <alignment horizontal="center" wrapText="1"/>
    </xf>
    <xf numFmtId="6" fontId="0" fillId="2" borderId="37" xfId="0" applyNumberFormat="1" applyFont="1" applyFill="1" applyBorder="1" applyAlignment="1">
      <alignment horizontal="center" vertical="center"/>
    </xf>
    <xf numFmtId="6" fontId="0" fillId="2" borderId="38" xfId="0" applyNumberFormat="1" applyFont="1" applyFill="1" applyBorder="1" applyAlignment="1">
      <alignment horizontal="center" vertical="center"/>
    </xf>
    <xf numFmtId="0" fontId="0" fillId="2" borderId="0" xfId="0" applyFont="1" applyFill="1" applyBorder="1" applyAlignment="1">
      <alignment horizontal="left" vertical="center" indent="1"/>
    </xf>
    <xf numFmtId="9" fontId="0" fillId="0" borderId="0" xfId="0" applyNumberFormat="1" applyFont="1"/>
    <xf numFmtId="9" fontId="0" fillId="0" borderId="0" xfId="1" applyFont="1" applyAlignment="1">
      <alignment horizontal="center"/>
    </xf>
    <xf numFmtId="0" fontId="0" fillId="2" borderId="0" xfId="0" applyFont="1" applyFill="1" applyAlignment="1">
      <alignment horizontal="left"/>
    </xf>
    <xf numFmtId="0" fontId="0" fillId="0" borderId="0" xfId="0" applyFont="1" applyFill="1" applyBorder="1"/>
    <xf numFmtId="9" fontId="0" fillId="0" borderId="0" xfId="1" applyFont="1" applyFill="1" applyBorder="1" applyAlignment="1">
      <alignment horizontal="center"/>
    </xf>
    <xf numFmtId="0" fontId="0" fillId="0" borderId="0" xfId="0" applyFont="1" applyFill="1" applyBorder="1" applyAlignment="1">
      <alignment horizontal="center"/>
    </xf>
    <xf numFmtId="6" fontId="0" fillId="2" borderId="41" xfId="0" applyNumberFormat="1" applyFont="1" applyFill="1" applyBorder="1" applyAlignment="1">
      <alignment horizontal="center" vertical="center"/>
    </xf>
    <xf numFmtId="0" fontId="0" fillId="2" borderId="0" xfId="0" applyFont="1" applyFill="1" applyBorder="1" applyAlignment="1">
      <alignment horizontal="left" vertical="center"/>
    </xf>
    <xf numFmtId="0" fontId="0" fillId="0" borderId="42" xfId="0" applyFont="1" applyBorder="1"/>
    <xf numFmtId="0" fontId="0" fillId="0" borderId="36" xfId="0" applyFont="1" applyBorder="1"/>
    <xf numFmtId="0" fontId="2" fillId="0" borderId="43" xfId="0" applyFont="1" applyBorder="1" applyAlignment="1">
      <alignment horizontal="center"/>
    </xf>
    <xf numFmtId="10" fontId="0" fillId="0" borderId="37" xfId="1" applyNumberFormat="1" applyFont="1" applyBorder="1" applyAlignment="1">
      <alignment horizontal="right" vertical="center" indent="1"/>
    </xf>
    <xf numFmtId="10" fontId="0" fillId="0" borderId="44" xfId="1" applyNumberFormat="1" applyFont="1" applyBorder="1" applyAlignment="1">
      <alignment horizontal="right" vertical="center" indent="1"/>
    </xf>
    <xf numFmtId="0" fontId="11" fillId="0" borderId="0" xfId="0" applyFont="1" applyAlignment="1">
      <alignment horizontal="left" vertical="center"/>
    </xf>
    <xf numFmtId="0" fontId="11" fillId="0" borderId="0" xfId="0" applyFont="1" applyAlignment="1">
      <alignment horizontal="left"/>
    </xf>
    <xf numFmtId="0" fontId="11" fillId="0" borderId="0" xfId="0" quotePrefix="1" applyFont="1" applyAlignment="1">
      <alignment horizontal="left" vertical="center"/>
    </xf>
    <xf numFmtId="0" fontId="0" fillId="2" borderId="0" xfId="0" applyFont="1" applyFill="1" applyBorder="1"/>
    <xf numFmtId="0" fontId="0" fillId="2" borderId="45" xfId="0" applyFont="1" applyFill="1" applyBorder="1" applyAlignment="1">
      <alignment horizontal="left" vertical="center" indent="1"/>
    </xf>
    <xf numFmtId="9" fontId="0" fillId="2" borderId="46" xfId="1" applyFont="1" applyFill="1" applyBorder="1" applyAlignment="1">
      <alignment horizontal="center" vertical="center"/>
    </xf>
    <xf numFmtId="6" fontId="0" fillId="2" borderId="46" xfId="0" applyNumberFormat="1" applyFont="1" applyFill="1" applyBorder="1" applyAlignment="1">
      <alignment horizontal="center" vertical="center"/>
    </xf>
    <xf numFmtId="6" fontId="7" fillId="2" borderId="29" xfId="0" applyNumberFormat="1" applyFont="1" applyFill="1" applyBorder="1" applyAlignment="1">
      <alignment horizontal="center" vertical="center"/>
    </xf>
    <xf numFmtId="6" fontId="7" fillId="2" borderId="32" xfId="0" applyNumberFormat="1" applyFont="1" applyFill="1" applyBorder="1" applyAlignment="1">
      <alignment horizontal="center" vertical="center"/>
    </xf>
    <xf numFmtId="6" fontId="7" fillId="2" borderId="47" xfId="0" applyNumberFormat="1" applyFont="1" applyFill="1" applyBorder="1" applyAlignment="1">
      <alignment horizontal="center" vertical="center"/>
    </xf>
    <xf numFmtId="0" fontId="15" fillId="2" borderId="26" xfId="0" applyFont="1" applyFill="1" applyBorder="1" applyAlignment="1">
      <alignment horizontal="center" wrapText="1"/>
    </xf>
    <xf numFmtId="0" fontId="11" fillId="0" borderId="0" xfId="0" applyFont="1" applyAlignment="1">
      <alignment horizontal="left" vertical="center"/>
    </xf>
    <xf numFmtId="164" fontId="2" fillId="0" borderId="0" xfId="0" applyNumberFormat="1" applyFont="1"/>
    <xf numFmtId="164" fontId="2" fillId="9" borderId="0" xfId="0" applyNumberFormat="1" applyFont="1" applyFill="1"/>
    <xf numFmtId="0" fontId="15" fillId="2" borderId="25" xfId="0" applyFont="1" applyFill="1" applyBorder="1" applyAlignment="1">
      <alignment horizontal="center" wrapText="1"/>
    </xf>
    <xf numFmtId="0" fontId="15" fillId="2" borderId="0" xfId="0" applyFont="1" applyFill="1" applyBorder="1" applyAlignment="1">
      <alignment horizontal="center" wrapText="1"/>
    </xf>
    <xf numFmtId="6" fontId="7" fillId="2" borderId="37" xfId="0" applyNumberFormat="1" applyFont="1" applyFill="1" applyBorder="1" applyAlignment="1">
      <alignment horizontal="center" vertical="center"/>
    </xf>
    <xf numFmtId="6" fontId="7" fillId="2" borderId="38" xfId="0" applyNumberFormat="1" applyFont="1" applyFill="1" applyBorder="1" applyAlignment="1">
      <alignment horizontal="center" vertical="center"/>
    </xf>
    <xf numFmtId="6" fontId="7" fillId="2" borderId="41" xfId="0" applyNumberFormat="1" applyFont="1" applyFill="1" applyBorder="1" applyAlignment="1">
      <alignment horizontal="center" vertical="center"/>
    </xf>
    <xf numFmtId="165" fontId="0" fillId="0" borderId="0" xfId="0" applyNumberFormat="1" applyFont="1"/>
    <xf numFmtId="0" fontId="11" fillId="0" borderId="22" xfId="0" applyFont="1" applyBorder="1" applyAlignment="1">
      <alignment vertical="center"/>
    </xf>
    <xf numFmtId="0" fontId="11" fillId="0" borderId="0" xfId="0" applyFont="1" applyAlignment="1">
      <alignment vertical="center"/>
    </xf>
    <xf numFmtId="0" fontId="16" fillId="0" borderId="0" xfId="0" applyFont="1" applyAlignment="1">
      <alignment horizontal="left" vertical="center"/>
    </xf>
    <xf numFmtId="0" fontId="0" fillId="0" borderId="0" xfId="0" quotePrefix="1" applyFont="1"/>
    <xf numFmtId="38" fontId="0" fillId="4" borderId="8" xfId="0" applyNumberFormat="1" applyFont="1" applyFill="1" applyBorder="1" applyAlignment="1">
      <alignment horizontal="right" vertical="center" indent="2"/>
    </xf>
    <xf numFmtId="0" fontId="0" fillId="10" borderId="10" xfId="0" applyFont="1" applyFill="1" applyBorder="1" applyAlignment="1">
      <alignment horizontal="center" vertical="center"/>
    </xf>
    <xf numFmtId="0" fontId="0" fillId="10" borderId="7" xfId="0" applyFont="1" applyFill="1" applyBorder="1" applyAlignment="1">
      <alignment horizontal="center" vertical="center"/>
    </xf>
    <xf numFmtId="6" fontId="0" fillId="0" borderId="33" xfId="0" applyNumberFormat="1" applyFont="1" applyBorder="1" applyAlignment="1">
      <alignment horizontal="center"/>
    </xf>
    <xf numFmtId="9" fontId="0" fillId="8" borderId="48" xfId="0" applyNumberFormat="1"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6" fontId="8" fillId="7" borderId="0" xfId="0" applyNumberFormat="1" applyFont="1" applyFill="1" applyBorder="1" applyAlignment="1" applyProtection="1">
      <alignment horizontal="center" vertical="center"/>
    </xf>
    <xf numFmtId="0" fontId="2" fillId="6" borderId="19" xfId="0" applyFont="1" applyFill="1" applyBorder="1" applyAlignment="1">
      <alignment horizontal="right" vertical="center" wrapText="1" indent="1"/>
    </xf>
    <xf numFmtId="0" fontId="2" fillId="6" borderId="20" xfId="0" applyFont="1" applyFill="1" applyBorder="1" applyAlignment="1">
      <alignment horizontal="right" vertical="center" wrapText="1" indent="1"/>
    </xf>
    <xf numFmtId="0" fontId="0" fillId="2" borderId="17"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4" fillId="2" borderId="56" xfId="0" applyFont="1" applyFill="1" applyBorder="1" applyAlignment="1">
      <alignment horizontal="center" wrapText="1"/>
    </xf>
    <xf numFmtId="0" fontId="4" fillId="2" borderId="51" xfId="0" applyFont="1" applyFill="1" applyBorder="1" applyAlignment="1">
      <alignment horizontal="center" wrapText="1"/>
    </xf>
    <xf numFmtId="0" fontId="4" fillId="2" borderId="52" xfId="0" applyFont="1" applyFill="1" applyBorder="1" applyAlignment="1">
      <alignment horizontal="center" wrapText="1"/>
    </xf>
    <xf numFmtId="0" fontId="4" fillId="2" borderId="17" xfId="0" applyFont="1" applyFill="1" applyBorder="1" applyAlignment="1">
      <alignment horizontal="center" wrapText="1"/>
    </xf>
    <xf numFmtId="0" fontId="4" fillId="2" borderId="5" xfId="0" applyFont="1" applyFill="1" applyBorder="1" applyAlignment="1">
      <alignment horizontal="center" wrapText="1"/>
    </xf>
    <xf numFmtId="0" fontId="4" fillId="2" borderId="8" xfId="0" applyFont="1" applyFill="1" applyBorder="1" applyAlignment="1">
      <alignment horizontal="center" wrapText="1"/>
    </xf>
    <xf numFmtId="0" fontId="10" fillId="2" borderId="39" xfId="0" applyFont="1" applyFill="1" applyBorder="1" applyAlignment="1">
      <alignment horizontal="right" vertical="top" wrapText="1"/>
    </xf>
    <xf numFmtId="0" fontId="10" fillId="2" borderId="40" xfId="0" applyFont="1" applyFill="1" applyBorder="1" applyAlignment="1">
      <alignment horizontal="right" vertical="top" wrapText="1"/>
    </xf>
    <xf numFmtId="0" fontId="0" fillId="0" borderId="0" xfId="0" applyFont="1" applyFill="1" applyBorder="1" applyAlignment="1">
      <alignment horizontal="center" wrapText="1"/>
    </xf>
    <xf numFmtId="0" fontId="9" fillId="2" borderId="0" xfId="0" applyFont="1" applyFill="1" applyAlignment="1">
      <alignment horizontal="center" vertical="center" wrapText="1"/>
    </xf>
    <xf numFmtId="0" fontId="3" fillId="3" borderId="33" xfId="0" applyFont="1" applyFill="1" applyBorder="1" applyAlignment="1" applyProtection="1">
      <alignment horizontal="center" vertical="center"/>
      <protection locked="0"/>
    </xf>
    <xf numFmtId="0" fontId="0" fillId="2" borderId="0" xfId="0" quotePrefix="1" applyFont="1" applyFill="1" applyAlignment="1">
      <alignment horizontal="left" vertical="center" wrapText="1"/>
    </xf>
    <xf numFmtId="0" fontId="0" fillId="2" borderId="0" xfId="0" quotePrefix="1" applyFont="1" applyFill="1" applyBorder="1" applyAlignment="1">
      <alignment horizontal="left" vertical="center" wrapText="1"/>
    </xf>
    <xf numFmtId="0" fontId="17" fillId="0" borderId="57" xfId="0" applyFont="1" applyBorder="1" applyAlignment="1">
      <alignment horizontal="center" vertical="center" wrapText="1"/>
    </xf>
    <xf numFmtId="0" fontId="17" fillId="0" borderId="58" xfId="0" applyFont="1" applyBorder="1" applyAlignment="1">
      <alignment horizontal="center" vertical="center" wrapText="1"/>
    </xf>
    <xf numFmtId="0" fontId="17" fillId="2" borderId="33" xfId="0" applyFont="1" applyFill="1" applyBorder="1" applyAlignment="1">
      <alignment horizontal="center" vertical="center" wrapText="1"/>
    </xf>
    <xf numFmtId="0" fontId="0" fillId="7" borderId="0" xfId="0" applyFont="1" applyFill="1" applyBorder="1" applyAlignment="1" applyProtection="1">
      <alignment horizontal="center" vertical="center"/>
    </xf>
    <xf numFmtId="0" fontId="19" fillId="2" borderId="0" xfId="0" applyFont="1" applyFill="1" applyAlignment="1">
      <alignment horizontal="left" vertical="center" wrapText="1"/>
    </xf>
    <xf numFmtId="0" fontId="18" fillId="2" borderId="55"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4"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5" fillId="2" borderId="53" xfId="0" applyFont="1" applyFill="1" applyBorder="1" applyAlignment="1">
      <alignment horizontal="center" vertical="top" wrapText="1"/>
    </xf>
    <xf numFmtId="0" fontId="5" fillId="2" borderId="50" xfId="0" applyFont="1" applyFill="1" applyBorder="1" applyAlignment="1">
      <alignment horizontal="center" vertical="top" wrapText="1"/>
    </xf>
    <xf numFmtId="0" fontId="5" fillId="2" borderId="22" xfId="0" applyFont="1" applyFill="1" applyBorder="1" applyAlignment="1">
      <alignment horizontal="center" vertical="top" wrapText="1"/>
    </xf>
    <xf numFmtId="0" fontId="5" fillId="2" borderId="51" xfId="0" applyFont="1" applyFill="1" applyBorder="1" applyAlignment="1">
      <alignment horizontal="center" vertical="top" wrapText="1"/>
    </xf>
    <xf numFmtId="0" fontId="5" fillId="2" borderId="27" xfId="0" applyFont="1" applyFill="1" applyBorder="1" applyAlignment="1">
      <alignment horizontal="center" vertical="top" wrapText="1"/>
    </xf>
    <xf numFmtId="0" fontId="5" fillId="2" borderId="52" xfId="0" applyFont="1" applyFill="1" applyBorder="1" applyAlignment="1">
      <alignment horizontal="center" vertical="top" wrapText="1"/>
    </xf>
  </cellXfs>
  <cellStyles count="2">
    <cellStyle name="Normal" xfId="0" builtinId="0"/>
    <cellStyle name="Percent" xfId="1" builtinId="5"/>
  </cellStyles>
  <dxfs count="10">
    <dxf>
      <font>
        <b/>
        <i val="0"/>
        <color rgb="FFC00000"/>
      </font>
    </dxf>
    <dxf>
      <font>
        <b/>
        <i val="0"/>
        <color rgb="FFC00000"/>
      </font>
    </dxf>
    <dxf>
      <font>
        <b/>
        <i val="0"/>
        <color rgb="FFC00000"/>
      </font>
    </dxf>
    <dxf>
      <font>
        <b/>
        <i val="0"/>
        <color rgb="FFC00000"/>
      </font>
    </dxf>
    <dxf>
      <fill>
        <patternFill>
          <bgColor theme="7" tint="0.79998168889431442"/>
        </patternFill>
      </fill>
    </dxf>
    <dxf>
      <fill>
        <patternFill>
          <bgColor rgb="FFCCFFCC"/>
        </patternFill>
      </fill>
    </dxf>
    <dxf>
      <fill>
        <patternFill>
          <bgColor rgb="FFCCFFCC"/>
        </patternFill>
      </fill>
    </dxf>
    <dxf>
      <border>
        <bottom style="thin">
          <color theme="1"/>
        </bottom>
        <vertical/>
        <horizontal/>
      </border>
    </dxf>
    <dxf>
      <fill>
        <patternFill>
          <bgColor theme="7" tint="0.79998168889431442"/>
        </patternFill>
      </fill>
    </dxf>
    <dxf>
      <font>
        <b/>
        <i val="0"/>
        <color rgb="FF7030A0"/>
      </font>
      <fill>
        <patternFill>
          <bgColor theme="7" tint="0.79998168889431442"/>
        </patternFill>
      </fill>
    </dxf>
  </dxfs>
  <tableStyles count="0" defaultTableStyle="TableStyleMedium2" defaultPivotStyle="PivotStyleLight16"/>
  <colors>
    <mruColors>
      <color rgb="FFCCFFCC"/>
      <color rgb="FFFFFFCC"/>
      <color rgb="FF0000FF"/>
      <color rgb="FFE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29"/>
  <sheetViews>
    <sheetView tabSelected="1" defaultGridColor="0" colorId="9" zoomScale="90" zoomScaleNormal="90" zoomScaleSheetLayoutView="100" workbookViewId="0">
      <selection activeCell="G7" sqref="G7:H7"/>
    </sheetView>
  </sheetViews>
  <sheetFormatPr defaultColWidth="9.08984375" defaultRowHeight="12.5" x14ac:dyDescent="0.25"/>
  <cols>
    <col min="1" max="1" width="3.81640625" style="11" customWidth="1"/>
    <col min="2" max="2" width="11.81640625" style="11" customWidth="1"/>
    <col min="3" max="3" width="10.54296875" style="11" customWidth="1"/>
    <col min="4" max="5" width="14.36328125" style="11" customWidth="1"/>
    <col min="6" max="6" width="15.81640625" style="11" customWidth="1"/>
    <col min="7" max="7" width="15.453125" style="11" customWidth="1"/>
    <col min="8" max="8" width="18.453125" style="11" customWidth="1"/>
    <col min="9" max="9" width="20.54296875" style="11" customWidth="1"/>
    <col min="10" max="16384" width="9.08984375" style="11"/>
  </cols>
  <sheetData>
    <row r="1" spans="1:23" ht="42" customHeight="1" x14ac:dyDescent="0.25">
      <c r="A1" s="114" t="s">
        <v>111</v>
      </c>
      <c r="B1" s="115"/>
      <c r="C1" s="116" t="s">
        <v>110</v>
      </c>
      <c r="D1" s="116"/>
      <c r="E1" s="116"/>
      <c r="F1" s="116"/>
      <c r="G1" s="116"/>
      <c r="H1" s="116"/>
    </row>
    <row r="2" spans="1:23" ht="24" customHeight="1" x14ac:dyDescent="0.25">
      <c r="A2" s="110" t="s">
        <v>107</v>
      </c>
      <c r="B2" s="110"/>
      <c r="C2" s="110"/>
      <c r="D2" s="110"/>
      <c r="E2" s="110"/>
      <c r="F2" s="110"/>
      <c r="G2" s="110"/>
      <c r="H2" s="110"/>
    </row>
    <row r="3" spans="1:23" ht="93" customHeight="1" x14ac:dyDescent="0.25">
      <c r="A3" s="112" t="s">
        <v>129</v>
      </c>
      <c r="B3" s="112"/>
      <c r="C3" s="112"/>
      <c r="D3" s="112"/>
      <c r="E3" s="112"/>
      <c r="F3" s="112"/>
      <c r="G3" s="112"/>
      <c r="H3" s="112"/>
    </row>
    <row r="4" spans="1:23" ht="175" customHeight="1" x14ac:dyDescent="0.25">
      <c r="A4" s="113" t="s">
        <v>130</v>
      </c>
      <c r="B4" s="113"/>
      <c r="C4" s="113"/>
      <c r="D4" s="113"/>
      <c r="E4" s="113"/>
      <c r="F4" s="113"/>
      <c r="G4" s="113"/>
      <c r="H4" s="113"/>
    </row>
    <row r="5" spans="1:23" ht="84.9" hidden="1" customHeight="1" x14ac:dyDescent="0.25">
      <c r="B5" s="113"/>
      <c r="C5" s="113"/>
      <c r="D5" s="113"/>
      <c r="E5" s="113"/>
      <c r="F5" s="113"/>
      <c r="G5" s="113"/>
      <c r="H5" s="113"/>
    </row>
    <row r="6" spans="1:23" ht="6.75" customHeight="1" x14ac:dyDescent="0.25">
      <c r="B6" s="12"/>
      <c r="C6" s="12"/>
      <c r="D6" s="12"/>
      <c r="E6" s="12"/>
      <c r="F6" s="12"/>
      <c r="G6" s="12"/>
      <c r="H6" s="68"/>
    </row>
    <row r="7" spans="1:23" ht="20.149999999999999" customHeight="1" x14ac:dyDescent="0.3">
      <c r="A7" s="77">
        <f>MAX(A$6:A6)+1</f>
        <v>1</v>
      </c>
      <c r="B7" s="54" t="s">
        <v>112</v>
      </c>
      <c r="C7" s="12"/>
      <c r="D7" s="12"/>
      <c r="E7" s="12"/>
      <c r="F7" s="12"/>
      <c r="G7" s="111" t="s">
        <v>83</v>
      </c>
      <c r="H7" s="111"/>
      <c r="I7" s="65" t="s">
        <v>104</v>
      </c>
      <c r="K7" s="55"/>
      <c r="L7" s="109"/>
      <c r="M7" s="109"/>
      <c r="N7" s="55"/>
      <c r="O7" s="109"/>
      <c r="P7" s="109"/>
      <c r="Q7" s="55"/>
      <c r="R7" s="55"/>
      <c r="S7" s="109"/>
      <c r="T7" s="109"/>
      <c r="U7" s="55"/>
      <c r="V7" s="109"/>
      <c r="W7" s="109"/>
    </row>
    <row r="8" spans="1:23" ht="20.149999999999999" hidden="1" customHeight="1" x14ac:dyDescent="0.3">
      <c r="A8" s="78"/>
      <c r="B8" s="54" t="s">
        <v>113</v>
      </c>
      <c r="C8" s="12"/>
      <c r="D8" s="12"/>
      <c r="E8" s="12"/>
      <c r="F8" s="12"/>
      <c r="G8" s="117">
        <f>IF(ISERROR(VLOOKUP(G$7,ELI_PU,7)),"TBD",VLOOKUP(G$7,ELI_PU,7))</f>
        <v>0</v>
      </c>
      <c r="H8" s="117"/>
      <c r="I8" s="65" t="s">
        <v>104</v>
      </c>
      <c r="K8" s="55"/>
      <c r="L8" s="57"/>
      <c r="M8" s="57"/>
      <c r="N8" s="55"/>
      <c r="O8" s="57"/>
      <c r="P8" s="57"/>
      <c r="Q8" s="55"/>
      <c r="R8" s="55"/>
      <c r="S8" s="57"/>
      <c r="T8" s="57"/>
      <c r="U8" s="55"/>
      <c r="V8" s="57"/>
      <c r="W8" s="57"/>
    </row>
    <row r="9" spans="1:23" ht="20.149999999999999" hidden="1" customHeight="1" x14ac:dyDescent="0.3">
      <c r="A9" s="78"/>
      <c r="B9" s="54" t="s">
        <v>114</v>
      </c>
      <c r="C9" s="12"/>
      <c r="D9" s="12"/>
      <c r="E9" s="12"/>
      <c r="F9" s="12"/>
      <c r="G9" s="94" t="s">
        <v>90</v>
      </c>
      <c r="H9" s="94"/>
      <c r="I9" s="65" t="s">
        <v>105</v>
      </c>
      <c r="K9" s="55"/>
      <c r="L9" s="56"/>
      <c r="M9" s="56"/>
      <c r="N9" s="55"/>
      <c r="O9" s="56"/>
      <c r="P9" s="56"/>
      <c r="Q9" s="55"/>
      <c r="R9" s="55"/>
      <c r="S9" s="56"/>
      <c r="T9" s="56"/>
      <c r="U9" s="55"/>
      <c r="V9" s="56"/>
      <c r="W9" s="56"/>
    </row>
    <row r="10" spans="1:23" ht="20.149999999999999" customHeight="1" x14ac:dyDescent="0.3">
      <c r="A10" s="77">
        <f>MAX(A$6:A9)+1</f>
        <v>2</v>
      </c>
      <c r="B10" s="54" t="s">
        <v>115</v>
      </c>
      <c r="C10" s="12"/>
      <c r="D10" s="12"/>
      <c r="E10" s="12"/>
      <c r="F10" s="12"/>
      <c r="G10" s="111" t="s">
        <v>90</v>
      </c>
      <c r="H10" s="111"/>
      <c r="I10" s="65" t="s">
        <v>106</v>
      </c>
      <c r="K10" s="55"/>
      <c r="L10" s="56"/>
      <c r="M10" s="56"/>
      <c r="N10" s="55"/>
      <c r="O10" s="56"/>
      <c r="P10" s="56"/>
      <c r="Q10" s="55"/>
      <c r="R10" s="55"/>
      <c r="S10" s="56"/>
      <c r="T10" s="56"/>
      <c r="U10" s="55"/>
      <c r="V10" s="56"/>
      <c r="W10" s="56"/>
    </row>
    <row r="11" spans="1:23" ht="20.149999999999999" hidden="1" customHeight="1" x14ac:dyDescent="0.3">
      <c r="A11" s="78"/>
      <c r="B11" s="54" t="s">
        <v>116</v>
      </c>
      <c r="C11" s="12"/>
      <c r="D11" s="12"/>
      <c r="E11" s="12"/>
      <c r="F11" s="12"/>
      <c r="G11" s="94" t="s">
        <v>89</v>
      </c>
      <c r="H11" s="94"/>
      <c r="I11" s="66"/>
      <c r="K11" s="55"/>
      <c r="L11" s="56"/>
      <c r="M11" s="56"/>
      <c r="N11" s="55"/>
      <c r="O11" s="55"/>
      <c r="P11" s="56"/>
      <c r="Q11" s="55"/>
      <c r="R11" s="55"/>
      <c r="S11" s="55"/>
      <c r="T11" s="55"/>
      <c r="U11" s="55"/>
      <c r="V11" s="55"/>
      <c r="W11" s="55"/>
    </row>
    <row r="12" spans="1:23" ht="20.149999999999999" customHeight="1" x14ac:dyDescent="0.3">
      <c r="A12" s="77">
        <f>MAX(A$6:A11)+1</f>
        <v>3</v>
      </c>
      <c r="B12" s="54" t="s">
        <v>117</v>
      </c>
      <c r="C12" s="12"/>
      <c r="D12" s="12"/>
      <c r="E12" s="12"/>
      <c r="F12" s="12"/>
      <c r="G12" s="111" t="s">
        <v>90</v>
      </c>
      <c r="H12" s="111"/>
      <c r="I12" s="76" t="s">
        <v>123</v>
      </c>
      <c r="K12" s="55"/>
      <c r="L12" s="56"/>
      <c r="M12" s="56"/>
      <c r="N12" s="55"/>
      <c r="O12" s="55"/>
      <c r="P12" s="56"/>
      <c r="Q12" s="55"/>
      <c r="R12" s="55"/>
      <c r="S12" s="55"/>
      <c r="T12" s="55"/>
      <c r="U12" s="55"/>
      <c r="V12" s="55"/>
      <c r="W12" s="55"/>
    </row>
    <row r="13" spans="1:23" ht="20.149999999999999" customHeight="1" x14ac:dyDescent="0.3">
      <c r="A13" s="77">
        <f>MAX(A$6:A12)+1</f>
        <v>4</v>
      </c>
      <c r="B13" s="54" t="s">
        <v>127</v>
      </c>
      <c r="C13" s="12"/>
      <c r="D13" s="12"/>
      <c r="E13" s="12"/>
      <c r="F13" s="12"/>
      <c r="G13" s="93">
        <f>IF(G$10=B$122,20%,15%)</f>
        <v>0.15</v>
      </c>
      <c r="H13" s="93"/>
      <c r="I13" s="76" t="s">
        <v>122</v>
      </c>
      <c r="K13" s="55"/>
      <c r="L13" s="55"/>
      <c r="M13" s="55"/>
      <c r="N13" s="55"/>
      <c r="O13" s="55"/>
      <c r="P13" s="55"/>
      <c r="Q13" s="55"/>
      <c r="R13" s="55"/>
      <c r="S13" s="55"/>
      <c r="T13" s="55"/>
      <c r="U13" s="55"/>
      <c r="V13" s="55"/>
      <c r="W13" s="55"/>
    </row>
    <row r="14" spans="1:23" ht="20.149999999999999" customHeight="1" x14ac:dyDescent="0.3">
      <c r="A14" s="77">
        <f>MAX(A$6:A13)+1</f>
        <v>5</v>
      </c>
      <c r="B14" s="54" t="s">
        <v>128</v>
      </c>
      <c r="C14" s="12"/>
      <c r="D14" s="12"/>
      <c r="E14" s="12"/>
      <c r="F14" s="12"/>
      <c r="G14" s="93">
        <v>0.1</v>
      </c>
      <c r="H14" s="93"/>
      <c r="I14" s="76"/>
      <c r="K14" s="55"/>
      <c r="L14" s="55"/>
      <c r="M14" s="55"/>
      <c r="N14" s="55"/>
      <c r="O14" s="55"/>
      <c r="P14" s="55"/>
      <c r="Q14" s="55"/>
      <c r="R14" s="55"/>
      <c r="S14" s="55"/>
      <c r="T14" s="55"/>
      <c r="U14" s="55"/>
      <c r="V14" s="55"/>
      <c r="W14" s="55"/>
    </row>
    <row r="15" spans="1:23" ht="20.149999999999999" customHeight="1" x14ac:dyDescent="0.3">
      <c r="A15" s="77">
        <f>MAX(A$6:A14)+1</f>
        <v>6</v>
      </c>
      <c r="B15" s="54" t="s">
        <v>121</v>
      </c>
      <c r="C15" s="12"/>
      <c r="D15" s="12"/>
      <c r="E15" s="12"/>
      <c r="F15" s="12"/>
      <c r="G15" s="93">
        <f>IF(OR(G$10=B$122,G$12&lt;&gt;D$115),0%,5%)</f>
        <v>0</v>
      </c>
      <c r="H15" s="93"/>
      <c r="I15" s="65" t="s">
        <v>122</v>
      </c>
    </row>
    <row r="16" spans="1:23" ht="20.149999999999999" hidden="1" customHeight="1" x14ac:dyDescent="0.3">
      <c r="A16" s="78"/>
      <c r="B16" s="54" t="s">
        <v>118</v>
      </c>
      <c r="C16" s="12"/>
      <c r="D16" s="12"/>
      <c r="E16" s="12"/>
      <c r="F16" s="12"/>
      <c r="G16" s="94" t="s">
        <v>88</v>
      </c>
      <c r="H16" s="94"/>
      <c r="I16" s="66"/>
    </row>
    <row r="17" spans="1:17" ht="20.149999999999999" hidden="1" customHeight="1" x14ac:dyDescent="0.3">
      <c r="A17" s="78"/>
      <c r="B17" s="54" t="str">
        <f>IF(AND(G16&lt;&gt;B110,OR(ISERROR(VLOOKUP(G7,ELI_PU,7)),G7=B39)),"NHTF Funding Amount is TBD ....................................................................................................................................................................................................",IF(OR(VLOOKUP(G7,ELI_PU,7)="Small",G16=B110),"8. No NHTF Funds are available for the proposed Development.................................................................................................................................................","8. The estimated minimum NHTF Loan Amount for the "&amp;TEXT(IF(IFERROR(VLOOKUP(G7,ELI_PU,7),"TBD")="Large",4,IF(IFERROR(VLOOKUP(G7,ELI_PU,7),"TBD")="Medium",3,IF(IFERROR(VLOOKUP(G7,ELI_PU,7),"TBD")="TBD","TBD",0))),"0")&amp;" units, each at "&amp;IF(ISERROR(VLOOKUP(G7,ELI_PU,6)),"TBD",TEXT(MIN(VLOOKUP(G7,ELI_PU,6),N(VLOOKUP(G7,ELI_PU,8))),"$0,000"))&amp;", is........................................................................................................................"))</f>
        <v>NHTF Funding Amount is TBD ....................................................................................................................................................................................................</v>
      </c>
      <c r="C17" s="12"/>
      <c r="D17" s="12"/>
      <c r="E17" s="12"/>
      <c r="F17" s="12"/>
      <c r="G17" s="95" t="str">
        <f>IF(AND(G16&lt;&gt;B110,OR(ISERROR(VLOOKUP(G7,ELI_PU,7)),ISERROR(VLOOKUP(G7,ELI_PU,6)),G7=B39)),"TBD",IF(AND(VLOOKUP(G7,ELI_PU,7)="Medium",G16="Yes"),3*MIN(VLOOKUP(G7,ELI_PU,6),N(VLOOKUP(G7,ELI_PU,8))),IF(AND(VLOOKUP(G7,ELI_PU,7)="Large",G16="Yes"),4*MIN(VLOOKUP(G7,ELI_PU,6),N(VLOOKUP(G7,ELI_PU,8))),"NA")))</f>
        <v>TBD</v>
      </c>
      <c r="H17" s="95"/>
      <c r="I17" s="67" t="str">
        <f>"(§ Four, A, 10. a. (3); "&amp;IF(G16="No","NHTF funds are not available to proposed Developments that are not 100% new construction","The limiting funding criteria is the "&amp;IF(MIN(VLOOKUP(G7,ELI_PU,6),N(VLOOKUP(G7,ELI_PU,8)))=VLOOKUP(G7,ELI_PU,6),"NHTF Set-Aside per unit minimums at Exhibit I, 1.f.(1)","maximum subsidy limits based on Construction Type &amp; ESSC status at Exhibit I, 1.f.(2)"))&amp;")"</f>
        <v>(§ Four, A, 10. a. (3); The limiting funding criteria is the NHTF Set-Aside per unit minimums at Exhibit I, 1.f.(1))</v>
      </c>
    </row>
    <row r="18" spans="1:17" ht="45" customHeight="1" x14ac:dyDescent="0.25">
      <c r="B18" s="118" t="str">
        <f>IF(G10=B122,"Applicants choosing the Average Income Test as the IRS Minimum Set-Aside Commitment are not eligible for separate ELI funding.  ","")&amp;IF(G12=D116,"Applicants choosing the Persons with Development Disabilities Demographic Commitment can request Grant funding, but are not eligible for separate ELI funding.  This template does not assist in sizing a Grant request.","")</f>
        <v/>
      </c>
      <c r="C18" s="118"/>
      <c r="D18" s="118"/>
      <c r="E18" s="118"/>
      <c r="F18" s="118"/>
      <c r="G18" s="118"/>
      <c r="H18" s="118"/>
      <c r="I18" s="118"/>
    </row>
    <row r="19" spans="1:17" x14ac:dyDescent="0.25">
      <c r="B19" s="12"/>
      <c r="C19" s="12"/>
      <c r="D19" s="12"/>
      <c r="E19" s="12"/>
      <c r="F19" s="12"/>
      <c r="G19" s="13"/>
      <c r="H19" s="12"/>
    </row>
    <row r="20" spans="1:17" ht="13.5" thickBot="1" x14ac:dyDescent="0.3">
      <c r="B20" s="1" t="s">
        <v>0</v>
      </c>
      <c r="C20" s="1" t="s">
        <v>1</v>
      </c>
      <c r="D20" s="1" t="s">
        <v>2</v>
      </c>
      <c r="E20" s="1" t="s">
        <v>3</v>
      </c>
      <c r="F20" s="1" t="s">
        <v>4</v>
      </c>
      <c r="G20" s="1" t="s">
        <v>5</v>
      </c>
      <c r="H20" s="1" t="s">
        <v>6</v>
      </c>
    </row>
    <row r="21" spans="1:17" ht="68" customHeight="1" x14ac:dyDescent="0.3">
      <c r="B21" s="2" t="s">
        <v>7</v>
      </c>
      <c r="C21" s="3" t="s">
        <v>8</v>
      </c>
      <c r="D21" s="3" t="str">
        <f>"Distribution of Applicant's overall "&amp;TEXT(G13,"0%")&amp;" ELI Commitment"</f>
        <v>Distribution of Applicant's overall 15% ELI Commitment</v>
      </c>
      <c r="E21" s="4" t="str">
        <f>"Distribution of "&amp;TEXT(G14,"0%")&amp;" ELI Commitment from 9% HC funding"</f>
        <v>Distribution of 10% ELI Commitment from 9% HC funding</v>
      </c>
      <c r="F21" s="4" t="str">
        <f>"Distribution of ELI Units eligible to be funded from a"&amp;IF(G12=D116," Grant","n ELI Loan")</f>
        <v>Distribution of ELI Units eligible to be funded from an ELI Loan</v>
      </c>
      <c r="G21" s="3" t="str">
        <f>"Maximum "&amp;IF(G12=D116," Grant","ELI Loan")&amp;" allowable for each Unit Size"</f>
        <v>Maximum ELI Loan allowable for each Unit Size</v>
      </c>
      <c r="H21" s="37" t="str">
        <f>"Maximum "&amp;IF(G12=D116," Grant","ELI Loan")&amp;""</f>
        <v>Maximum ELI Loan</v>
      </c>
      <c r="I21" s="62" t="s">
        <v>102</v>
      </c>
      <c r="J21" s="88"/>
    </row>
    <row r="22" spans="1:17" ht="3.9" customHeight="1" x14ac:dyDescent="0.25">
      <c r="B22" s="14"/>
      <c r="C22" s="5"/>
      <c r="D22" s="15"/>
      <c r="E22" s="15"/>
      <c r="F22" s="15"/>
      <c r="G22" s="16"/>
      <c r="H22" s="38"/>
      <c r="I22" s="61"/>
      <c r="J22" s="65"/>
    </row>
    <row r="23" spans="1:17" ht="13.25" hidden="1" customHeight="1" x14ac:dyDescent="0.25">
      <c r="B23" s="91" t="s">
        <v>124</v>
      </c>
      <c r="C23" s="45">
        <v>0</v>
      </c>
      <c r="D23" s="18">
        <f>ROUNDUP(D120*N(G$13),0)-SUM(D$22:D22)</f>
        <v>0</v>
      </c>
      <c r="E23" s="89">
        <f>IF(G$10=B$122,D23,ROUNDUP(D120*N(G$14),0)-SUM(E$22:E22))</f>
        <v>0</v>
      </c>
      <c r="F23" s="89">
        <f>IF(G$10=B$122,0,D23-E23)</f>
        <v>0</v>
      </c>
      <c r="G23" s="19">
        <f>IF(G$12=D$116,"Inclusive",IF(ISERROR(VLOOKUP(G$7,ELI_PU,6)),"",0*IF(G$10=B$122,0,VLOOKUP(G$7,ELI_PU,6))))</f>
        <v>0</v>
      </c>
      <c r="H23" s="39">
        <f t="shared" ref="H23:H28" si="0">IF(G$12=D$116,"Inclusive",IF(ISERROR(G23*F23),0,G23*F23))</f>
        <v>0</v>
      </c>
      <c r="I23" s="63">
        <f>IF(C$30=0,0,C23/C$30)</f>
        <v>0</v>
      </c>
      <c r="J23" s="87" t="str">
        <f>IF(AND(G12=D115,C23&gt;0),"(IROs are not allowed with the selected Demographic Commitment)",IF(AND(G12=D116,C23&gt;0,C23/2&lt;&gt;ROUND(C23/2,0)),"(Total IRO units must be an even amount.)",""))</f>
        <v/>
      </c>
      <c r="Q23" s="84"/>
    </row>
    <row r="24" spans="1:17" ht="13" x14ac:dyDescent="0.25">
      <c r="B24" s="17">
        <v>0</v>
      </c>
      <c r="C24" s="45">
        <v>0</v>
      </c>
      <c r="D24" s="18">
        <f>ROUNDUP(D121*N(G$13),0)-SUM(D$22:D23)</f>
        <v>0</v>
      </c>
      <c r="E24" s="89">
        <f>IF(G$10=B$122,D24,ROUNDUP(D121*N(G$14),0)-SUM(E$22:E23))</f>
        <v>0</v>
      </c>
      <c r="F24" s="89">
        <f t="shared" ref="F24:F28" si="1">IF(G$10=B$122,0,D24-E24)</f>
        <v>0</v>
      </c>
      <c r="G24" s="19">
        <f>IF(G$12=D$116,"Inclusive",IF(ISERROR(VLOOKUP(G$7,ELI_PU,3)),"",IF(G$10=B$122,0,VLOOKUP(G$7,ELI_PU,3))))</f>
        <v>0</v>
      </c>
      <c r="H24" s="39">
        <f t="shared" si="0"/>
        <v>0</v>
      </c>
      <c r="I24" s="63">
        <f>IF(C$30=0,0,C24/C$30)</f>
        <v>0</v>
      </c>
      <c r="J24" s="85" t="str">
        <f>IF(OR(G$12=D$115,AND(G$12=D$116,C$23=0)),"(Given "&amp;TEXT(C$30,"0")&amp;" total units, maximum 0 Bd units is "&amp;TEXT(ROUNDUP(50%*C$30,0),"0")&amp;".)","")</f>
        <v/>
      </c>
      <c r="K24" s="86"/>
      <c r="L24" s="86"/>
      <c r="M24" s="86"/>
      <c r="N24" s="86"/>
      <c r="O24" s="86"/>
      <c r="Q24" s="84"/>
    </row>
    <row r="25" spans="1:17" ht="13" x14ac:dyDescent="0.25">
      <c r="B25" s="20">
        <v>1</v>
      </c>
      <c r="C25" s="46">
        <v>0</v>
      </c>
      <c r="D25" s="18">
        <f>ROUNDUP(D122*N(G$13),0)-SUM(D$22:D24)</f>
        <v>0</v>
      </c>
      <c r="E25" s="89">
        <f>IF(G$10=B$122,D25,ROUNDUP(D122*N(G$14),0)-SUM(E$22:E24))</f>
        <v>0</v>
      </c>
      <c r="F25" s="89">
        <f t="shared" si="1"/>
        <v>0</v>
      </c>
      <c r="G25" s="19">
        <f>IF(G$12=D$116,"Inclusive",IF(ISERROR(VLOOKUP(G$7,ELI_PU,3)),"",IF(G$10=B$122,0,VLOOKUP(G$7,ELI_PU,3))))</f>
        <v>0</v>
      </c>
      <c r="H25" s="39">
        <f t="shared" si="0"/>
        <v>0</v>
      </c>
      <c r="I25" s="63">
        <f t="shared" ref="I25:I28" si="2">IF(C$30=0,0,C25/C$30)</f>
        <v>0</v>
      </c>
      <c r="J25" s="85" t="str">
        <f>IF(OR(G$12=D$115,AND(G$12=D$116,C$23=0)),"(Given "&amp;TEXT(C$30,"0")&amp;" total units, minimum 1 Bd units is "&amp;TEXT(ROUNDUP(50%*C$30,0),"0")&amp;".)",IF(AND(G$12=D$116,C$23&gt;0),"(Given "&amp;TEXT(C$30-C$23+C$23/2,"0")&amp;" total units, minimum 1 Bd units is "&amp;TEXT(ROUNDUP(50%*(C$30-C$23+C$23/2),0),"0")&amp;".)",""))</f>
        <v/>
      </c>
      <c r="K25" s="86"/>
      <c r="L25" s="86"/>
      <c r="M25" s="86"/>
      <c r="N25" s="86"/>
      <c r="O25" s="86"/>
      <c r="Q25" s="84"/>
    </row>
    <row r="26" spans="1:17" ht="13" x14ac:dyDescent="0.25">
      <c r="B26" s="20">
        <v>2</v>
      </c>
      <c r="C26" s="46">
        <v>0</v>
      </c>
      <c r="D26" s="18">
        <f>ROUNDUP(D123*N(G$13),0)-SUM(D$22:D25)</f>
        <v>0</v>
      </c>
      <c r="E26" s="89">
        <f>IF(G$10=B$122,D26,ROUNDUP(D123*N(G$14),0)-SUM(E$22:E25))</f>
        <v>0</v>
      </c>
      <c r="F26" s="89">
        <f t="shared" si="1"/>
        <v>0</v>
      </c>
      <c r="G26" s="19">
        <f>IF(G$12=D$116,"Inclusive",IF(ISERROR(VLOOKUP(G$7,ELI_PU,4)),"",IF(G$10=B$122,0,VLOOKUP(G$7,ELI_PU,4))))</f>
        <v>0</v>
      </c>
      <c r="H26" s="39">
        <f t="shared" si="0"/>
        <v>0</v>
      </c>
      <c r="I26" s="63">
        <f t="shared" si="2"/>
        <v>0</v>
      </c>
      <c r="J26" s="65" t="str">
        <f>IF(AND(G$12=D$116,C$23&gt;0),"(Given "&amp;TEXT(C$30-C$23+C$23/2,"0")&amp;" total units, maximum 2 Bd units is "&amp;TEXT(MIN(11,ROUNDDOWN(25%*(C$30-C$23+C$23/2),0)),"0")&amp;".)","")</f>
        <v/>
      </c>
      <c r="Q26" s="84"/>
    </row>
    <row r="27" spans="1:17" ht="13" hidden="1" x14ac:dyDescent="0.25">
      <c r="B27" s="90">
        <v>3</v>
      </c>
      <c r="C27" s="46">
        <v>0</v>
      </c>
      <c r="D27" s="21">
        <f>ROUNDUP(D124*N(G$13),0)-SUM(D$22:D26)</f>
        <v>0</v>
      </c>
      <c r="E27" s="89">
        <f>IF(G$10=B$122,D27,ROUNDUP(D124*N(G$14),0)-SUM(E$22:E26))</f>
        <v>0</v>
      </c>
      <c r="F27" s="89">
        <f t="shared" si="1"/>
        <v>0</v>
      </c>
      <c r="G27" s="19">
        <f>IF(G$12=D$116,"Inclusive",IF(ISERROR(VLOOKUP(G$7,ELI_PU,5)),"",IF(G$10=B$122,0,VLOOKUP(G$7,ELI_PU,5))))</f>
        <v>0</v>
      </c>
      <c r="H27" s="39">
        <f t="shared" si="0"/>
        <v>0</v>
      </c>
      <c r="I27" s="63">
        <f t="shared" si="2"/>
        <v>0</v>
      </c>
      <c r="J27" s="65" t="str">
        <f>"(Maximum is 25%, rounded up, or "&amp;TEXT(ROUNDUP(25%*C$30,0),"#,##0")&amp;" units)"</f>
        <v>(Maximum is 25%, rounded up, or 0 units)</v>
      </c>
      <c r="Q27" s="84"/>
    </row>
    <row r="28" spans="1:17" ht="13" hidden="1" x14ac:dyDescent="0.25">
      <c r="B28" s="90">
        <v>4</v>
      </c>
      <c r="C28" s="46">
        <v>0</v>
      </c>
      <c r="D28" s="21">
        <f>ROUNDUP(D125*N(G$13),0)-SUM(D$22:D27)</f>
        <v>0</v>
      </c>
      <c r="E28" s="89">
        <f>IF(G$10=B$122,D28,ROUNDUP(D125*N(G$14),0)-SUM(E$22:E27))</f>
        <v>0</v>
      </c>
      <c r="F28" s="89">
        <f t="shared" si="1"/>
        <v>0</v>
      </c>
      <c r="G28" s="19">
        <f>IF(G$12=D$116,"Inclusive",IF(ISERROR(VLOOKUP(G$7,ELI_PU,5)),"",IF(G$10=B$122,0,VLOOKUP(G$7,ELI_PU,5))))</f>
        <v>0</v>
      </c>
      <c r="H28" s="39">
        <f t="shared" si="0"/>
        <v>0</v>
      </c>
      <c r="I28" s="63">
        <f t="shared" si="2"/>
        <v>0</v>
      </c>
      <c r="J28" s="65" t="s">
        <v>103</v>
      </c>
      <c r="Q28" s="84"/>
    </row>
    <row r="29" spans="1:17" ht="3.9" customHeight="1" thickBot="1" x14ac:dyDescent="0.3">
      <c r="B29" s="22"/>
      <c r="C29" s="6"/>
      <c r="D29" s="23"/>
      <c r="E29" s="24"/>
      <c r="F29" s="24"/>
      <c r="G29" s="25"/>
      <c r="H29" s="40"/>
      <c r="I29" s="60"/>
    </row>
    <row r="30" spans="1:17" ht="14" thickTop="1" thickBot="1" x14ac:dyDescent="0.3">
      <c r="B30" s="7" t="s">
        <v>10</v>
      </c>
      <c r="C30" s="42">
        <f>SUM(C22:C29)</f>
        <v>0</v>
      </c>
      <c r="D30" s="26">
        <f>SUM(D22:D29)</f>
        <v>0</v>
      </c>
      <c r="E30" s="26">
        <f>SUM(E22:E29)</f>
        <v>0</v>
      </c>
      <c r="F30" s="26">
        <f>SUM(F22:F29)</f>
        <v>0</v>
      </c>
      <c r="G30" s="27" t="str">
        <f>IF(G$12=D$116,"Inclusive",IF(F30=0,"",SUMPRODUCT(G22:G28,F22:F28)/F30))</f>
        <v/>
      </c>
      <c r="H30" s="41">
        <f>IF(G$12=D$116,"Inclusive",MIN($C$112,SUM(H22:H29)))</f>
        <v>0</v>
      </c>
      <c r="I30" s="64">
        <f>SUM(I22:I29)</f>
        <v>0</v>
      </c>
    </row>
    <row r="31" spans="1:17" ht="12.75" customHeight="1" x14ac:dyDescent="0.25">
      <c r="B31" s="12"/>
      <c r="C31" s="98" t="s">
        <v>82</v>
      </c>
      <c r="D31" s="101" t="str">
        <f>TEXT(D30,"0")&amp;" ELI units is "&amp;TEXT(IF($C30=0,0,D30/$C30),"0.00%")&amp;" of "&amp;TEXT(N($C30),"0")&amp;" total units."</f>
        <v>0 ELI units is 0.00% of 0 total units.</v>
      </c>
      <c r="E31" s="104" t="str">
        <f>TEXT(E30,"0")&amp;" ELI units is "&amp;TEXT(IF($C30=0,0,E30/$C30),"0.00%")&amp;" of "&amp;TEXT(N($C30),"0")&amp;" total units."</f>
        <v>0 ELI units is 0.00% of 0 total units.</v>
      </c>
      <c r="F31" s="104" t="str">
        <f>TEXT(F30,"0")&amp;" ELI unit"&amp;IF(F30&lt;2,"","s")&amp;" is "&amp;TEXT(IF($C30=0,0,F30/$C30),"0.00%")&amp;" of "&amp;TEXT(N($C30),"0")&amp;" total units."</f>
        <v>0 ELI unit is 0.00% of 0 total units.</v>
      </c>
      <c r="G31" s="107" t="str">
        <f>IF(SUM(H22:H29)&gt;H30,"The ELI Loan is capped at "&amp;TEXT($C$112,"$#,##0")&amp;".","")</f>
        <v/>
      </c>
      <c r="H31" s="96" t="str">
        <f>"Maximum amount of "&amp;IF(G12=D116," Grant","ELI Loan")&amp;" eligible to request"</f>
        <v>Maximum amount of ELI Loan eligible to request</v>
      </c>
    </row>
    <row r="32" spans="1:17" x14ac:dyDescent="0.25">
      <c r="B32" s="12"/>
      <c r="C32" s="99"/>
      <c r="D32" s="102"/>
      <c r="E32" s="105"/>
      <c r="F32" s="105"/>
      <c r="G32" s="108"/>
      <c r="H32" s="96"/>
    </row>
    <row r="33" spans="2:13" x14ac:dyDescent="0.25">
      <c r="B33" s="12"/>
      <c r="C33" s="99"/>
      <c r="D33" s="103"/>
      <c r="E33" s="106"/>
      <c r="F33" s="106"/>
      <c r="G33" s="108"/>
      <c r="H33" s="96"/>
    </row>
    <row r="34" spans="2:13" ht="13.75" customHeight="1" thickBot="1" x14ac:dyDescent="0.3">
      <c r="B34" s="12"/>
      <c r="C34" s="100"/>
      <c r="F34" s="12"/>
      <c r="G34" s="108"/>
      <c r="H34" s="97"/>
    </row>
    <row r="35" spans="2:13" ht="13" thickTop="1" x14ac:dyDescent="0.25">
      <c r="B35" s="12"/>
      <c r="C35" s="28"/>
      <c r="F35" s="12"/>
      <c r="G35" s="12"/>
      <c r="H35" s="12"/>
    </row>
    <row r="36" spans="2:13" ht="6" customHeight="1" x14ac:dyDescent="0.25">
      <c r="B36" s="12"/>
      <c r="C36" s="12"/>
      <c r="F36" s="12"/>
      <c r="G36" s="12"/>
      <c r="H36" s="12"/>
    </row>
    <row r="37" spans="2:13" ht="13.5" hidden="1" thickBot="1" x14ac:dyDescent="0.35">
      <c r="B37" s="10" t="s">
        <v>108</v>
      </c>
      <c r="C37" s="12"/>
      <c r="D37" s="12"/>
      <c r="E37" s="12"/>
      <c r="F37" s="12"/>
      <c r="G37" s="12"/>
      <c r="H37" s="12"/>
    </row>
    <row r="38" spans="2:13" ht="48.75" hidden="1" customHeight="1" thickBot="1" x14ac:dyDescent="0.35">
      <c r="B38" s="29" t="s">
        <v>11</v>
      </c>
      <c r="C38" s="30" t="s">
        <v>96</v>
      </c>
      <c r="D38" s="30" t="s">
        <v>12</v>
      </c>
      <c r="E38" s="30" t="s">
        <v>13</v>
      </c>
      <c r="F38" s="75" t="s">
        <v>14</v>
      </c>
      <c r="G38" s="79" t="s">
        <v>125</v>
      </c>
      <c r="H38" s="47" t="s">
        <v>87</v>
      </c>
      <c r="I38" s="47" t="s">
        <v>109</v>
      </c>
      <c r="J38" s="125" t="str">
        <f>"
As a note, one (1) less Funded ELI unit (column ""E"", "&amp;TEXT(IF(F30-1&lt;0,0,F30-1),"0")&amp;" total ELI units) is "&amp;TEXT(IF($C30=0,0,(F30-1)/$C30),"0.00%")&amp;" of "&amp;TEXT(N($C30),"0")&amp;" total units.  
"&amp;IF(OR(G15=G13,N(G13)=0),"","In addition, one (1) less ELI Unit Commitment (column ""C"", "&amp;TEXT(IF(D30-1&lt;0,0,D30-1),"0")&amp;" total ELI Committed units) is "&amp;TEXT(IF($C30=0,0,(D30-1)/$C30),"0.00%")&amp;" of "&amp;TEXT(N($C30),"0")&amp;" total units.")</f>
        <v xml:space="preserve">
As a note, one (1) less Funded ELI unit (column "E", 0 total ELI units) is 0.00% of 0 total units.  
In addition, one (1) less ELI Unit Commitment (column "C", 0 total ELI Committed units) is 0.00% of 0 total units.</v>
      </c>
      <c r="K38" s="126"/>
      <c r="L38" s="119" t="str">
        <f>IF($C30=0,"","1 less ELI unit in Column ""C"" yields only "&amp;TEXT((D30-1)/$C30,"0.00%")&amp;" of "&amp;TEXT($C30,"0")&amp;" total units.")</f>
        <v/>
      </c>
      <c r="M38" s="120"/>
    </row>
    <row r="39" spans="2:13" ht="4.5" hidden="1" customHeight="1" x14ac:dyDescent="0.3">
      <c r="B39" s="43" t="s">
        <v>83</v>
      </c>
      <c r="C39" s="31"/>
      <c r="D39" s="31"/>
      <c r="E39" s="31"/>
      <c r="F39" s="32"/>
      <c r="G39" s="80"/>
      <c r="H39" s="48"/>
      <c r="I39" s="48"/>
      <c r="J39" s="127"/>
      <c r="K39" s="128"/>
      <c r="L39" s="121"/>
      <c r="M39" s="122"/>
    </row>
    <row r="40" spans="2:13" hidden="1" x14ac:dyDescent="0.25">
      <c r="B40" s="33" t="s">
        <v>15</v>
      </c>
      <c r="C40" s="8">
        <v>0.33</v>
      </c>
      <c r="D40" s="34">
        <v>67700</v>
      </c>
      <c r="E40" s="34">
        <v>79400</v>
      </c>
      <c r="F40" s="72">
        <v>89500</v>
      </c>
      <c r="G40" s="81">
        <v>58700</v>
      </c>
      <c r="H40" s="49" t="s">
        <v>84</v>
      </c>
      <c r="I40" s="49"/>
      <c r="J40" s="127"/>
      <c r="K40" s="128"/>
      <c r="L40" s="123"/>
      <c r="M40" s="124"/>
    </row>
    <row r="41" spans="2:13" hidden="1" x14ac:dyDescent="0.25">
      <c r="B41" s="35" t="s">
        <v>16</v>
      </c>
      <c r="C41" s="9">
        <v>0.33</v>
      </c>
      <c r="D41" s="36">
        <v>68800</v>
      </c>
      <c r="E41" s="36">
        <v>80700</v>
      </c>
      <c r="F41" s="73">
        <v>91000</v>
      </c>
      <c r="G41" s="82">
        <v>59900</v>
      </c>
      <c r="H41" s="50" t="s">
        <v>85</v>
      </c>
      <c r="I41" s="50"/>
      <c r="J41" s="127"/>
      <c r="K41" s="128"/>
    </row>
    <row r="42" spans="2:13" ht="13.25" hidden="1" customHeight="1" x14ac:dyDescent="0.25">
      <c r="B42" s="35" t="s">
        <v>17</v>
      </c>
      <c r="C42" s="9">
        <v>0.33</v>
      </c>
      <c r="D42" s="36">
        <v>67300</v>
      </c>
      <c r="E42" s="36">
        <v>78800</v>
      </c>
      <c r="F42" s="73">
        <v>89000</v>
      </c>
      <c r="G42" s="82">
        <v>58500</v>
      </c>
      <c r="H42" s="50" t="s">
        <v>84</v>
      </c>
      <c r="I42" s="50"/>
      <c r="J42" s="127"/>
      <c r="K42" s="128"/>
      <c r="L42" s="119" t="str">
        <f>IF($C30=0,"","1 less ELI unit in Column ""D"" yields only "&amp;TEXT((E30-1)/$C30,"0.00%")&amp;" of "&amp;TEXT($C30,"0")&amp;" total units.")</f>
        <v/>
      </c>
      <c r="M42" s="120"/>
    </row>
    <row r="43" spans="2:13" hidden="1" x14ac:dyDescent="0.25">
      <c r="B43" s="35" t="s">
        <v>18</v>
      </c>
      <c r="C43" s="9">
        <v>0.4</v>
      </c>
      <c r="D43" s="36">
        <v>42600</v>
      </c>
      <c r="E43" s="36">
        <v>50000</v>
      </c>
      <c r="F43" s="73">
        <v>56300</v>
      </c>
      <c r="G43" s="82">
        <v>37000</v>
      </c>
      <c r="H43" s="50" t="s">
        <v>85</v>
      </c>
      <c r="I43" s="50"/>
      <c r="J43" s="127"/>
      <c r="K43" s="128"/>
      <c r="L43" s="121"/>
      <c r="M43" s="122"/>
    </row>
    <row r="44" spans="2:13" hidden="1" x14ac:dyDescent="0.25">
      <c r="B44" s="35" t="s">
        <v>19</v>
      </c>
      <c r="C44" s="9">
        <v>0.33</v>
      </c>
      <c r="D44" s="36">
        <v>67100</v>
      </c>
      <c r="E44" s="36">
        <v>78600</v>
      </c>
      <c r="F44" s="73">
        <v>88600</v>
      </c>
      <c r="G44" s="82">
        <v>58200</v>
      </c>
      <c r="H44" s="50" t="s">
        <v>84</v>
      </c>
      <c r="I44" s="50"/>
      <c r="J44" s="127"/>
      <c r="K44" s="128"/>
      <c r="L44" s="121"/>
      <c r="M44" s="122"/>
    </row>
    <row r="45" spans="2:13" hidden="1" x14ac:dyDescent="0.25">
      <c r="B45" s="35" t="s">
        <v>20</v>
      </c>
      <c r="C45" s="9">
        <v>0.25</v>
      </c>
      <c r="D45" s="36">
        <v>111800</v>
      </c>
      <c r="E45" s="36">
        <v>131100</v>
      </c>
      <c r="F45" s="73">
        <v>147800</v>
      </c>
      <c r="G45" s="82">
        <v>97100</v>
      </c>
      <c r="H45" s="50" t="s">
        <v>86</v>
      </c>
      <c r="I45" s="50"/>
      <c r="J45" s="127"/>
      <c r="K45" s="128"/>
      <c r="L45" s="123"/>
      <c r="M45" s="124"/>
    </row>
    <row r="46" spans="2:13" hidden="1" x14ac:dyDescent="0.25">
      <c r="B46" s="35" t="s">
        <v>21</v>
      </c>
      <c r="C46" s="9">
        <v>0.4</v>
      </c>
      <c r="D46" s="36">
        <v>37900</v>
      </c>
      <c r="E46" s="36">
        <v>44400</v>
      </c>
      <c r="F46" s="73">
        <v>50100</v>
      </c>
      <c r="G46" s="82">
        <v>32900</v>
      </c>
      <c r="H46" s="50" t="s">
        <v>85</v>
      </c>
      <c r="I46" s="50"/>
      <c r="J46" s="127"/>
      <c r="K46" s="128"/>
    </row>
    <row r="47" spans="2:13" hidden="1" x14ac:dyDescent="0.25">
      <c r="B47" s="35" t="s">
        <v>22</v>
      </c>
      <c r="C47" s="9">
        <v>0.4</v>
      </c>
      <c r="D47" s="36">
        <v>44400</v>
      </c>
      <c r="E47" s="36">
        <v>51900</v>
      </c>
      <c r="F47" s="73">
        <v>58500</v>
      </c>
      <c r="G47" s="82">
        <v>38400</v>
      </c>
      <c r="H47" s="50" t="s">
        <v>84</v>
      </c>
      <c r="I47" s="50"/>
      <c r="J47" s="127"/>
      <c r="K47" s="128"/>
    </row>
    <row r="48" spans="2:13" hidden="1" x14ac:dyDescent="0.25">
      <c r="B48" s="35" t="s">
        <v>23</v>
      </c>
      <c r="C48" s="9">
        <v>0.4</v>
      </c>
      <c r="D48" s="36">
        <v>40100</v>
      </c>
      <c r="E48" s="36">
        <v>47100</v>
      </c>
      <c r="F48" s="73">
        <v>53000</v>
      </c>
      <c r="G48" s="82">
        <v>34900</v>
      </c>
      <c r="H48" s="50" t="s">
        <v>84</v>
      </c>
      <c r="I48" s="50"/>
      <c r="J48" s="129"/>
      <c r="K48" s="130"/>
    </row>
    <row r="49" spans="2:9" hidden="1" x14ac:dyDescent="0.25">
      <c r="B49" s="35" t="s">
        <v>24</v>
      </c>
      <c r="C49" s="9">
        <v>0.3</v>
      </c>
      <c r="D49" s="36">
        <v>80700</v>
      </c>
      <c r="E49" s="36">
        <v>94500</v>
      </c>
      <c r="F49" s="73">
        <v>106600</v>
      </c>
      <c r="G49" s="82">
        <v>70100</v>
      </c>
      <c r="H49" s="50" t="s">
        <v>84</v>
      </c>
      <c r="I49" s="50"/>
    </row>
    <row r="50" spans="2:9" hidden="1" x14ac:dyDescent="0.25">
      <c r="B50" s="35" t="s">
        <v>25</v>
      </c>
      <c r="C50" s="9">
        <v>0.28000000000000003</v>
      </c>
      <c r="D50" s="36">
        <v>94600</v>
      </c>
      <c r="E50" s="36">
        <v>110700</v>
      </c>
      <c r="F50" s="73">
        <v>124900</v>
      </c>
      <c r="G50" s="82">
        <v>82200</v>
      </c>
      <c r="H50" s="50" t="s">
        <v>84</v>
      </c>
      <c r="I50" s="50"/>
    </row>
    <row r="51" spans="2:9" hidden="1" x14ac:dyDescent="0.25">
      <c r="B51" s="35" t="s">
        <v>26</v>
      </c>
      <c r="C51" s="9">
        <v>0.4</v>
      </c>
      <c r="D51" s="36">
        <v>40100</v>
      </c>
      <c r="E51" s="36">
        <v>47100</v>
      </c>
      <c r="F51" s="73">
        <v>53000</v>
      </c>
      <c r="G51" s="82">
        <v>34900</v>
      </c>
      <c r="H51" s="50" t="s">
        <v>85</v>
      </c>
      <c r="I51" s="50"/>
    </row>
    <row r="52" spans="2:9" hidden="1" x14ac:dyDescent="0.25">
      <c r="B52" s="35" t="s">
        <v>27</v>
      </c>
      <c r="C52" s="9">
        <v>0.4</v>
      </c>
      <c r="D52" s="36">
        <v>37900</v>
      </c>
      <c r="E52" s="36">
        <v>44400</v>
      </c>
      <c r="F52" s="73">
        <v>50100</v>
      </c>
      <c r="G52" s="82">
        <v>32900</v>
      </c>
      <c r="H52" s="50" t="s">
        <v>85</v>
      </c>
      <c r="I52" s="50"/>
    </row>
    <row r="53" spans="2:9" hidden="1" x14ac:dyDescent="0.25">
      <c r="B53" s="35" t="s">
        <v>28</v>
      </c>
      <c r="C53" s="9">
        <v>0.4</v>
      </c>
      <c r="D53" s="36">
        <v>37900</v>
      </c>
      <c r="E53" s="36">
        <v>44400</v>
      </c>
      <c r="F53" s="73">
        <v>50100</v>
      </c>
      <c r="G53" s="82">
        <v>32900</v>
      </c>
      <c r="H53" s="50" t="s">
        <v>85</v>
      </c>
      <c r="I53" s="50"/>
    </row>
    <row r="54" spans="2:9" hidden="1" x14ac:dyDescent="0.25">
      <c r="B54" s="35" t="s">
        <v>29</v>
      </c>
      <c r="C54" s="9">
        <v>0.3</v>
      </c>
      <c r="D54" s="36">
        <v>80700</v>
      </c>
      <c r="E54" s="36">
        <v>94500</v>
      </c>
      <c r="F54" s="73">
        <v>106600</v>
      </c>
      <c r="G54" s="82">
        <v>70100</v>
      </c>
      <c r="H54" s="50" t="s">
        <v>86</v>
      </c>
      <c r="I54" s="50"/>
    </row>
    <row r="55" spans="2:9" hidden="1" x14ac:dyDescent="0.25">
      <c r="B55" s="35" t="s">
        <v>30</v>
      </c>
      <c r="C55" s="9">
        <v>0.35</v>
      </c>
      <c r="D55" s="36">
        <v>59100</v>
      </c>
      <c r="E55" s="36">
        <v>69500</v>
      </c>
      <c r="F55" s="73">
        <v>78200</v>
      </c>
      <c r="G55" s="82">
        <v>51400</v>
      </c>
      <c r="H55" s="50" t="s">
        <v>84</v>
      </c>
      <c r="I55" s="50"/>
    </row>
    <row r="56" spans="2:9" hidden="1" x14ac:dyDescent="0.25">
      <c r="B56" s="35" t="s">
        <v>31</v>
      </c>
      <c r="C56" s="9">
        <v>0.35</v>
      </c>
      <c r="D56" s="36">
        <v>58900</v>
      </c>
      <c r="E56" s="36">
        <v>68900</v>
      </c>
      <c r="F56" s="73">
        <v>77700</v>
      </c>
      <c r="G56" s="82">
        <v>51200</v>
      </c>
      <c r="H56" s="50" t="s">
        <v>84</v>
      </c>
      <c r="I56" s="50"/>
    </row>
    <row r="57" spans="2:9" hidden="1" x14ac:dyDescent="0.25">
      <c r="B57" s="35" t="s">
        <v>32</v>
      </c>
      <c r="C57" s="9">
        <v>0.4</v>
      </c>
      <c r="D57" s="36">
        <v>39800</v>
      </c>
      <c r="E57" s="36">
        <v>46500</v>
      </c>
      <c r="F57" s="73">
        <v>52500</v>
      </c>
      <c r="G57" s="82">
        <v>34500</v>
      </c>
      <c r="H57" s="50" t="s">
        <v>85</v>
      </c>
      <c r="I57" s="50"/>
    </row>
    <row r="58" spans="2:9" hidden="1" x14ac:dyDescent="0.25">
      <c r="B58" s="35" t="s">
        <v>33</v>
      </c>
      <c r="C58" s="9">
        <v>0.33</v>
      </c>
      <c r="D58" s="36">
        <v>70400</v>
      </c>
      <c r="E58" s="36">
        <v>82500</v>
      </c>
      <c r="F58" s="73">
        <v>93000</v>
      </c>
      <c r="G58" s="82">
        <v>61200</v>
      </c>
      <c r="H58" s="50" t="s">
        <v>85</v>
      </c>
      <c r="I58" s="50"/>
    </row>
    <row r="59" spans="2:9" hidden="1" x14ac:dyDescent="0.25">
      <c r="B59" s="35" t="s">
        <v>34</v>
      </c>
      <c r="C59" s="9">
        <v>0.33</v>
      </c>
      <c r="D59" s="36">
        <v>67700</v>
      </c>
      <c r="E59" s="36">
        <v>79400</v>
      </c>
      <c r="F59" s="73">
        <v>89500</v>
      </c>
      <c r="G59" s="82">
        <v>58700</v>
      </c>
      <c r="H59" s="50" t="s">
        <v>85</v>
      </c>
      <c r="I59" s="50"/>
    </row>
    <row r="60" spans="2:9" hidden="1" x14ac:dyDescent="0.25">
      <c r="B60" s="35" t="s">
        <v>35</v>
      </c>
      <c r="C60" s="9">
        <v>0.4</v>
      </c>
      <c r="D60" s="36">
        <v>37900</v>
      </c>
      <c r="E60" s="36">
        <v>44400</v>
      </c>
      <c r="F60" s="73">
        <v>50100</v>
      </c>
      <c r="G60" s="82">
        <v>32900</v>
      </c>
      <c r="H60" s="50" t="s">
        <v>85</v>
      </c>
      <c r="I60" s="50"/>
    </row>
    <row r="61" spans="2:9" hidden="1" x14ac:dyDescent="0.25">
      <c r="B61" s="35" t="s">
        <v>36</v>
      </c>
      <c r="C61" s="9">
        <v>0.4</v>
      </c>
      <c r="D61" s="36">
        <v>42100</v>
      </c>
      <c r="E61" s="36">
        <v>49300</v>
      </c>
      <c r="F61" s="73">
        <v>55600</v>
      </c>
      <c r="G61" s="82">
        <v>36500</v>
      </c>
      <c r="H61" s="50" t="s">
        <v>85</v>
      </c>
      <c r="I61" s="50"/>
    </row>
    <row r="62" spans="2:9" hidden="1" x14ac:dyDescent="0.25">
      <c r="B62" s="35" t="s">
        <v>37</v>
      </c>
      <c r="C62" s="9">
        <v>0.4</v>
      </c>
      <c r="D62" s="36">
        <v>37900</v>
      </c>
      <c r="E62" s="36">
        <v>44400</v>
      </c>
      <c r="F62" s="73">
        <v>50100</v>
      </c>
      <c r="G62" s="82">
        <v>32900</v>
      </c>
      <c r="H62" s="50" t="s">
        <v>85</v>
      </c>
      <c r="I62" s="50"/>
    </row>
    <row r="63" spans="2:9" hidden="1" x14ac:dyDescent="0.25">
      <c r="B63" s="35" t="s">
        <v>38</v>
      </c>
      <c r="C63" s="9">
        <v>0.4</v>
      </c>
      <c r="D63" s="36">
        <v>37900</v>
      </c>
      <c r="E63" s="36">
        <v>44400</v>
      </c>
      <c r="F63" s="73">
        <v>50100</v>
      </c>
      <c r="G63" s="82">
        <v>32900</v>
      </c>
      <c r="H63" s="50" t="s">
        <v>85</v>
      </c>
      <c r="I63" s="50"/>
    </row>
    <row r="64" spans="2:9" hidden="1" x14ac:dyDescent="0.25">
      <c r="B64" s="35" t="s">
        <v>39</v>
      </c>
      <c r="C64" s="9">
        <v>0.4</v>
      </c>
      <c r="D64" s="36">
        <v>37900</v>
      </c>
      <c r="E64" s="36">
        <v>44400</v>
      </c>
      <c r="F64" s="73">
        <v>50100</v>
      </c>
      <c r="G64" s="82">
        <v>32900</v>
      </c>
      <c r="H64" s="50" t="s">
        <v>85</v>
      </c>
      <c r="I64" s="50"/>
    </row>
    <row r="65" spans="2:9" hidden="1" x14ac:dyDescent="0.25">
      <c r="B65" s="35" t="s">
        <v>40</v>
      </c>
      <c r="C65" s="9">
        <v>0.33</v>
      </c>
      <c r="D65" s="36">
        <v>68300</v>
      </c>
      <c r="E65" s="36">
        <v>79700</v>
      </c>
      <c r="F65" s="73">
        <v>90000</v>
      </c>
      <c r="G65" s="82">
        <v>59200</v>
      </c>
      <c r="H65" s="50" t="s">
        <v>84</v>
      </c>
      <c r="I65" s="50"/>
    </row>
    <row r="66" spans="2:9" hidden="1" x14ac:dyDescent="0.25">
      <c r="B66" s="35" t="s">
        <v>41</v>
      </c>
      <c r="C66" s="9">
        <v>0.4</v>
      </c>
      <c r="D66" s="36">
        <v>37900</v>
      </c>
      <c r="E66" s="36">
        <v>44400</v>
      </c>
      <c r="F66" s="73">
        <v>50100</v>
      </c>
      <c r="G66" s="82">
        <v>32900</v>
      </c>
      <c r="H66" s="50" t="s">
        <v>84</v>
      </c>
      <c r="I66" s="50"/>
    </row>
    <row r="67" spans="2:9" hidden="1" x14ac:dyDescent="0.25">
      <c r="B67" s="35" t="s">
        <v>42</v>
      </c>
      <c r="C67" s="9">
        <v>0.33</v>
      </c>
      <c r="D67" s="36">
        <v>68300</v>
      </c>
      <c r="E67" s="36">
        <v>79700</v>
      </c>
      <c r="F67" s="73">
        <v>90000</v>
      </c>
      <c r="G67" s="82">
        <v>59200</v>
      </c>
      <c r="H67" s="50" t="s">
        <v>86</v>
      </c>
      <c r="I67" s="50"/>
    </row>
    <row r="68" spans="2:9" hidden="1" x14ac:dyDescent="0.25">
      <c r="B68" s="35" t="s">
        <v>43</v>
      </c>
      <c r="C68" s="9">
        <v>0.4</v>
      </c>
      <c r="D68" s="36">
        <v>37900</v>
      </c>
      <c r="E68" s="36">
        <v>44400</v>
      </c>
      <c r="F68" s="73">
        <v>50100</v>
      </c>
      <c r="G68" s="82">
        <v>32900</v>
      </c>
      <c r="H68" s="50" t="s">
        <v>85</v>
      </c>
      <c r="I68" s="50"/>
    </row>
    <row r="69" spans="2:9" hidden="1" x14ac:dyDescent="0.25">
      <c r="B69" s="35" t="s">
        <v>44</v>
      </c>
      <c r="C69" s="9">
        <v>0.33</v>
      </c>
      <c r="D69" s="36">
        <v>67300</v>
      </c>
      <c r="E69" s="36">
        <v>79000</v>
      </c>
      <c r="F69" s="73">
        <v>89100</v>
      </c>
      <c r="G69" s="82">
        <v>58700</v>
      </c>
      <c r="H69" s="50" t="s">
        <v>84</v>
      </c>
      <c r="I69" s="50"/>
    </row>
    <row r="70" spans="2:9" hidden="1" x14ac:dyDescent="0.25">
      <c r="B70" s="35" t="s">
        <v>45</v>
      </c>
      <c r="C70" s="9">
        <v>0.4</v>
      </c>
      <c r="D70" s="36">
        <v>37900</v>
      </c>
      <c r="E70" s="36">
        <v>44400</v>
      </c>
      <c r="F70" s="73">
        <v>50100</v>
      </c>
      <c r="G70" s="82">
        <v>32900</v>
      </c>
      <c r="H70" s="50" t="s">
        <v>85</v>
      </c>
      <c r="I70" s="50"/>
    </row>
    <row r="71" spans="2:9" hidden="1" x14ac:dyDescent="0.25">
      <c r="B71" s="35" t="s">
        <v>46</v>
      </c>
      <c r="C71" s="9">
        <v>0.33</v>
      </c>
      <c r="D71" s="36">
        <v>70400</v>
      </c>
      <c r="E71" s="36">
        <v>82500</v>
      </c>
      <c r="F71" s="73">
        <v>93000</v>
      </c>
      <c r="G71" s="82">
        <v>61200</v>
      </c>
      <c r="H71" s="50" t="s">
        <v>85</v>
      </c>
      <c r="I71" s="50"/>
    </row>
    <row r="72" spans="2:9" hidden="1" x14ac:dyDescent="0.25">
      <c r="B72" s="35" t="s">
        <v>47</v>
      </c>
      <c r="C72" s="9">
        <v>0.4</v>
      </c>
      <c r="D72" s="36">
        <v>40000</v>
      </c>
      <c r="E72" s="36">
        <v>46900</v>
      </c>
      <c r="F72" s="73">
        <v>52900</v>
      </c>
      <c r="G72" s="82">
        <v>34700</v>
      </c>
      <c r="H72" s="50" t="s">
        <v>85</v>
      </c>
      <c r="I72" s="50"/>
    </row>
    <row r="73" spans="2:9" hidden="1" x14ac:dyDescent="0.25">
      <c r="B73" s="35" t="s">
        <v>48</v>
      </c>
      <c r="C73" s="9">
        <v>0.33</v>
      </c>
      <c r="D73" s="36">
        <v>70400</v>
      </c>
      <c r="E73" s="36">
        <v>82500</v>
      </c>
      <c r="F73" s="73">
        <v>93000</v>
      </c>
      <c r="G73" s="82">
        <v>61200</v>
      </c>
      <c r="H73" s="50" t="s">
        <v>84</v>
      </c>
      <c r="I73" s="50"/>
    </row>
    <row r="74" spans="2:9" hidden="1" x14ac:dyDescent="0.25">
      <c r="B74" s="35" t="s">
        <v>49</v>
      </c>
      <c r="C74" s="9">
        <v>0.33</v>
      </c>
      <c r="D74" s="36">
        <v>66900</v>
      </c>
      <c r="E74" s="36">
        <v>78200</v>
      </c>
      <c r="F74" s="73">
        <v>88200</v>
      </c>
      <c r="G74" s="82">
        <v>58000</v>
      </c>
      <c r="H74" s="50" t="s">
        <v>84</v>
      </c>
      <c r="I74" s="50"/>
    </row>
    <row r="75" spans="2:9" hidden="1" x14ac:dyDescent="0.25">
      <c r="B75" s="35" t="s">
        <v>50</v>
      </c>
      <c r="C75" s="9">
        <v>0.33</v>
      </c>
      <c r="D75" s="36">
        <v>70400</v>
      </c>
      <c r="E75" s="36">
        <v>82500</v>
      </c>
      <c r="F75" s="73">
        <v>93000</v>
      </c>
      <c r="G75" s="82">
        <v>61200</v>
      </c>
      <c r="H75" s="50" t="s">
        <v>84</v>
      </c>
      <c r="I75" s="50"/>
    </row>
    <row r="76" spans="2:9" hidden="1" x14ac:dyDescent="0.25">
      <c r="B76" s="35" t="s">
        <v>51</v>
      </c>
      <c r="C76" s="9">
        <v>0.4</v>
      </c>
      <c r="D76" s="36">
        <v>37900</v>
      </c>
      <c r="E76" s="36">
        <v>44400</v>
      </c>
      <c r="F76" s="73">
        <v>50100</v>
      </c>
      <c r="G76" s="82">
        <v>32900</v>
      </c>
      <c r="H76" s="50" t="s">
        <v>85</v>
      </c>
      <c r="I76" s="50"/>
    </row>
    <row r="77" spans="2:9" hidden="1" x14ac:dyDescent="0.25">
      <c r="B77" s="35" t="s">
        <v>52</v>
      </c>
      <c r="C77" s="9">
        <v>0.4</v>
      </c>
      <c r="D77" s="36">
        <v>37900</v>
      </c>
      <c r="E77" s="36">
        <v>44400</v>
      </c>
      <c r="F77" s="73">
        <v>50100</v>
      </c>
      <c r="G77" s="82">
        <v>32900</v>
      </c>
      <c r="H77" s="50" t="s">
        <v>85</v>
      </c>
      <c r="I77" s="50"/>
    </row>
    <row r="78" spans="2:9" hidden="1" x14ac:dyDescent="0.25">
      <c r="B78" s="35" t="s">
        <v>53</v>
      </c>
      <c r="C78" s="9">
        <v>0.4</v>
      </c>
      <c r="D78" s="36">
        <v>37900</v>
      </c>
      <c r="E78" s="36">
        <v>44400</v>
      </c>
      <c r="F78" s="73">
        <v>50100</v>
      </c>
      <c r="G78" s="82">
        <v>32900</v>
      </c>
      <c r="H78" s="50" t="s">
        <v>85</v>
      </c>
      <c r="I78" s="50"/>
    </row>
    <row r="79" spans="2:9" hidden="1" x14ac:dyDescent="0.25">
      <c r="B79" s="35" t="s">
        <v>54</v>
      </c>
      <c r="C79" s="9">
        <v>0.3</v>
      </c>
      <c r="D79" s="36">
        <v>82400</v>
      </c>
      <c r="E79" s="36">
        <v>96500</v>
      </c>
      <c r="F79" s="73">
        <v>108800</v>
      </c>
      <c r="G79" s="82">
        <v>71500</v>
      </c>
      <c r="H79" s="50" t="s">
        <v>84</v>
      </c>
      <c r="I79" s="50"/>
    </row>
    <row r="80" spans="2:9" hidden="1" x14ac:dyDescent="0.25">
      <c r="B80" s="35" t="s">
        <v>55</v>
      </c>
      <c r="C80" s="9">
        <v>0.4</v>
      </c>
      <c r="D80" s="36">
        <v>39400</v>
      </c>
      <c r="E80" s="36">
        <v>46100</v>
      </c>
      <c r="F80" s="73">
        <v>52100</v>
      </c>
      <c r="G80" s="82">
        <v>34100</v>
      </c>
      <c r="H80" s="50" t="s">
        <v>84</v>
      </c>
      <c r="I80" s="50"/>
    </row>
    <row r="81" spans="2:9" hidden="1" x14ac:dyDescent="0.25">
      <c r="B81" s="35" t="s">
        <v>56</v>
      </c>
      <c r="C81" s="9">
        <v>0.33</v>
      </c>
      <c r="D81" s="36">
        <v>67300</v>
      </c>
      <c r="E81" s="36">
        <v>79000</v>
      </c>
      <c r="F81" s="73">
        <v>89000</v>
      </c>
      <c r="G81" s="82">
        <v>58500</v>
      </c>
      <c r="H81" s="50" t="s">
        <v>84</v>
      </c>
      <c r="I81" s="50"/>
    </row>
    <row r="82" spans="2:9" hidden="1" x14ac:dyDescent="0.25">
      <c r="B82" s="35" t="s">
        <v>57</v>
      </c>
      <c r="C82" s="9">
        <v>0.25</v>
      </c>
      <c r="D82" s="36">
        <v>114900</v>
      </c>
      <c r="E82" s="36">
        <v>134400</v>
      </c>
      <c r="F82" s="73">
        <v>151700</v>
      </c>
      <c r="G82" s="82">
        <v>99600</v>
      </c>
      <c r="H82" s="50" t="s">
        <v>86</v>
      </c>
      <c r="I82" s="50"/>
    </row>
    <row r="83" spans="2:9" hidden="1" x14ac:dyDescent="0.25">
      <c r="B83" s="35" t="s">
        <v>58</v>
      </c>
      <c r="C83" s="9">
        <v>0.25</v>
      </c>
      <c r="D83" s="36">
        <v>126400</v>
      </c>
      <c r="E83" s="36">
        <v>148300</v>
      </c>
      <c r="F83" s="73">
        <v>167200</v>
      </c>
      <c r="G83" s="82">
        <v>109700</v>
      </c>
      <c r="H83" s="50" t="s">
        <v>85</v>
      </c>
      <c r="I83" s="50"/>
    </row>
    <row r="84" spans="2:9" hidden="1" x14ac:dyDescent="0.25">
      <c r="B84" s="35" t="s">
        <v>59</v>
      </c>
      <c r="C84" s="9">
        <v>0.3</v>
      </c>
      <c r="D84" s="36">
        <v>80700</v>
      </c>
      <c r="E84" s="36">
        <v>94500</v>
      </c>
      <c r="F84" s="73">
        <v>106600</v>
      </c>
      <c r="G84" s="82">
        <v>70100</v>
      </c>
      <c r="H84" s="50" t="s">
        <v>85</v>
      </c>
      <c r="I84" s="50"/>
    </row>
    <row r="85" spans="2:9" hidden="1" x14ac:dyDescent="0.25">
      <c r="B85" s="35" t="s">
        <v>60</v>
      </c>
      <c r="C85" s="9">
        <v>0.3</v>
      </c>
      <c r="D85" s="36">
        <v>83900</v>
      </c>
      <c r="E85" s="36">
        <v>98400</v>
      </c>
      <c r="F85" s="73">
        <v>110800</v>
      </c>
      <c r="G85" s="82">
        <v>72900</v>
      </c>
      <c r="H85" s="50" t="s">
        <v>84</v>
      </c>
      <c r="I85" s="50"/>
    </row>
    <row r="86" spans="2:9" hidden="1" x14ac:dyDescent="0.25">
      <c r="B86" s="35" t="s">
        <v>61</v>
      </c>
      <c r="C86" s="9">
        <v>0.4</v>
      </c>
      <c r="D86" s="36">
        <v>37900</v>
      </c>
      <c r="E86" s="36">
        <v>44400</v>
      </c>
      <c r="F86" s="73">
        <v>50100</v>
      </c>
      <c r="G86" s="82">
        <v>32900</v>
      </c>
      <c r="H86" s="50" t="s">
        <v>85</v>
      </c>
      <c r="I86" s="50"/>
    </row>
    <row r="87" spans="2:9" hidden="1" x14ac:dyDescent="0.25">
      <c r="B87" s="35" t="s">
        <v>62</v>
      </c>
      <c r="C87" s="9">
        <v>0.33</v>
      </c>
      <c r="D87" s="36">
        <v>70400</v>
      </c>
      <c r="E87" s="36">
        <v>82500</v>
      </c>
      <c r="F87" s="73">
        <v>93000</v>
      </c>
      <c r="G87" s="82">
        <v>61200</v>
      </c>
      <c r="H87" s="50" t="s">
        <v>86</v>
      </c>
      <c r="I87" s="50"/>
    </row>
    <row r="88" spans="2:9" hidden="1" x14ac:dyDescent="0.25">
      <c r="B88" s="35" t="s">
        <v>63</v>
      </c>
      <c r="C88" s="9">
        <v>0.33</v>
      </c>
      <c r="D88" s="36">
        <v>70400</v>
      </c>
      <c r="E88" s="36">
        <v>82500</v>
      </c>
      <c r="F88" s="73">
        <v>92900</v>
      </c>
      <c r="G88" s="82">
        <v>61200</v>
      </c>
      <c r="H88" s="50" t="s">
        <v>84</v>
      </c>
      <c r="I88" s="50"/>
    </row>
    <row r="89" spans="2:9" hidden="1" x14ac:dyDescent="0.25">
      <c r="B89" s="35" t="s">
        <v>64</v>
      </c>
      <c r="C89" s="9">
        <v>0.28000000000000003</v>
      </c>
      <c r="D89" s="36">
        <v>100800</v>
      </c>
      <c r="E89" s="36">
        <v>118200</v>
      </c>
      <c r="F89" s="73">
        <v>133300</v>
      </c>
      <c r="G89" s="82">
        <v>87500</v>
      </c>
      <c r="H89" s="50" t="s">
        <v>86</v>
      </c>
      <c r="I89" s="50"/>
    </row>
    <row r="90" spans="2:9" hidden="1" x14ac:dyDescent="0.25">
      <c r="B90" s="35" t="s">
        <v>65</v>
      </c>
      <c r="C90" s="9">
        <v>0.33</v>
      </c>
      <c r="D90" s="36">
        <v>68300</v>
      </c>
      <c r="E90" s="36">
        <v>79700</v>
      </c>
      <c r="F90" s="73">
        <v>90000</v>
      </c>
      <c r="G90" s="82">
        <v>59200</v>
      </c>
      <c r="H90" s="50" t="s">
        <v>84</v>
      </c>
      <c r="I90" s="50"/>
    </row>
    <row r="91" spans="2:9" hidden="1" x14ac:dyDescent="0.25">
      <c r="B91" s="35" t="s">
        <v>66</v>
      </c>
      <c r="C91" s="9">
        <v>0.33</v>
      </c>
      <c r="D91" s="36">
        <v>68300</v>
      </c>
      <c r="E91" s="36">
        <v>79700</v>
      </c>
      <c r="F91" s="73">
        <v>90000</v>
      </c>
      <c r="G91" s="82">
        <v>59200</v>
      </c>
      <c r="H91" s="50" t="s">
        <v>86</v>
      </c>
      <c r="I91" s="50"/>
    </row>
    <row r="92" spans="2:9" hidden="1" x14ac:dyDescent="0.25">
      <c r="B92" s="35" t="s">
        <v>67</v>
      </c>
      <c r="C92" s="9">
        <v>0.4</v>
      </c>
      <c r="D92" s="36">
        <v>42300</v>
      </c>
      <c r="E92" s="36">
        <v>49500</v>
      </c>
      <c r="F92" s="73">
        <v>55800</v>
      </c>
      <c r="G92" s="82">
        <v>36600</v>
      </c>
      <c r="H92" s="50" t="s">
        <v>84</v>
      </c>
      <c r="I92" s="50"/>
    </row>
    <row r="93" spans="2:9" hidden="1" x14ac:dyDescent="0.25">
      <c r="B93" s="35" t="s">
        <v>68</v>
      </c>
      <c r="C93" s="9">
        <v>0.4</v>
      </c>
      <c r="D93" s="36">
        <v>37900</v>
      </c>
      <c r="E93" s="36">
        <v>44400</v>
      </c>
      <c r="F93" s="73">
        <v>50100</v>
      </c>
      <c r="G93" s="82">
        <v>32900</v>
      </c>
      <c r="H93" s="50" t="s">
        <v>85</v>
      </c>
      <c r="I93" s="50"/>
    </row>
    <row r="94" spans="2:9" hidden="1" x14ac:dyDescent="0.25">
      <c r="B94" s="35" t="s">
        <v>69</v>
      </c>
      <c r="C94" s="9">
        <v>0.3</v>
      </c>
      <c r="D94" s="36">
        <v>80700</v>
      </c>
      <c r="E94" s="36">
        <v>94500</v>
      </c>
      <c r="F94" s="73">
        <v>106600</v>
      </c>
      <c r="G94" s="82">
        <v>70100</v>
      </c>
      <c r="H94" s="50" t="s">
        <v>84</v>
      </c>
      <c r="I94" s="50"/>
    </row>
    <row r="95" spans="2:9" hidden="1" x14ac:dyDescent="0.25">
      <c r="B95" s="35" t="s">
        <v>70</v>
      </c>
      <c r="C95" s="9">
        <v>0.33</v>
      </c>
      <c r="D95" s="36">
        <v>67300</v>
      </c>
      <c r="E95" s="36">
        <v>79000</v>
      </c>
      <c r="F95" s="73">
        <v>89000</v>
      </c>
      <c r="G95" s="82">
        <v>58500</v>
      </c>
      <c r="H95" s="50" t="s">
        <v>84</v>
      </c>
      <c r="I95" s="50"/>
    </row>
    <row r="96" spans="2:9" hidden="1" x14ac:dyDescent="0.25">
      <c r="B96" s="35" t="s">
        <v>71</v>
      </c>
      <c r="C96" s="9">
        <v>0.35</v>
      </c>
      <c r="D96" s="36">
        <v>59100</v>
      </c>
      <c r="E96" s="36">
        <v>69500</v>
      </c>
      <c r="F96" s="73">
        <v>78200</v>
      </c>
      <c r="G96" s="82">
        <v>51400</v>
      </c>
      <c r="H96" s="50" t="s">
        <v>84</v>
      </c>
      <c r="I96" s="50"/>
    </row>
    <row r="97" spans="2:9" hidden="1" x14ac:dyDescent="0.25">
      <c r="B97" s="35" t="s">
        <v>72</v>
      </c>
      <c r="C97" s="9">
        <v>0.3</v>
      </c>
      <c r="D97" s="36">
        <v>82400</v>
      </c>
      <c r="E97" s="36">
        <v>96500</v>
      </c>
      <c r="F97" s="73">
        <v>108800</v>
      </c>
      <c r="G97" s="82">
        <v>71500</v>
      </c>
      <c r="H97" s="50" t="s">
        <v>84</v>
      </c>
      <c r="I97" s="50"/>
    </row>
    <row r="98" spans="2:9" hidden="1" x14ac:dyDescent="0.25">
      <c r="B98" s="35" t="s">
        <v>73</v>
      </c>
      <c r="C98" s="9">
        <v>0.33</v>
      </c>
      <c r="D98" s="36">
        <v>70400</v>
      </c>
      <c r="E98" s="36">
        <v>82500</v>
      </c>
      <c r="F98" s="73">
        <v>93000</v>
      </c>
      <c r="G98" s="82">
        <v>61200</v>
      </c>
      <c r="H98" s="50" t="s">
        <v>84</v>
      </c>
      <c r="I98" s="50"/>
    </row>
    <row r="99" spans="2:9" hidden="1" x14ac:dyDescent="0.25">
      <c r="B99" s="35" t="s">
        <v>74</v>
      </c>
      <c r="C99" s="9">
        <v>0.33</v>
      </c>
      <c r="D99" s="36">
        <v>65800</v>
      </c>
      <c r="E99" s="36">
        <v>76900</v>
      </c>
      <c r="F99" s="73">
        <v>86800</v>
      </c>
      <c r="G99" s="82">
        <v>57100</v>
      </c>
      <c r="H99" s="50" t="s">
        <v>84</v>
      </c>
      <c r="I99" s="50"/>
    </row>
    <row r="100" spans="2:9" hidden="1" x14ac:dyDescent="0.25">
      <c r="B100" s="35" t="s">
        <v>75</v>
      </c>
      <c r="C100" s="9">
        <v>0.4</v>
      </c>
      <c r="D100" s="36">
        <v>37900</v>
      </c>
      <c r="E100" s="36">
        <v>44400</v>
      </c>
      <c r="F100" s="73">
        <v>50100</v>
      </c>
      <c r="G100" s="82">
        <v>32900</v>
      </c>
      <c r="H100" s="50" t="s">
        <v>85</v>
      </c>
      <c r="I100" s="50"/>
    </row>
    <row r="101" spans="2:9" hidden="1" x14ac:dyDescent="0.25">
      <c r="B101" s="35" t="s">
        <v>76</v>
      </c>
      <c r="C101" s="9">
        <v>0.4</v>
      </c>
      <c r="D101" s="36">
        <v>37900</v>
      </c>
      <c r="E101" s="36">
        <v>44400</v>
      </c>
      <c r="F101" s="73">
        <v>50100</v>
      </c>
      <c r="G101" s="82">
        <v>32900</v>
      </c>
      <c r="H101" s="50" t="s">
        <v>85</v>
      </c>
      <c r="I101" s="50"/>
    </row>
    <row r="102" spans="2:9" hidden="1" x14ac:dyDescent="0.25">
      <c r="B102" s="35" t="s">
        <v>77</v>
      </c>
      <c r="C102" s="9">
        <v>0.4</v>
      </c>
      <c r="D102" s="36">
        <v>37900</v>
      </c>
      <c r="E102" s="36">
        <v>44400</v>
      </c>
      <c r="F102" s="73">
        <v>50100</v>
      </c>
      <c r="G102" s="82">
        <v>32900</v>
      </c>
      <c r="H102" s="50" t="s">
        <v>85</v>
      </c>
      <c r="I102" s="50"/>
    </row>
    <row r="103" spans="2:9" hidden="1" x14ac:dyDescent="0.25">
      <c r="B103" s="35" t="s">
        <v>78</v>
      </c>
      <c r="C103" s="9">
        <v>0.35</v>
      </c>
      <c r="D103" s="36">
        <v>58300</v>
      </c>
      <c r="E103" s="36">
        <v>68300</v>
      </c>
      <c r="F103" s="73">
        <v>76900</v>
      </c>
      <c r="G103" s="82">
        <v>50500</v>
      </c>
      <c r="H103" s="50" t="s">
        <v>84</v>
      </c>
      <c r="I103" s="50"/>
    </row>
    <row r="104" spans="2:9" hidden="1" x14ac:dyDescent="0.25">
      <c r="B104" s="35" t="s">
        <v>79</v>
      </c>
      <c r="C104" s="9">
        <v>0.33</v>
      </c>
      <c r="D104" s="36">
        <v>67700</v>
      </c>
      <c r="E104" s="36">
        <v>79400</v>
      </c>
      <c r="F104" s="73">
        <v>89500</v>
      </c>
      <c r="G104" s="82">
        <v>58700</v>
      </c>
      <c r="H104" s="50" t="s">
        <v>85</v>
      </c>
      <c r="I104" s="50"/>
    </row>
    <row r="105" spans="2:9" hidden="1" x14ac:dyDescent="0.25">
      <c r="B105" s="35" t="s">
        <v>80</v>
      </c>
      <c r="C105" s="9">
        <v>0.35</v>
      </c>
      <c r="D105" s="36">
        <v>59600</v>
      </c>
      <c r="E105" s="36">
        <v>69700</v>
      </c>
      <c r="F105" s="73">
        <v>78700</v>
      </c>
      <c r="G105" s="82">
        <v>51800</v>
      </c>
      <c r="H105" s="50" t="s">
        <v>85</v>
      </c>
      <c r="I105" s="50"/>
    </row>
    <row r="106" spans="2:9" ht="13" hidden="1" thickBot="1" x14ac:dyDescent="0.3">
      <c r="B106" s="69" t="s">
        <v>81</v>
      </c>
      <c r="C106" s="70">
        <v>0.4</v>
      </c>
      <c r="D106" s="71">
        <v>37900</v>
      </c>
      <c r="E106" s="71">
        <v>44400</v>
      </c>
      <c r="F106" s="74">
        <v>50100</v>
      </c>
      <c r="G106" s="83">
        <v>32900</v>
      </c>
      <c r="H106" s="58" t="s">
        <v>85</v>
      </c>
      <c r="I106" s="58"/>
    </row>
    <row r="107" spans="2:9" hidden="1" x14ac:dyDescent="0.25">
      <c r="B107" s="12"/>
      <c r="C107" s="12"/>
      <c r="D107" s="12"/>
      <c r="E107" s="12"/>
      <c r="F107" s="12"/>
      <c r="G107" s="12"/>
      <c r="H107" s="12"/>
    </row>
    <row r="108" spans="2:9" hidden="1" x14ac:dyDescent="0.25">
      <c r="B108" s="51" t="s">
        <v>90</v>
      </c>
    </row>
    <row r="109" spans="2:9" hidden="1" x14ac:dyDescent="0.25">
      <c r="B109" s="51" t="s">
        <v>88</v>
      </c>
    </row>
    <row r="110" spans="2:9" hidden="1" x14ac:dyDescent="0.25">
      <c r="B110" s="51" t="s">
        <v>89</v>
      </c>
    </row>
    <row r="111" spans="2:9" hidden="1" x14ac:dyDescent="0.25"/>
    <row r="112" spans="2:9" hidden="1" x14ac:dyDescent="0.25">
      <c r="B112" s="11" t="s">
        <v>92</v>
      </c>
      <c r="C112" s="92">
        <v>600000</v>
      </c>
      <c r="D112" s="92"/>
    </row>
    <row r="113" spans="2:4" hidden="1" x14ac:dyDescent="0.25"/>
    <row r="114" spans="2:4" hidden="1" x14ac:dyDescent="0.25">
      <c r="B114" s="51" t="s">
        <v>90</v>
      </c>
      <c r="D114" s="51" t="s">
        <v>90</v>
      </c>
    </row>
    <row r="115" spans="2:4" hidden="1" x14ac:dyDescent="0.25">
      <c r="B115" s="59" t="s">
        <v>97</v>
      </c>
      <c r="D115" s="11" t="s">
        <v>120</v>
      </c>
    </row>
    <row r="116" spans="2:4" hidden="1" x14ac:dyDescent="0.25">
      <c r="B116" s="59" t="s">
        <v>98</v>
      </c>
      <c r="D116" s="11" t="s">
        <v>119</v>
      </c>
    </row>
    <row r="117" spans="2:4" ht="13" hidden="1" thickBot="1" x14ac:dyDescent="0.3">
      <c r="B117" s="59" t="s">
        <v>99</v>
      </c>
    </row>
    <row r="118" spans="2:4" ht="26" hidden="1" x14ac:dyDescent="0.3">
      <c r="B118" s="11" t="s">
        <v>100</v>
      </c>
      <c r="D118" s="3" t="s">
        <v>9</v>
      </c>
    </row>
    <row r="119" spans="2:4" hidden="1" x14ac:dyDescent="0.25">
      <c r="B119" s="11" t="s">
        <v>101</v>
      </c>
      <c r="D119" s="15"/>
    </row>
    <row r="120" spans="2:4" hidden="1" x14ac:dyDescent="0.25">
      <c r="D120" s="18">
        <f>SUM(C$22:C23)</f>
        <v>0</v>
      </c>
    </row>
    <row r="121" spans="2:4" hidden="1" x14ac:dyDescent="0.25">
      <c r="B121" s="51" t="s">
        <v>90</v>
      </c>
      <c r="D121" s="18">
        <f>SUM(C$22:C24)</f>
        <v>0</v>
      </c>
    </row>
    <row r="122" spans="2:4" hidden="1" x14ac:dyDescent="0.25">
      <c r="B122" s="11" t="s">
        <v>93</v>
      </c>
      <c r="D122" s="21">
        <f>SUM(C$22:C25)</f>
        <v>0</v>
      </c>
    </row>
    <row r="123" spans="2:4" hidden="1" x14ac:dyDescent="0.25">
      <c r="B123" s="52" t="s">
        <v>94</v>
      </c>
      <c r="D123" s="21">
        <f>SUM(C$22:C26)</f>
        <v>0</v>
      </c>
    </row>
    <row r="124" spans="2:4" hidden="1" x14ac:dyDescent="0.25">
      <c r="B124" s="11" t="s">
        <v>95</v>
      </c>
      <c r="D124" s="21">
        <f>SUM(C$22:C27)</f>
        <v>0</v>
      </c>
    </row>
    <row r="125" spans="2:4" hidden="1" x14ac:dyDescent="0.25">
      <c r="D125" s="21">
        <f>SUM(C$22:C28)</f>
        <v>0</v>
      </c>
    </row>
    <row r="126" spans="2:4" ht="13" hidden="1" thickBot="1" x14ac:dyDescent="0.3">
      <c r="B126" s="44" t="s">
        <v>91</v>
      </c>
      <c r="D126" s="23"/>
    </row>
    <row r="127" spans="2:4" ht="13.5" hidden="1" thickTop="1" thickBot="1" x14ac:dyDescent="0.3">
      <c r="B127" s="53" t="str">
        <f>IF(AND(G9=B118,OR(G10=B123,G10=B124),G11=B110),10%,IF(AND(G9=B118,G10=B122,G11=B110),15%,IF(AND(G9=B118,G11=B109),30%,IF(AND(G9=B119,G11=B110),0%,IF(AND(G9=B119,G11=B109),30%,"TBD")))))</f>
        <v>TBD</v>
      </c>
      <c r="D127" s="26"/>
    </row>
    <row r="128" spans="2:4" hidden="1" x14ac:dyDescent="0.25"/>
    <row r="129" spans="2:2" hidden="1" x14ac:dyDescent="0.25">
      <c r="B129" s="11" t="s">
        <v>126</v>
      </c>
    </row>
  </sheetData>
  <sheetProtection algorithmName="SHA-512" hashValue="RHW4mdNYaB4GHUishtnbE9w5CwM7gMXy5iZqsHkz9bdBYWZCD1y+OlIPzVDQRqNK8cZvnxhuia79vpplUndtDg==" saltValue="eklKJ7xRy6uLbGx3KrOE4Q==" spinCount="100000" sheet="1" selectLockedCells="1"/>
  <mergeCells count="32">
    <mergeCell ref="L38:M40"/>
    <mergeCell ref="L42:M45"/>
    <mergeCell ref="G11:H11"/>
    <mergeCell ref="B5:H5"/>
    <mergeCell ref="L7:M7"/>
    <mergeCell ref="J38:K48"/>
    <mergeCell ref="A1:B1"/>
    <mergeCell ref="C1:H1"/>
    <mergeCell ref="G12:H12"/>
    <mergeCell ref="G8:H8"/>
    <mergeCell ref="G9:H9"/>
    <mergeCell ref="G10:H10"/>
    <mergeCell ref="S7:T7"/>
    <mergeCell ref="O7:P7"/>
    <mergeCell ref="A2:H2"/>
    <mergeCell ref="G7:H7"/>
    <mergeCell ref="V7:W7"/>
    <mergeCell ref="A3:H3"/>
    <mergeCell ref="A4:H4"/>
    <mergeCell ref="C112:D112"/>
    <mergeCell ref="G13:H13"/>
    <mergeCell ref="G15:H15"/>
    <mergeCell ref="G16:H16"/>
    <mergeCell ref="G17:H17"/>
    <mergeCell ref="H31:H34"/>
    <mergeCell ref="C31:C34"/>
    <mergeCell ref="D31:D33"/>
    <mergeCell ref="F31:F33"/>
    <mergeCell ref="G31:G34"/>
    <mergeCell ref="E31:E33"/>
    <mergeCell ref="G14:H14"/>
    <mergeCell ref="B18:I18"/>
  </mergeCells>
  <conditionalFormatting sqref="H30">
    <cfRule type="expression" dxfId="9" priority="25">
      <formula>SUM(H22:H29)&gt;H30</formula>
    </cfRule>
  </conditionalFormatting>
  <conditionalFormatting sqref="G32:G34">
    <cfRule type="expression" dxfId="8" priority="24">
      <formula>SUM(H24:H30)&gt;H31</formula>
    </cfRule>
  </conditionalFormatting>
  <conditionalFormatting sqref="B40:I106">
    <cfRule type="expression" dxfId="7" priority="6">
      <formula>COUNTA($B$40:$B40)/3=ROUND(COUNTA($B$40:$B40)/3,0)</formula>
    </cfRule>
  </conditionalFormatting>
  <conditionalFormatting sqref="B40:B106">
    <cfRule type="cellIs" dxfId="6" priority="26" operator="equal">
      <formula>G$7</formula>
    </cfRule>
  </conditionalFormatting>
  <conditionalFormatting sqref="D40:F106">
    <cfRule type="expression" dxfId="5" priority="27">
      <formula>$B40=$G$7</formula>
    </cfRule>
  </conditionalFormatting>
  <conditionalFormatting sqref="G31">
    <cfRule type="expression" dxfId="4" priority="28">
      <formula>SUM(H22:H29)&gt;H30</formula>
    </cfRule>
  </conditionalFormatting>
  <conditionalFormatting sqref="J24">
    <cfRule type="expression" dxfId="3" priority="4">
      <formula>AND(OR(G$12=D$115,AND(G$12=D$116,C$23=0)),C24&gt;ROUNDUP(50%*C$30,0))</formula>
    </cfRule>
  </conditionalFormatting>
  <conditionalFormatting sqref="J25">
    <cfRule type="expression" dxfId="2" priority="2">
      <formula>AND(G$12=D$116,C$23&gt;0,C25&lt;ROUNDUP(50%*(C$30-C$23+C$23/2),0))</formula>
    </cfRule>
    <cfRule type="expression" dxfId="1" priority="3">
      <formula>AND(OR(G$12=D$115,AND(G$12=D$116,C$23=0)),C25&lt;ROUNDUP(50%*C$30,0))</formula>
    </cfRule>
  </conditionalFormatting>
  <conditionalFormatting sqref="J26">
    <cfRule type="expression" dxfId="0" priority="1">
      <formula>AND(G$12=D$116,C$23&gt;0,C26&gt;MIN(11,ROUNDDOWN(25%*(C$30-C$23+C$23/2),0)))</formula>
    </cfRule>
  </conditionalFormatting>
  <dataValidations xWindow="531" yWindow="472" count="5">
    <dataValidation type="list" allowBlank="1" showInputMessage="1" showErrorMessage="1" sqref="G7:H7" xr:uid="{00000000-0002-0000-0000-000000000000}">
      <formula1>$B$39:$B$106</formula1>
    </dataValidation>
    <dataValidation type="list" allowBlank="1" showInputMessage="1" showErrorMessage="1" sqref="G16 G11" xr:uid="{22A46BD2-A9B7-43B9-83F5-62EFF7A0AFC7}">
      <formula1>$B$108:$B$110</formula1>
    </dataValidation>
    <dataValidation type="list" allowBlank="1" showInputMessage="1" showErrorMessage="1" sqref="G9" xr:uid="{6BED0E39-88C6-4BC4-B192-CC2919FC9C1D}">
      <formula1>$B$114:$B$119</formula1>
    </dataValidation>
    <dataValidation type="list" allowBlank="1" showInputMessage="1" showErrorMessage="1" sqref="G10:H10" xr:uid="{D348BC0F-E15E-43B9-A33E-F8E0F31D7DDB}">
      <formula1>$B$121:$B$124</formula1>
    </dataValidation>
    <dataValidation type="list" allowBlank="1" showInputMessage="1" showErrorMessage="1" sqref="G12:H12" xr:uid="{DA854AB0-99F4-495D-ADFE-46F5B3E9D600}">
      <formula1>$D$114:$D$116</formula1>
    </dataValidation>
  </dataValidations>
  <printOptions horizontalCentered="1"/>
  <pageMargins left="0.25" right="0.25" top="0.75" bottom="0.75" header="0.3" footer="0.3"/>
  <pageSetup scale="99" orientation="portrait" r:id="rId1"/>
  <rowBreaks count="1" manualBreakCount="1">
    <brk id="34" max="16383" man="1"/>
  </rowBreaks>
  <colBreaks count="1" manualBreakCount="1">
    <brk id="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6E8401-9AAB-4C68-B0C0-8845C922B5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E0585C-696A-4E1C-837F-4071351B2343}">
  <ds:schemaRefs>
    <ds:schemaRef ds:uri="http://schemas.microsoft.com/sharepoint/v3/contenttype/forms"/>
  </ds:schemaRefs>
</ds:datastoreItem>
</file>

<file path=customXml/itemProps3.xml><?xml version="1.0" encoding="utf-8"?>
<ds:datastoreItem xmlns:ds="http://schemas.openxmlformats.org/officeDocument/2006/customXml" ds:itemID="{C6CB79A7-AAA4-4F15-BC3F-566DCF15C10A}">
  <ds:schemaRefs>
    <ds:schemaRef ds:uri="http://purl.org/dc/elements/1.1/"/>
    <ds:schemaRef ds:uri="http://schemas.microsoft.com/sharepoint/v3"/>
    <ds:schemaRef ds:uri="http://www.w3.org/XML/1998/namespace"/>
    <ds:schemaRef ds:uri="a226f5f0-4194-4a70-829c-4bbef480395c"/>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5a5b18f4-a66d-498a-8c29-5461dd409234"/>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ELI_PU</vt:lpstr>
      <vt:lpstr>Sheet1!Print_Area</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2021-01-11T19:06:04Z</cp:lastPrinted>
  <dcterms:created xsi:type="dcterms:W3CDTF">2015-07-20T21:55:29Z</dcterms:created>
  <dcterms:modified xsi:type="dcterms:W3CDTF">2021-01-19T19:42:58Z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