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floridahousing.sharepoint.com/sites/MF/allocations/Combined Cycle/2021 Rules and RFAs/2021-106 DCDD/ELI Worksheet/"/>
    </mc:Choice>
  </mc:AlternateContent>
  <xr:revisionPtr revIDLastSave="1" documentId="8_{5F1411F8-AF18-41FD-8B2C-39E3E2689793}" xr6:coauthVersionLast="45" xr6:coauthVersionMax="45" xr10:uidLastSave="{B0AE286D-135B-4795-8F21-1D5BCD612617}"/>
  <workbookProtection workbookAlgorithmName="SHA-512" workbookHashValue="PtATi6fe/CI7R9z7Y5KdLhOXkhmSh4mPKRctF9rKWO8bvjN1XEn7ttaO7ZPiX43dGPOob1gMeOAuIfGqTncNVA==" workbookSaltValue="OzjM5yuniwdLfLEFB69Q1g==" workbookSpinCount="100000" lockStructure="1"/>
  <bookViews>
    <workbookView xWindow="19090" yWindow="-110" windowWidth="19420" windowHeight="10420" xr2:uid="{00000000-000D-0000-FFFF-FFFF00000000}"/>
  </bookViews>
  <sheets>
    <sheet name="Sheet1" sheetId="1" r:id="rId1"/>
  </sheets>
  <definedNames>
    <definedName name="ELI_PU">Sheet1!$B$39:$I$106</definedName>
    <definedName name="_xlnm.Print_Area" localSheetId="0">Sheet1!$A$1:$H$34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 l="1"/>
  <c r="H31" i="1"/>
  <c r="H21" i="1"/>
  <c r="G21" i="1"/>
  <c r="F21" i="1"/>
  <c r="J26" i="1"/>
  <c r="J25" i="1"/>
  <c r="B18" i="1" l="1"/>
  <c r="G24" i="1"/>
  <c r="H24" i="1" s="1"/>
  <c r="G28" i="1"/>
  <c r="G27" i="1"/>
  <c r="G26" i="1"/>
  <c r="G25" i="1"/>
  <c r="G23" i="1"/>
  <c r="H23" i="1" s="1"/>
  <c r="E21" i="1"/>
  <c r="J23" i="1" l="1"/>
  <c r="D120" i="1" l="1"/>
  <c r="G15" i="1"/>
  <c r="G13" i="1"/>
  <c r="D23" i="1" l="1"/>
  <c r="E23" i="1" l="1"/>
  <c r="F23" i="1" s="1"/>
  <c r="B17" i="1"/>
  <c r="A7" i="1"/>
  <c r="A10" i="1" l="1"/>
  <c r="G17" i="1" l="1"/>
  <c r="A12" i="1" l="1"/>
  <c r="I17" i="1"/>
  <c r="B127" i="1"/>
  <c r="A13" i="1" l="1"/>
  <c r="G8" i="1"/>
  <c r="A14" i="1" l="1"/>
  <c r="A15" i="1" s="1"/>
  <c r="D125" i="1"/>
  <c r="D124" i="1"/>
  <c r="D123" i="1"/>
  <c r="D122" i="1"/>
  <c r="D121" i="1"/>
  <c r="C30" i="1"/>
  <c r="D24" i="1" l="1"/>
  <c r="J24" i="1"/>
  <c r="I23" i="1"/>
  <c r="I28" i="1"/>
  <c r="I27" i="1"/>
  <c r="I26" i="1"/>
  <c r="I24" i="1"/>
  <c r="I25" i="1"/>
  <c r="J27" i="1"/>
  <c r="E24" i="1" l="1"/>
  <c r="F24" i="1" s="1"/>
  <c r="D25" i="1"/>
  <c r="I30" i="1"/>
  <c r="E25" i="1" l="1"/>
  <c r="F25" i="1" s="1"/>
  <c r="H25" i="1" s="1"/>
  <c r="D26" i="1"/>
  <c r="E26" i="1" l="1"/>
  <c r="F26" i="1" s="1"/>
  <c r="H26" i="1" s="1"/>
  <c r="D27" i="1"/>
  <c r="E27" i="1" l="1"/>
  <c r="F27" i="1" s="1"/>
  <c r="H27" i="1" s="1"/>
  <c r="D28" i="1"/>
  <c r="E28" i="1" l="1"/>
  <c r="E30" i="1" s="1"/>
  <c r="D30" i="1"/>
  <c r="L38" i="1" s="1"/>
  <c r="E31" i="1" l="1"/>
  <c r="L42" i="1"/>
  <c r="F28" i="1"/>
  <c r="H28" i="1" s="1"/>
  <c r="H30" i="1" s="1"/>
  <c r="D31" i="1"/>
  <c r="G31" i="1" l="1"/>
  <c r="F30" i="1"/>
  <c r="J38" i="1" l="1"/>
  <c r="G30" i="1"/>
  <c r="F31" i="1"/>
</calcChain>
</file>

<file path=xl/sharedStrings.xml><?xml version="1.0" encoding="utf-8"?>
<sst xmlns="http://schemas.openxmlformats.org/spreadsheetml/2006/main" count="206" uniqueCount="131">
  <si>
    <t>A</t>
  </si>
  <si>
    <t>B</t>
  </si>
  <si>
    <t>C</t>
  </si>
  <si>
    <t>D</t>
  </si>
  <si>
    <t>E</t>
  </si>
  <si>
    <t>F</t>
  </si>
  <si>
    <t>G</t>
  </si>
  <si>
    <t># of Bedrooms</t>
  </si>
  <si>
    <t># of Proposed Units</t>
  </si>
  <si>
    <t>Cumulative Proposed Units</t>
  </si>
  <si>
    <t>Totals</t>
  </si>
  <si>
    <t>County</t>
  </si>
  <si>
    <t>0 &amp; 1 Bedroom Units</t>
  </si>
  <si>
    <t>2 Bedroom Units</t>
  </si>
  <si>
    <t>3 &amp; Higher Bedroom Units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</si>
  <si>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</si>
  <si>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</si>
  <si>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</si>
  <si>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</si>
  <si>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</si>
  <si>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</si>
  <si>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</si>
  <si>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</si>
  <si>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</si>
  <si>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</si>
  <si>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</si>
  <si>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</si>
  <si>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</si>
  <si>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</si>
  <si>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</si>
  <si>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</si>
  <si>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</si>
  <si>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</si>
  <si>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</si>
  <si>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</si>
  <si>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</si>
  <si>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</si>
  <si>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</si>
  <si>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</si>
  <si>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</si>
  <si>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</si>
  <si>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</si>
  <si>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</si>
  <si>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</si>
  <si>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</si>
  <si>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</si>
  <si>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</si>
  <si>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</si>
  <si>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</si>
  <si>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</si>
  <si>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</si>
  <si>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</si>
  <si>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</si>
  <si>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</si>
  <si>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</si>
  <si>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</si>
  <si>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</si>
  <si>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</si>
  <si>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</si>
  <si>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</si>
  <si>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</si>
  <si>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</si>
  <si>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</si>
  <si>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</si>
  <si>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</si>
  <si>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</si>
  <si>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</si>
  <si>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</si>
  <si>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</si>
  <si>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</si>
  <si>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</si>
  <si>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</si>
  <si>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</si>
  <si>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</si>
  <si>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</si>
  <si>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</si>
  <si>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</si>
  <si>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</si>
  <si>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</si>
  <si>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</si>
  <si>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</si>
  <si>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</si>
  <si>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Input your unit mix into this column</t>
  </si>
  <si>
    <t>&lt;Select a County&gt;</t>
  </si>
  <si>
    <t>Medium</t>
  </si>
  <si>
    <t>Small</t>
  </si>
  <si>
    <t>Large</t>
  </si>
  <si>
    <t>County Size</t>
  </si>
  <si>
    <t>Yes</t>
  </si>
  <si>
    <t>No</t>
  </si>
  <si>
    <t>&lt;Select&gt;</t>
  </si>
  <si>
    <t>&lt;Enter %&gt;</t>
  </si>
  <si>
    <t>ELI Loan cap</t>
  </si>
  <si>
    <t>Avg Inc Test</t>
  </si>
  <si>
    <t>40% @ 60%</t>
  </si>
  <si>
    <t>20% @ 50%</t>
  </si>
  <si>
    <t>RFA ELI AMI</t>
  </si>
  <si>
    <t>Garden (Not ESSC)</t>
  </si>
  <si>
    <t>Garden (ESSC)</t>
  </si>
  <si>
    <t>Mid-Rise (not ESSC)</t>
  </si>
  <si>
    <t>Mid-Rise (ESSC)</t>
  </si>
  <si>
    <t>High-Rise</t>
  </si>
  <si>
    <t>% of Proposed Units</t>
  </si>
  <si>
    <t>(This unit type is not allowed in RFA 2020-103)</t>
  </si>
  <si>
    <r>
      <t>(</t>
    </r>
    <r>
      <rPr>
        <i/>
        <sz val="10"/>
        <color theme="2" tint="-0.499984740745262"/>
        <rFont val="Calibri"/>
        <family val="2"/>
      </rPr>
      <t>§</t>
    </r>
    <r>
      <rPr>
        <i/>
        <sz val="9"/>
        <color theme="2" tint="-0.499984740745262"/>
        <rFont val="Arial"/>
        <family val="2"/>
      </rPr>
      <t xml:space="preserve"> Four, A, 5. a.)</t>
    </r>
  </si>
  <si>
    <r>
      <t>(</t>
    </r>
    <r>
      <rPr>
        <i/>
        <sz val="10"/>
        <color theme="2" tint="-0.499984740745262"/>
        <rFont val="Calibri"/>
        <family val="2"/>
      </rPr>
      <t>§</t>
    </r>
    <r>
      <rPr>
        <i/>
        <sz val="9"/>
        <color theme="2" tint="-0.499984740745262"/>
        <rFont val="Arial"/>
        <family val="2"/>
      </rPr>
      <t xml:space="preserve"> Four, A. 4. c. &amp; d.)</t>
    </r>
  </si>
  <si>
    <r>
      <t>(</t>
    </r>
    <r>
      <rPr>
        <i/>
        <sz val="10"/>
        <color theme="2" tint="-0.499984740745262"/>
        <rFont val="Calibri"/>
        <family val="2"/>
      </rPr>
      <t>§</t>
    </r>
    <r>
      <rPr>
        <i/>
        <sz val="9"/>
        <color theme="2" tint="-0.499984740745262"/>
        <rFont val="Arial"/>
        <family val="2"/>
      </rPr>
      <t xml:space="preserve"> Four, A. 6. d. (1))</t>
    </r>
  </si>
  <si>
    <t>Maximum ELI Loan Determination Worksheet</t>
  </si>
  <si>
    <t>ELI Loan Amounts Per Bedroom Count for each County.</t>
  </si>
  <si>
    <t>Intentionally left blank</t>
  </si>
  <si>
    <t>A Tool to Assist Applicants in Determining their Pro-rata Distribution of ELI Units &amp; Maximum ELI Loan Amount for those that commit to the Persons with a Disabling Condition Demgraphic Commitment</t>
  </si>
  <si>
    <t>RFA 2021-106</t>
  </si>
  <si>
    <t>Select the County in which your proposed Development is located…...........................................................................</t>
  </si>
  <si>
    <t>County size designation….......................................................................................................................................................</t>
  </si>
  <si>
    <t>Indicate the Construction Type &amp; ESSC status…...............................................................................................................................</t>
  </si>
  <si>
    <t>Indicate the IRS Minimum Set-Aside Commitment…........................................................................................................</t>
  </si>
  <si>
    <t>Is the proposed Development located in an LDA?............................................................................................................</t>
  </si>
  <si>
    <t>What is the Demographic Commitment?...................................................................................................................................</t>
  </si>
  <si>
    <t>Is the proposed Development 100% New Construction?....................................................................................................</t>
  </si>
  <si>
    <t>Persons with Developmental Disabilities</t>
  </si>
  <si>
    <t>Persons with Disabling Condition</t>
  </si>
  <si>
    <t>What is the maximum ELI Set-Aside funded with SAIL-ELI (% of Total Units)?.................................................</t>
  </si>
  <si>
    <r>
      <t>(</t>
    </r>
    <r>
      <rPr>
        <i/>
        <sz val="10"/>
        <color theme="2" tint="-0.499984740745262"/>
        <rFont val="Calibri"/>
        <family val="2"/>
      </rPr>
      <t>§</t>
    </r>
    <r>
      <rPr>
        <i/>
        <sz val="9"/>
        <color theme="2" tint="-0.499984740745262"/>
        <rFont val="Arial"/>
        <family val="2"/>
      </rPr>
      <t xml:space="preserve"> Four, A, 6. d. (2)(b))</t>
    </r>
  </si>
  <si>
    <r>
      <t>(</t>
    </r>
    <r>
      <rPr>
        <i/>
        <sz val="10"/>
        <color theme="2" tint="-0.499984740745262"/>
        <rFont val="Calibri"/>
        <family val="2"/>
      </rPr>
      <t>§</t>
    </r>
    <r>
      <rPr>
        <i/>
        <sz val="9"/>
        <color theme="2" tint="-0.499984740745262"/>
        <rFont val="Arial"/>
        <family val="2"/>
      </rPr>
      <t xml:space="preserve"> Four, A, 2. a.)</t>
    </r>
  </si>
  <si>
    <t>IRO</t>
  </si>
  <si>
    <t>IRO Units</t>
  </si>
  <si>
    <t>The number of funded ELI units will be determined by taking 5% of total units, rounded up to the next whole number.  The number of funded ELI units will be determined by taking 15% of total units, rounded up to the next whole number, and subtracting the number of ELI units that are inclusive of the 9% HC funding (10% of total units, rounded up to the next whole number).</t>
  </si>
  <si>
    <t>What is the Applicant's Overall ELI Set-Aside Commitment?........................................................................................................</t>
  </si>
  <si>
    <t>What ELI Set-Aside Commitment is covered by the 9% HC Allocation?...................................................................................</t>
  </si>
  <si>
    <r>
      <t xml:space="preserve">The table below is intended to assist an Applicant in RFA 2021-106 to determine the maximum amount of an ELI Loan that may be requested in its Application based on the proposed Unit mix.  The ELI Loan amount is based on distributing the ELI Units pro-rata across the entire Unit mix, up to the specific maximum identified in the RFA, rounding up to a whole number of units, and then applying the relative per unit ELI Loan limitations to each ELI Unit.  </t>
    </r>
    <r>
      <rPr>
        <u/>
        <sz val="10"/>
        <color theme="1"/>
        <rFont val="Arial"/>
        <family val="2"/>
      </rPr>
      <t>This ELI Loan funding is only available to Applicants that commit to the Persons with a Disabling Condition Demographic Commitment that do NOT commit to the Average Income Test for the minimum set-aside commitment of Section 42 of the IRC.</t>
    </r>
  </si>
  <si>
    <r>
      <t xml:space="preserve">This RFA provides ELI Loan funding for up to 5% of the total units for those developments that qualify for said ELI funding (and indicated in the Table's Column E).  The number of funded ELI units will be determined by taking 15% of total units, rounded up to the next whole number (identified in the Table's Column C, and subtracting the number of ELI units that are inclusive of the 9% HC funding (10% of total units, rounded up to the next whole number identified in the Table's Column D).
Please identify the county in which the propsed Development will be located at question 1.  Input the number of Units the proposed Development will have in the Table's Column B below, separated by how many bedrooms are in each of the proposed Units.  The Table's Column C is set-up to provide the correct overall ELI Unit distribution based on the Applicant's ELI Set-Aside commitment </t>
    </r>
    <r>
      <rPr>
        <i/>
        <sz val="10"/>
        <color theme="1"/>
        <rFont val="Arial"/>
        <family val="2"/>
      </rPr>
      <t>(the response to question 4)</t>
    </r>
    <r>
      <rPr>
        <sz val="10"/>
        <color theme="1"/>
        <rFont val="Arial"/>
        <family val="2"/>
      </rPr>
      <t xml:space="preserve"> with the Table's Column D assigning the ELI units associated to the 9% HC funding while the Table's Column E provides the correct number of ELI Unit distribution for those ELI Units being funded with the ELI Loan funding.  The amount for the total in the Table's Column G provides the Applicant with the maximum ELI Loan funding allowable in the RFA.  This information can be used by the Applicant to determine how much ELI Loan funding to request </t>
    </r>
    <r>
      <rPr>
        <i/>
        <sz val="10"/>
        <color theme="1"/>
        <rFont val="Arial"/>
        <family val="2"/>
      </rPr>
      <t>(at or below the maximum allowed in the RFA)</t>
    </r>
    <r>
      <rPr>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</si>
</sst>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quot;.&quot;"/>
    <numFmt numFmtId="165" formatCode="0.0"/>
  </numFmts>
  <fonts count="20" x14ac:knownFonts="1">
    <font>
      <sz val="10"/>
      <color theme="1"/>
      <name val="Arial"/>
      <family val="2"/>
    </font>
    <font>
      <sz val="10"/>
      <color theme="1"/>
      <name val="Arial"/>
      <family val="2"/>
    </font>
    <font>
      <b/>
      <sz val="10"/>
      <color theme="1"/>
      <name val="Arial"/>
      <family val="2"/>
    </font>
    <font>
      <sz val="10"/>
      <color rgb="FF0000FF"/>
      <name val="Arial"/>
      <family val="2"/>
    </font>
    <font>
      <sz val="9"/>
      <color theme="1"/>
      <name val="Arial"/>
      <family val="2"/>
    </font>
    <font>
      <i/>
      <sz val="9"/>
      <color theme="1"/>
      <name val="Arial"/>
      <family val="2"/>
    </font>
    <font>
      <i/>
      <sz val="10"/>
      <color theme="1"/>
      <name val="Arial"/>
      <family val="2"/>
    </font>
    <font>
      <sz val="10"/>
      <color theme="0"/>
      <name val="Arial"/>
      <family val="2"/>
    </font>
    <font>
      <sz val="10"/>
      <name val="Arial"/>
      <family val="2"/>
    </font>
    <font>
      <b/>
      <i/>
      <sz val="12"/>
      <color theme="1"/>
      <name val="Arial"/>
      <family val="2"/>
    </font>
    <font>
      <b/>
      <sz val="10"/>
      <color rgb="FF7030A0"/>
      <name val="Arial"/>
      <family val="2"/>
    </font>
    <font>
      <i/>
      <sz val="10"/>
      <color theme="2" tint="-0.499984740745262"/>
      <name val="Arial"/>
      <family val="2"/>
    </font>
    <font>
      <i/>
      <sz val="10"/>
      <color theme="2" tint="-0.499984740745262"/>
      <name val="Calibri"/>
      <family val="2"/>
    </font>
    <font>
      <i/>
      <sz val="9"/>
      <color theme="2" tint="-0.499984740745262"/>
      <name val="Arial"/>
      <family val="2"/>
    </font>
    <font>
      <u/>
      <sz val="10"/>
      <color theme="1"/>
      <name val="Arial"/>
      <family val="2"/>
    </font>
    <font>
      <b/>
      <sz val="10"/>
      <color theme="0"/>
      <name val="Arial"/>
      <family val="2"/>
    </font>
    <font>
      <b/>
      <i/>
      <sz val="10"/>
      <color rgb="FFC00000"/>
      <name val="Arial"/>
      <family val="2"/>
    </font>
    <font>
      <b/>
      <sz val="11"/>
      <color theme="1"/>
      <name val="Arial"/>
      <family val="2"/>
    </font>
    <font>
      <sz val="8"/>
      <color theme="1"/>
      <name val="Arial"/>
      <family val="2"/>
    </font>
    <font>
      <b/>
      <sz val="10"/>
      <color rgb="FFFF0000"/>
      <name val="Arial"/>
      <family val="2"/>
    </font>
  </fonts>
  <fills count="11">
    <fill>
      <patternFill patternType="none"/>
    </fill>
    <fill>
      <patternFill patternType="gray125"/>
    </fill>
    <fill>
      <patternFill patternType="solid">
        <fgColor theme="0"/>
        <bgColor indexed="64"/>
      </patternFill>
    </fill>
    <fill>
      <patternFill patternType="mediumGray">
        <fgColor theme="0"/>
        <bgColor rgb="FFFFFFCC"/>
      </patternFill>
    </fill>
    <fill>
      <patternFill patternType="solid">
        <fgColor theme="0"/>
        <bgColor theme="0" tint="-0.24994659260841701"/>
      </patternFill>
    </fill>
    <fill>
      <patternFill patternType="solid">
        <fgColor indexed="65"/>
        <bgColor indexed="64"/>
      </patternFill>
    </fill>
    <fill>
      <patternFill patternType="solid">
        <fgColor rgb="FFEFFFEF"/>
        <bgColor indexed="64"/>
      </patternFill>
    </fill>
    <fill>
      <patternFill patternType="solid">
        <fgColor theme="0"/>
        <bgColor auto="1"/>
      </patternFill>
    </fill>
    <fill>
      <patternFill patternType="mediumGray">
        <fgColor theme="0"/>
        <bgColor theme="0"/>
      </patternFill>
    </fill>
    <fill>
      <patternFill patternType="lightUp">
        <fgColor theme="0" tint="-0.24994659260841701"/>
        <bgColor indexed="65"/>
      </patternFill>
    </fill>
    <fill>
      <patternFill patternType="solid">
        <fgColor theme="0" tint="-0.14999847407452621"/>
        <bgColor indexed="64"/>
      </patternFill>
    </fill>
  </fills>
  <borders count="59">
    <border>
      <left/>
      <right/>
      <top/>
      <bottom/>
      <diagonal/>
    </border>
    <border>
      <left style="medium">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style="medium">
        <color theme="1"/>
      </right>
      <top style="medium">
        <color theme="1"/>
      </top>
      <bottom style="thin">
        <color theme="1"/>
      </bottom>
      <diagonal/>
    </border>
    <border>
      <left style="medium">
        <color theme="1"/>
      </left>
      <right style="hair">
        <color theme="1"/>
      </right>
      <top/>
      <bottom/>
      <diagonal/>
    </border>
    <border>
      <left style="hair">
        <color theme="1"/>
      </left>
      <right style="hair">
        <color theme="1"/>
      </right>
      <top/>
      <bottom/>
      <diagonal/>
    </border>
    <border>
      <left style="hair">
        <color theme="1"/>
      </left>
      <right style="medium">
        <color theme="1"/>
      </right>
      <top/>
      <bottom/>
      <diagonal/>
    </border>
    <border>
      <left style="medium">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theme="1"/>
      </left>
      <right style="hair">
        <color theme="1"/>
      </right>
      <top/>
      <bottom style="double">
        <color theme="1"/>
      </bottom>
      <diagonal/>
    </border>
    <border>
      <left style="hair">
        <color theme="1"/>
      </left>
      <right style="hair">
        <color theme="1"/>
      </right>
      <top/>
      <bottom style="double">
        <color theme="1"/>
      </bottom>
      <diagonal/>
    </border>
    <border>
      <left style="hair">
        <color theme="1"/>
      </left>
      <right style="medium">
        <color theme="1"/>
      </right>
      <top/>
      <bottom style="double">
        <color theme="1"/>
      </bottom>
      <diagonal/>
    </border>
    <border>
      <left style="medium">
        <color theme="1"/>
      </left>
      <right style="hair">
        <color theme="1"/>
      </right>
      <top/>
      <bottom style="medium">
        <color theme="1"/>
      </bottom>
      <diagonal/>
    </border>
    <border>
      <left style="hair">
        <color theme="1"/>
      </left>
      <right style="hair">
        <color theme="1"/>
      </right>
      <top/>
      <bottom style="medium">
        <color theme="1"/>
      </bottom>
      <diagonal/>
    </border>
    <border>
      <left style="hair">
        <color theme="1"/>
      </left>
      <right style="hair">
        <color theme="1"/>
      </right>
      <top style="medium">
        <color theme="1"/>
      </top>
      <bottom/>
      <diagonal/>
    </border>
    <border>
      <left style="hair">
        <color theme="1"/>
      </left>
      <right/>
      <top/>
      <bottom style="medium">
        <color theme="1"/>
      </bottom>
      <diagonal/>
    </border>
    <border>
      <left style="double">
        <color theme="1"/>
      </left>
      <right style="double">
        <color theme="1"/>
      </right>
      <top/>
      <bottom/>
      <diagonal/>
    </border>
    <border>
      <left style="double">
        <color theme="1"/>
      </left>
      <right style="double">
        <color theme="1"/>
      </right>
      <top/>
      <bottom style="double">
        <color theme="1"/>
      </bottom>
      <diagonal/>
    </border>
    <border>
      <left style="double">
        <color theme="1"/>
      </left>
      <right style="double">
        <color theme="1"/>
      </right>
      <top style="double">
        <color theme="1"/>
      </top>
      <bottom style="medium">
        <color theme="1"/>
      </bottom>
      <diagonal/>
    </border>
    <border>
      <left style="medium">
        <color theme="1"/>
      </left>
      <right/>
      <top/>
      <bottom/>
      <diagonal/>
    </border>
    <border>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hair">
        <color theme="1"/>
      </bottom>
      <diagonal/>
    </border>
    <border>
      <left/>
      <right/>
      <top/>
      <bottom style="hair">
        <color theme="1"/>
      </bottom>
      <diagonal/>
    </border>
    <border>
      <left/>
      <right style="medium">
        <color theme="1"/>
      </right>
      <top/>
      <bottom style="hair">
        <color theme="1"/>
      </bottom>
      <diagonal/>
    </border>
    <border>
      <left style="medium">
        <color theme="1"/>
      </left>
      <right/>
      <top style="hair">
        <color theme="1"/>
      </top>
      <bottom style="hair">
        <color theme="1"/>
      </bottom>
      <diagonal/>
    </border>
    <border>
      <left/>
      <right/>
      <top style="hair">
        <color theme="1"/>
      </top>
      <bottom style="hair">
        <color theme="1"/>
      </bottom>
      <diagonal/>
    </border>
    <border>
      <left/>
      <right style="medium">
        <color theme="1"/>
      </right>
      <top style="hair">
        <color theme="1"/>
      </top>
      <bottom style="hair">
        <color theme="1"/>
      </bottom>
      <diagonal/>
    </border>
    <border>
      <left/>
      <right/>
      <top/>
      <bottom style="thin">
        <color theme="1"/>
      </bottom>
      <diagonal/>
    </border>
    <border>
      <left/>
      <right/>
      <top style="thin">
        <color theme="1"/>
      </top>
      <bottom style="thin">
        <color rgb="FF0000FF"/>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hair">
        <color theme="1"/>
      </bottom>
      <diagonal/>
    </border>
    <border>
      <left style="medium">
        <color theme="1"/>
      </left>
      <right style="medium">
        <color theme="1"/>
      </right>
      <top style="hair">
        <color theme="1"/>
      </top>
      <bottom style="hair">
        <color theme="1"/>
      </bottom>
      <diagonal/>
    </border>
    <border>
      <left/>
      <right style="double">
        <color theme="1"/>
      </right>
      <top style="medium">
        <color theme="1"/>
      </top>
      <bottom/>
      <diagonal/>
    </border>
    <border>
      <left/>
      <right style="double">
        <color theme="1"/>
      </right>
      <top/>
      <bottom/>
      <diagonal/>
    </border>
    <border>
      <left style="medium">
        <color theme="1"/>
      </left>
      <right style="medium">
        <color theme="1"/>
      </right>
      <top style="hair">
        <color theme="1"/>
      </top>
      <bottom style="medium">
        <color theme="1"/>
      </bottom>
      <diagonal/>
    </border>
    <border>
      <left style="medium">
        <color theme="1"/>
      </left>
      <right style="medium">
        <color theme="1"/>
      </right>
      <top style="hair">
        <color theme="1"/>
      </top>
      <bottom style="double">
        <color theme="1"/>
      </bottom>
      <diagonal/>
    </border>
    <border>
      <left style="medium">
        <color theme="1"/>
      </left>
      <right style="medium">
        <color theme="1"/>
      </right>
      <top style="medium">
        <color theme="1"/>
      </top>
      <bottom style="thin">
        <color theme="1"/>
      </bottom>
      <diagonal/>
    </border>
    <border>
      <left style="double">
        <color theme="1"/>
      </left>
      <right style="medium">
        <color theme="1"/>
      </right>
      <top style="double">
        <color theme="1"/>
      </top>
      <bottom style="medium">
        <color theme="1"/>
      </bottom>
      <diagonal/>
    </border>
    <border>
      <left style="medium">
        <color theme="1"/>
      </left>
      <right/>
      <top style="hair">
        <color theme="1"/>
      </top>
      <bottom style="medium">
        <color theme="1"/>
      </bottom>
      <diagonal/>
    </border>
    <border>
      <left/>
      <right/>
      <top style="hair">
        <color theme="1"/>
      </top>
      <bottom style="medium">
        <color theme="1"/>
      </bottom>
      <diagonal/>
    </border>
    <border>
      <left/>
      <right style="medium">
        <color theme="1"/>
      </right>
      <top style="hair">
        <color theme="1"/>
      </top>
      <bottom style="medium">
        <color theme="1"/>
      </bottom>
      <diagonal/>
    </border>
    <border>
      <left/>
      <right/>
      <top style="thin">
        <color theme="1"/>
      </top>
      <bottom style="thin">
        <color theme="1"/>
      </bottom>
      <diagonal/>
    </border>
    <border>
      <left style="hair">
        <color theme="1"/>
      </left>
      <right/>
      <top/>
      <bottom style="hair">
        <color theme="1"/>
      </bottom>
      <diagonal/>
    </border>
    <border>
      <left/>
      <right style="hair">
        <color theme="1"/>
      </right>
      <top style="hair">
        <color theme="1"/>
      </top>
      <bottom/>
      <diagonal/>
    </border>
    <border>
      <left/>
      <right style="hair">
        <color theme="1"/>
      </right>
      <top/>
      <bottom/>
      <diagonal/>
    </border>
    <border>
      <left/>
      <right style="hair">
        <color theme="1"/>
      </right>
      <top/>
      <bottom style="hair">
        <color theme="1"/>
      </bottom>
      <diagonal/>
    </border>
    <border>
      <left style="medium">
        <color theme="1"/>
      </left>
      <right/>
      <top style="hair">
        <color theme="1"/>
      </top>
      <bottom/>
      <diagonal/>
    </border>
    <border>
      <left style="hair">
        <color theme="1"/>
      </left>
      <right/>
      <top/>
      <bottom/>
      <diagonal/>
    </border>
    <border>
      <left style="hair">
        <color theme="1"/>
      </left>
      <right/>
      <top style="hair">
        <color theme="1"/>
      </top>
      <bottom/>
      <diagonal/>
    </border>
    <border>
      <left/>
      <right style="hair">
        <color theme="1"/>
      </right>
      <top style="medium">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2" fillId="2" borderId="0" xfId="0" applyFont="1" applyFill="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4" borderId="2" xfId="0" applyFont="1" applyFill="1" applyBorder="1" applyAlignment="1">
      <alignment horizontal="center" wrapText="1"/>
    </xf>
    <xf numFmtId="0" fontId="3" fillId="2" borderId="5" xfId="0" applyFont="1" applyFill="1" applyBorder="1" applyAlignment="1">
      <alignment horizontal="right" vertical="center" indent="1"/>
    </xf>
    <xf numFmtId="0" fontId="3" fillId="0" borderId="13" xfId="0" applyFont="1" applyBorder="1" applyAlignment="1">
      <alignment horizontal="right" vertical="center" indent="1"/>
    </xf>
    <xf numFmtId="0" fontId="2" fillId="0" borderId="15" xfId="0" applyFont="1" applyBorder="1" applyAlignment="1">
      <alignment horizontal="center" vertical="center"/>
    </xf>
    <xf numFmtId="9" fontId="0" fillId="2" borderId="28" xfId="1" applyFont="1" applyFill="1" applyBorder="1" applyAlignment="1">
      <alignment horizontal="center" vertical="center"/>
    </xf>
    <xf numFmtId="9" fontId="0" fillId="2" borderId="31" xfId="1" applyFont="1" applyFill="1" applyBorder="1" applyAlignment="1">
      <alignment horizontal="center" vertical="center"/>
    </xf>
    <xf numFmtId="0" fontId="2" fillId="2" borderId="0" xfId="0" applyFont="1" applyFill="1"/>
    <xf numFmtId="0" fontId="0" fillId="0" borderId="0" xfId="0" applyFont="1"/>
    <xf numFmtId="0" fontId="0" fillId="2" borderId="0" xfId="0" applyFont="1" applyFill="1"/>
    <xf numFmtId="0" fontId="0" fillId="2" borderId="0" xfId="0" applyFont="1" applyFill="1" applyAlignment="1">
      <alignment horizontal="right"/>
    </xf>
    <xf numFmtId="0" fontId="0" fillId="2" borderId="4" xfId="0" applyFont="1" applyFill="1" applyBorder="1" applyAlignment="1">
      <alignment horizontal="center" vertical="center"/>
    </xf>
    <xf numFmtId="0" fontId="0" fillId="2" borderId="5" xfId="0" applyFont="1" applyFill="1" applyBorder="1" applyAlignment="1">
      <alignment vertical="center"/>
    </xf>
    <xf numFmtId="0" fontId="0" fillId="2" borderId="5" xfId="0" applyFont="1" applyFill="1" applyBorder="1" applyAlignment="1">
      <alignment horizontal="right" vertical="center"/>
    </xf>
    <xf numFmtId="0" fontId="0" fillId="0" borderId="7" xfId="0" applyFont="1" applyBorder="1" applyAlignment="1">
      <alignment horizontal="center" vertical="center"/>
    </xf>
    <xf numFmtId="38" fontId="0" fillId="0" borderId="8" xfId="0" applyNumberFormat="1" applyFont="1" applyBorder="1" applyAlignment="1">
      <alignment horizontal="right" vertical="center" indent="2"/>
    </xf>
    <xf numFmtId="6" fontId="0" fillId="0" borderId="8" xfId="0" applyNumberFormat="1" applyFont="1" applyBorder="1" applyAlignment="1">
      <alignment horizontal="right" vertical="center" indent="1"/>
    </xf>
    <xf numFmtId="0" fontId="0" fillId="0" borderId="10" xfId="0" applyFont="1" applyBorder="1" applyAlignment="1">
      <alignment horizontal="center" vertical="center"/>
    </xf>
    <xf numFmtId="38" fontId="0" fillId="0" borderId="11" xfId="0" applyNumberFormat="1" applyFont="1" applyBorder="1" applyAlignment="1">
      <alignment horizontal="right" vertical="center" indent="2"/>
    </xf>
    <xf numFmtId="0" fontId="0" fillId="0" borderId="12" xfId="0" applyFont="1" applyBorder="1" applyAlignment="1">
      <alignment horizontal="center" vertical="center"/>
    </xf>
    <xf numFmtId="0" fontId="0" fillId="0" borderId="13" xfId="0" applyFont="1" applyBorder="1" applyAlignment="1">
      <alignment horizontal="right" vertical="center" indent="2"/>
    </xf>
    <xf numFmtId="0" fontId="0" fillId="5" borderId="13" xfId="0" applyFont="1" applyFill="1" applyBorder="1" applyAlignment="1">
      <alignment horizontal="right" vertical="center" indent="2"/>
    </xf>
    <xf numFmtId="6" fontId="0" fillId="0" borderId="13" xfId="0" applyNumberFormat="1" applyFont="1" applyBorder="1" applyAlignment="1">
      <alignment horizontal="right" vertical="center" indent="1"/>
    </xf>
    <xf numFmtId="38" fontId="0" fillId="0" borderId="16" xfId="0" applyNumberFormat="1" applyFont="1" applyBorder="1" applyAlignment="1">
      <alignment horizontal="right" vertical="center" indent="2"/>
    </xf>
    <xf numFmtId="6" fontId="0" fillId="0" borderId="18" xfId="0" applyNumberFormat="1" applyFont="1" applyBorder="1" applyAlignment="1">
      <alignment horizontal="right" vertical="center" indent="1"/>
    </xf>
    <xf numFmtId="0" fontId="0" fillId="2" borderId="0" xfId="0" applyFont="1" applyFill="1" applyAlignment="1">
      <alignment vertical="center" wrapText="1"/>
    </xf>
    <xf numFmtId="0" fontId="2" fillId="2" borderId="24" xfId="0" applyFont="1" applyFill="1" applyBorder="1" applyAlignment="1">
      <alignment horizontal="left" indent="1"/>
    </xf>
    <xf numFmtId="0" fontId="2" fillId="2" borderId="25" xfId="0" applyFont="1" applyFill="1" applyBorder="1" applyAlignment="1">
      <alignment horizontal="center" wrapText="1"/>
    </xf>
    <xf numFmtId="0" fontId="2" fillId="2" borderId="0" xfId="0" applyFont="1" applyFill="1" applyBorder="1" applyAlignment="1">
      <alignment horizontal="center" wrapText="1"/>
    </xf>
    <xf numFmtId="0" fontId="2" fillId="2" borderId="23" xfId="0" applyFont="1" applyFill="1" applyBorder="1" applyAlignment="1">
      <alignment horizontal="center" wrapText="1"/>
    </xf>
    <xf numFmtId="0" fontId="0" fillId="2" borderId="27" xfId="0" applyFont="1" applyFill="1" applyBorder="1" applyAlignment="1">
      <alignment horizontal="left" vertical="center" indent="1"/>
    </xf>
    <xf numFmtId="6" fontId="0" fillId="2" borderId="28" xfId="0" applyNumberFormat="1" applyFont="1" applyFill="1" applyBorder="1" applyAlignment="1">
      <alignment horizontal="center" vertical="center"/>
    </xf>
    <xf numFmtId="0" fontId="0" fillId="2" borderId="30" xfId="0" applyFont="1" applyFill="1" applyBorder="1" applyAlignment="1">
      <alignment horizontal="left" vertical="center" indent="1"/>
    </xf>
    <xf numFmtId="6" fontId="0" fillId="2" borderId="31" xfId="0" applyNumberFormat="1" applyFont="1" applyFill="1" applyBorder="1" applyAlignment="1">
      <alignment horizontal="center" vertical="center"/>
    </xf>
    <xf numFmtId="0" fontId="2" fillId="6" borderId="3" xfId="0" applyFont="1" applyFill="1" applyBorder="1" applyAlignment="1">
      <alignment horizontal="center" wrapText="1"/>
    </xf>
    <xf numFmtId="0" fontId="2" fillId="6" borderId="6" xfId="0" applyFont="1" applyFill="1" applyBorder="1" applyAlignment="1">
      <alignment vertical="center"/>
    </xf>
    <xf numFmtId="6" fontId="2" fillId="6" borderId="9" xfId="0" applyNumberFormat="1" applyFont="1" applyFill="1" applyBorder="1" applyAlignment="1">
      <alignment horizontal="right" vertical="center" indent="1"/>
    </xf>
    <xf numFmtId="6" fontId="2" fillId="6" borderId="14" xfId="0" applyNumberFormat="1" applyFont="1" applyFill="1" applyBorder="1" applyAlignment="1">
      <alignment horizontal="right" vertical="center" indent="1"/>
    </xf>
    <xf numFmtId="6" fontId="2" fillId="6" borderId="21" xfId="0" applyNumberFormat="1" applyFont="1" applyFill="1" applyBorder="1" applyAlignment="1">
      <alignment horizontal="right" vertical="center" indent="1"/>
    </xf>
    <xf numFmtId="38" fontId="2" fillId="0" borderId="16" xfId="0" applyNumberFormat="1" applyFont="1" applyBorder="1" applyAlignment="1">
      <alignment horizontal="right" vertical="center" indent="1"/>
    </xf>
    <xf numFmtId="0" fontId="7" fillId="2" borderId="22" xfId="0" applyFont="1" applyFill="1" applyBorder="1" applyAlignment="1">
      <alignment horizontal="left" indent="1"/>
    </xf>
    <xf numFmtId="9" fontId="3" fillId="3" borderId="34" xfId="0" applyNumberFormat="1" applyFont="1" applyFill="1" applyBorder="1" applyAlignment="1" applyProtection="1">
      <alignment horizontal="center" vertical="center"/>
      <protection locked="0"/>
    </xf>
    <xf numFmtId="38" fontId="3" fillId="3" borderId="8" xfId="0" applyNumberFormat="1" applyFont="1" applyFill="1" applyBorder="1" applyAlignment="1" applyProtection="1">
      <alignment horizontal="right" vertical="center" indent="1"/>
      <protection locked="0"/>
    </xf>
    <xf numFmtId="38" fontId="3" fillId="3" borderId="11" xfId="0" applyNumberFormat="1" applyFont="1" applyFill="1" applyBorder="1" applyAlignment="1" applyProtection="1">
      <alignment horizontal="right" vertical="center" indent="1"/>
      <protection locked="0"/>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6" fontId="0" fillId="2" borderId="37" xfId="0" applyNumberFormat="1" applyFont="1" applyFill="1" applyBorder="1" applyAlignment="1">
      <alignment horizontal="center" vertical="center"/>
    </xf>
    <xf numFmtId="6" fontId="0" fillId="2" borderId="38" xfId="0" applyNumberFormat="1" applyFont="1" applyFill="1" applyBorder="1" applyAlignment="1">
      <alignment horizontal="center" vertical="center"/>
    </xf>
    <xf numFmtId="0" fontId="0" fillId="2" borderId="0" xfId="0" applyFont="1" applyFill="1" applyBorder="1" applyAlignment="1">
      <alignment horizontal="left" vertical="center" indent="1"/>
    </xf>
    <xf numFmtId="9" fontId="0" fillId="0" borderId="0" xfId="0" applyNumberFormat="1" applyFont="1"/>
    <xf numFmtId="9" fontId="0" fillId="0" borderId="0" xfId="1" applyFont="1" applyAlignment="1">
      <alignment horizontal="center"/>
    </xf>
    <xf numFmtId="0" fontId="0" fillId="2" borderId="0" xfId="0" applyFont="1" applyFill="1" applyAlignment="1">
      <alignment horizontal="left"/>
    </xf>
    <xf numFmtId="0" fontId="0" fillId="0" borderId="0" xfId="0" applyFont="1" applyFill="1" applyBorder="1"/>
    <xf numFmtId="9" fontId="0" fillId="0" borderId="0" xfId="1" applyFont="1" applyFill="1" applyBorder="1" applyAlignment="1">
      <alignment horizontal="center"/>
    </xf>
    <xf numFmtId="0" fontId="0" fillId="0" borderId="0" xfId="0" applyFont="1" applyFill="1" applyBorder="1" applyAlignment="1">
      <alignment horizontal="center"/>
    </xf>
    <xf numFmtId="6" fontId="0" fillId="2" borderId="41"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0" fillId="0" borderId="42" xfId="0" applyFont="1" applyBorder="1"/>
    <xf numFmtId="0" fontId="0" fillId="0" borderId="36" xfId="0" applyFont="1" applyBorder="1"/>
    <xf numFmtId="0" fontId="2" fillId="0" borderId="43" xfId="0" applyFont="1" applyBorder="1" applyAlignment="1">
      <alignment horizontal="center"/>
    </xf>
    <xf numFmtId="10" fontId="0" fillId="0" borderId="37" xfId="1" applyNumberFormat="1" applyFont="1" applyBorder="1" applyAlignment="1">
      <alignment horizontal="right" vertical="center" indent="1"/>
    </xf>
    <xf numFmtId="10" fontId="0" fillId="0" borderId="44" xfId="1" applyNumberFormat="1" applyFont="1" applyBorder="1" applyAlignment="1">
      <alignment horizontal="right" vertical="center" indent="1"/>
    </xf>
    <xf numFmtId="0" fontId="11" fillId="0" borderId="0" xfId="0" applyFont="1" applyAlignment="1">
      <alignment horizontal="left" vertical="center"/>
    </xf>
    <xf numFmtId="0" fontId="11" fillId="0" borderId="0" xfId="0" applyFont="1" applyAlignment="1">
      <alignment horizontal="left"/>
    </xf>
    <xf numFmtId="0" fontId="11" fillId="0" borderId="0" xfId="0" quotePrefix="1" applyFont="1" applyAlignment="1">
      <alignment horizontal="left" vertical="center"/>
    </xf>
    <xf numFmtId="0" fontId="0" fillId="2" borderId="0" xfId="0" applyFont="1" applyFill="1" applyBorder="1"/>
    <xf numFmtId="0" fontId="0" fillId="2" borderId="45" xfId="0" applyFont="1" applyFill="1" applyBorder="1" applyAlignment="1">
      <alignment horizontal="left" vertical="center" indent="1"/>
    </xf>
    <xf numFmtId="9" fontId="0" fillId="2" borderId="46" xfId="1" applyFont="1" applyFill="1" applyBorder="1" applyAlignment="1">
      <alignment horizontal="center" vertical="center"/>
    </xf>
    <xf numFmtId="6" fontId="0" fillId="2" borderId="46" xfId="0" applyNumberFormat="1" applyFont="1" applyFill="1" applyBorder="1" applyAlignment="1">
      <alignment horizontal="center" vertical="center"/>
    </xf>
    <xf numFmtId="6" fontId="7" fillId="2" borderId="29" xfId="0" applyNumberFormat="1" applyFont="1" applyFill="1" applyBorder="1" applyAlignment="1">
      <alignment horizontal="center" vertical="center"/>
    </xf>
    <xf numFmtId="6" fontId="7" fillId="2" borderId="32" xfId="0" applyNumberFormat="1" applyFont="1" applyFill="1" applyBorder="1" applyAlignment="1">
      <alignment horizontal="center" vertical="center"/>
    </xf>
    <xf numFmtId="6" fontId="7" fillId="2" borderId="47" xfId="0" applyNumberFormat="1" applyFont="1" applyFill="1" applyBorder="1" applyAlignment="1">
      <alignment horizontal="center" vertical="center"/>
    </xf>
    <xf numFmtId="0" fontId="15" fillId="2" borderId="26" xfId="0" applyFont="1" applyFill="1" applyBorder="1" applyAlignment="1">
      <alignment horizontal="center" wrapText="1"/>
    </xf>
    <xf numFmtId="0" fontId="11" fillId="0" borderId="0" xfId="0" applyFont="1" applyAlignment="1">
      <alignment horizontal="left" vertical="center"/>
    </xf>
    <xf numFmtId="164" fontId="2" fillId="0" borderId="0" xfId="0" applyNumberFormat="1" applyFont="1"/>
    <xf numFmtId="164" fontId="2" fillId="9" borderId="0" xfId="0" applyNumberFormat="1" applyFont="1" applyFill="1"/>
    <xf numFmtId="0" fontId="15" fillId="2" borderId="25" xfId="0" applyFont="1" applyFill="1" applyBorder="1" applyAlignment="1">
      <alignment horizontal="center" wrapText="1"/>
    </xf>
    <xf numFmtId="0" fontId="15" fillId="2" borderId="0" xfId="0" applyFont="1" applyFill="1" applyBorder="1" applyAlignment="1">
      <alignment horizontal="center" wrapText="1"/>
    </xf>
    <xf numFmtId="6" fontId="7" fillId="2" borderId="37" xfId="0" applyNumberFormat="1" applyFont="1" applyFill="1" applyBorder="1" applyAlignment="1">
      <alignment horizontal="center" vertical="center"/>
    </xf>
    <xf numFmtId="6" fontId="7" fillId="2" borderId="38" xfId="0" applyNumberFormat="1" applyFont="1" applyFill="1" applyBorder="1" applyAlignment="1">
      <alignment horizontal="center" vertical="center"/>
    </xf>
    <xf numFmtId="6" fontId="7" fillId="2" borderId="41" xfId="0" applyNumberFormat="1" applyFont="1" applyFill="1" applyBorder="1" applyAlignment="1">
      <alignment horizontal="center" vertical="center"/>
    </xf>
    <xf numFmtId="165" fontId="0" fillId="0" borderId="0" xfId="0" applyNumberFormat="1" applyFont="1"/>
    <xf numFmtId="0" fontId="11" fillId="0" borderId="22" xfId="0" applyFont="1" applyBorder="1" applyAlignment="1">
      <alignment vertical="center"/>
    </xf>
    <xf numFmtId="0" fontId="11" fillId="0" borderId="0" xfId="0" applyFont="1" applyAlignment="1">
      <alignment vertical="center"/>
    </xf>
    <xf numFmtId="0" fontId="16" fillId="0" borderId="0" xfId="0" applyFont="1" applyAlignment="1">
      <alignment horizontal="left" vertical="center"/>
    </xf>
    <xf numFmtId="0" fontId="0" fillId="0" borderId="0" xfId="0" quotePrefix="1" applyFont="1"/>
    <xf numFmtId="38" fontId="0" fillId="4" borderId="8" xfId="0" applyNumberFormat="1" applyFont="1" applyFill="1" applyBorder="1" applyAlignment="1">
      <alignment horizontal="right" vertical="center" indent="2"/>
    </xf>
    <xf numFmtId="0" fontId="0" fillId="10" borderId="10" xfId="0" applyFont="1" applyFill="1" applyBorder="1" applyAlignment="1">
      <alignment horizontal="center" vertical="center"/>
    </xf>
    <xf numFmtId="0" fontId="0" fillId="10" borderId="7" xfId="0" applyFont="1" applyFill="1" applyBorder="1" applyAlignment="1">
      <alignment horizontal="center" vertical="center"/>
    </xf>
    <xf numFmtId="6" fontId="0" fillId="0" borderId="33" xfId="0" applyNumberFormat="1" applyFont="1" applyBorder="1" applyAlignment="1">
      <alignment horizontal="center"/>
    </xf>
    <xf numFmtId="9" fontId="0" fillId="8" borderId="48"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6" fontId="8" fillId="7" borderId="0" xfId="0" applyNumberFormat="1" applyFont="1" applyFill="1" applyBorder="1" applyAlignment="1" applyProtection="1">
      <alignment horizontal="center" vertical="center"/>
    </xf>
    <xf numFmtId="0" fontId="2" fillId="6" borderId="19" xfId="0" applyFont="1" applyFill="1" applyBorder="1" applyAlignment="1">
      <alignment horizontal="right" vertical="center" wrapText="1" indent="1"/>
    </xf>
    <xf numFmtId="0" fontId="2" fillId="6" borderId="20" xfId="0" applyFont="1" applyFill="1" applyBorder="1" applyAlignment="1">
      <alignment horizontal="right" vertical="center" wrapText="1" indent="1"/>
    </xf>
    <xf numFmtId="0" fontId="0" fillId="2" borderId="1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4" fillId="2" borderId="56" xfId="0" applyFont="1" applyFill="1" applyBorder="1" applyAlignment="1">
      <alignment horizontal="center" wrapText="1"/>
    </xf>
    <xf numFmtId="0" fontId="4" fillId="2" borderId="51" xfId="0" applyFont="1" applyFill="1" applyBorder="1" applyAlignment="1">
      <alignment horizontal="center" wrapText="1"/>
    </xf>
    <xf numFmtId="0" fontId="4" fillId="2" borderId="52" xfId="0" applyFont="1" applyFill="1" applyBorder="1" applyAlignment="1">
      <alignment horizontal="center" wrapText="1"/>
    </xf>
    <xf numFmtId="0" fontId="4" fillId="2" borderId="17"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0" fillId="2" borderId="39" xfId="0" applyFont="1" applyFill="1" applyBorder="1" applyAlignment="1">
      <alignment horizontal="right" vertical="top" wrapText="1"/>
    </xf>
    <xf numFmtId="0" fontId="10" fillId="2" borderId="40" xfId="0" applyFont="1" applyFill="1" applyBorder="1" applyAlignment="1">
      <alignment horizontal="right" vertical="top" wrapText="1"/>
    </xf>
    <xf numFmtId="0" fontId="0" fillId="0" borderId="0" xfId="0" applyFont="1" applyFill="1" applyBorder="1" applyAlignment="1">
      <alignment horizontal="center" wrapText="1"/>
    </xf>
    <xf numFmtId="0" fontId="9" fillId="2" borderId="0" xfId="0" applyFont="1" applyFill="1" applyAlignment="1">
      <alignment horizontal="center" vertical="center" wrapText="1"/>
    </xf>
    <xf numFmtId="0" fontId="3" fillId="3" borderId="33" xfId="0" applyFont="1" applyFill="1" applyBorder="1" applyAlignment="1" applyProtection="1">
      <alignment horizontal="center" vertical="center"/>
      <protection locked="0"/>
    </xf>
    <xf numFmtId="0" fontId="0" fillId="2" borderId="0" xfId="0" quotePrefix="1" applyFont="1" applyFill="1" applyAlignment="1">
      <alignment horizontal="left" vertical="center" wrapText="1"/>
    </xf>
    <xf numFmtId="0" fontId="0" fillId="2" borderId="0" xfId="0" quotePrefix="1" applyFont="1" applyFill="1" applyBorder="1" applyAlignment="1">
      <alignment horizontal="left"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2" borderId="33" xfId="0" applyFont="1" applyFill="1" applyBorder="1" applyAlignment="1">
      <alignment horizontal="center" vertical="center" wrapText="1"/>
    </xf>
    <xf numFmtId="0" fontId="0" fillId="7" borderId="0" xfId="0" applyFont="1" applyFill="1" applyBorder="1" applyAlignment="1" applyProtection="1">
      <alignment horizontal="center" vertical="center"/>
    </xf>
    <xf numFmtId="0" fontId="19" fillId="2" borderId="0" xfId="0" applyFont="1" applyFill="1" applyAlignment="1">
      <alignment horizontal="left" vertical="center" wrapText="1"/>
    </xf>
    <xf numFmtId="0" fontId="18" fillId="2" borderId="55"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5" fillId="2" borderId="53" xfId="0" applyFont="1" applyFill="1" applyBorder="1" applyAlignment="1">
      <alignment horizontal="center" vertical="top" wrapText="1"/>
    </xf>
    <xf numFmtId="0" fontId="5" fillId="2" borderId="50"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51"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52" xfId="0" applyFont="1" applyFill="1" applyBorder="1" applyAlignment="1">
      <alignment horizontal="center" vertical="top" wrapText="1"/>
    </xf>
  </cellXfs>
  <cellStyles count="2">
    <cellStyle name="Normal" xfId="0" builtinId="0"/>
    <cellStyle name="Percent" xfId="1" builtinId="5"/>
  </cellStyles>
  <dxfs count="10">
    <dxf>
      <font>
        <b/>
        <i val="0"/>
        <color rgb="FFC00000"/>
      </font>
    </dxf>
    <dxf>
      <font>
        <b/>
        <i val="0"/>
        <color rgb="FFC00000"/>
      </font>
    </dxf>
    <dxf>
      <font>
        <b/>
        <i val="0"/>
        <color rgb="FFC00000"/>
      </font>
    </dxf>
    <dxf>
      <font>
        <b/>
        <i val="0"/>
        <color rgb="FFC00000"/>
      </font>
    </dxf>
    <dxf>
      <fill>
        <patternFill>
          <bgColor theme="7" tint="0.79998168889431442"/>
        </patternFill>
      </fill>
    </dxf>
    <dxf>
      <fill>
        <patternFill>
          <bgColor rgb="FFCCFFCC"/>
        </patternFill>
      </fill>
    </dxf>
    <dxf>
      <fill>
        <patternFill>
          <bgColor rgb="FFCCFFCC"/>
        </patternFill>
      </fill>
    </dxf>
    <dxf>
      <border>
        <bottom style="thin">
          <color theme="1"/>
        </bottom>
        <vertical/>
        <horizontal/>
      </border>
    </dxf>
    <dxf>
      <fill>
        <patternFill>
          <bgColor theme="7" tint="0.79998168889431442"/>
        </patternFill>
      </fill>
    </dxf>
    <dxf>
      <font>
        <b/>
        <i val="0"/>
        <color rgb="FF7030A0"/>
      </font>
      <fill>
        <patternFill>
          <bgColor theme="7" tint="0.79998168889431442"/>
        </patternFill>
      </fill>
    </dxf>
  </dxfs>
  <tableStyles count="0" defaultTableStyle="TableStyleMedium2" defaultPivotStyle="PivotStyleLight16"/>
  <colors>
    <mruColors>
      <color rgb="FFCCFFCC"/>
      <color rgb="FFFFFFCC"/>
      <color rgb="FF0000FF"/>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9"/>
  <sheetViews>
    <sheetView tabSelected="1" defaultGridColor="0" colorId="9" zoomScale="90" zoomScaleNormal="90" zoomScaleSheetLayoutView="100" workbookViewId="0">
      <selection activeCell="G7" sqref="G7:H7"/>
    </sheetView>
  </sheetViews>
  <sheetFormatPr defaultColWidth="9.08984375" defaultRowHeight="12.5" x14ac:dyDescent="0.25"/>
  <cols>
    <col min="1" max="1" width="3.81640625" style="11" customWidth="1"/>
    <col min="2" max="2" width="11.81640625" style="11" customWidth="1"/>
    <col min="3" max="3" width="10.54296875" style="11" customWidth="1"/>
    <col min="4" max="5" width="14.36328125" style="11" customWidth="1"/>
    <col min="6" max="6" width="15.81640625" style="11" customWidth="1"/>
    <col min="7" max="7" width="15.453125" style="11" customWidth="1"/>
    <col min="8" max="8" width="18.453125" style="11" customWidth="1"/>
    <col min="9" max="9" width="20.54296875" style="11" customWidth="1"/>
    <col min="10" max="16384" width="9.08984375" style="11"/>
  </cols>
  <sheetData>
    <row r="1" spans="1:23" ht="42" customHeight="1" x14ac:dyDescent="0.25">
      <c r="A1" s="114" t="s">
        <v>111</v>
      </c>
      <c r="B1" s="115"/>
      <c r="C1" s="116" t="s">
        <v>110</v>
      </c>
      <c r="D1" s="116"/>
      <c r="E1" s="116"/>
      <c r="F1" s="116"/>
      <c r="G1" s="116"/>
      <c r="H1" s="116"/>
    </row>
    <row r="2" spans="1:23" ht="24" customHeight="1" x14ac:dyDescent="0.25">
      <c r="A2" s="110" t="s">
        <v>107</v>
      </c>
      <c r="B2" s="110"/>
      <c r="C2" s="110"/>
      <c r="D2" s="110"/>
      <c r="E2" s="110"/>
      <c r="F2" s="110"/>
      <c r="G2" s="110"/>
      <c r="H2" s="110"/>
    </row>
    <row r="3" spans="1:23" ht="93" customHeight="1" x14ac:dyDescent="0.25">
      <c r="A3" s="112" t="s">
        <v>129</v>
      </c>
      <c r="B3" s="112"/>
      <c r="C3" s="112"/>
      <c r="D3" s="112"/>
      <c r="E3" s="112"/>
      <c r="F3" s="112"/>
      <c r="G3" s="112"/>
      <c r="H3" s="112"/>
    </row>
    <row r="4" spans="1:23" ht="175" customHeight="1" x14ac:dyDescent="0.25">
      <c r="A4" s="113" t="s">
        <v>130</v>
      </c>
      <c r="B4" s="113"/>
      <c r="C4" s="113"/>
      <c r="D4" s="113"/>
      <c r="E4" s="113"/>
      <c r="F4" s="113"/>
      <c r="G4" s="113"/>
      <c r="H4" s="113"/>
    </row>
    <row r="5" spans="1:23" ht="84.9" hidden="1" customHeight="1" x14ac:dyDescent="0.25">
      <c r="B5" s="113"/>
      <c r="C5" s="113"/>
      <c r="D5" s="113"/>
      <c r="E5" s="113"/>
      <c r="F5" s="113"/>
      <c r="G5" s="113"/>
      <c r="H5" s="113"/>
    </row>
    <row r="6" spans="1:23" ht="6.75" customHeight="1" x14ac:dyDescent="0.25">
      <c r="B6" s="12"/>
      <c r="C6" s="12"/>
      <c r="D6" s="12"/>
      <c r="E6" s="12"/>
      <c r="F6" s="12"/>
      <c r="G6" s="12"/>
      <c r="H6" s="68"/>
    </row>
    <row r="7" spans="1:23" ht="20.149999999999999" customHeight="1" x14ac:dyDescent="0.3">
      <c r="A7" s="77">
        <f>MAX(A$6:A6)+1</f>
        <v>1</v>
      </c>
      <c r="B7" s="54" t="s">
        <v>112</v>
      </c>
      <c r="C7" s="12"/>
      <c r="D7" s="12"/>
      <c r="E7" s="12"/>
      <c r="F7" s="12"/>
      <c r="G7" s="111" t="s">
        <v>83</v>
      </c>
      <c r="H7" s="111"/>
      <c r="I7" s="65" t="s">
        <v>104</v>
      </c>
      <c r="K7" s="55"/>
      <c r="L7" s="109"/>
      <c r="M7" s="109"/>
      <c r="N7" s="55"/>
      <c r="O7" s="109"/>
      <c r="P7" s="109"/>
      <c r="Q7" s="55"/>
      <c r="R7" s="55"/>
      <c r="S7" s="109"/>
      <c r="T7" s="109"/>
      <c r="U7" s="55"/>
      <c r="V7" s="109"/>
      <c r="W7" s="109"/>
    </row>
    <row r="8" spans="1:23" ht="20.149999999999999" hidden="1" customHeight="1" x14ac:dyDescent="0.3">
      <c r="A8" s="78"/>
      <c r="B8" s="54" t="s">
        <v>113</v>
      </c>
      <c r="C8" s="12"/>
      <c r="D8" s="12"/>
      <c r="E8" s="12"/>
      <c r="F8" s="12"/>
      <c r="G8" s="117">
        <f>IF(ISERROR(VLOOKUP(G$7,ELI_PU,7)),"TBD",VLOOKUP(G$7,ELI_PU,7))</f>
        <v>0</v>
      </c>
      <c r="H8" s="117"/>
      <c r="I8" s="65" t="s">
        <v>104</v>
      </c>
      <c r="K8" s="55"/>
      <c r="L8" s="57"/>
      <c r="M8" s="57"/>
      <c r="N8" s="55"/>
      <c r="O8" s="57"/>
      <c r="P8" s="57"/>
      <c r="Q8" s="55"/>
      <c r="R8" s="55"/>
      <c r="S8" s="57"/>
      <c r="T8" s="57"/>
      <c r="U8" s="55"/>
      <c r="V8" s="57"/>
      <c r="W8" s="57"/>
    </row>
    <row r="9" spans="1:23" ht="20.149999999999999" hidden="1" customHeight="1" x14ac:dyDescent="0.3">
      <c r="A9" s="78"/>
      <c r="B9" s="54" t="s">
        <v>114</v>
      </c>
      <c r="C9" s="12"/>
      <c r="D9" s="12"/>
      <c r="E9" s="12"/>
      <c r="F9" s="12"/>
      <c r="G9" s="94" t="s">
        <v>90</v>
      </c>
      <c r="H9" s="94"/>
      <c r="I9" s="65" t="s">
        <v>105</v>
      </c>
      <c r="K9" s="55"/>
      <c r="L9" s="56"/>
      <c r="M9" s="56"/>
      <c r="N9" s="55"/>
      <c r="O9" s="56"/>
      <c r="P9" s="56"/>
      <c r="Q9" s="55"/>
      <c r="R9" s="55"/>
      <c r="S9" s="56"/>
      <c r="T9" s="56"/>
      <c r="U9" s="55"/>
      <c r="V9" s="56"/>
      <c r="W9" s="56"/>
    </row>
    <row r="10" spans="1:23" ht="20.149999999999999" customHeight="1" x14ac:dyDescent="0.3">
      <c r="A10" s="77">
        <f>MAX(A$6:A9)+1</f>
        <v>2</v>
      </c>
      <c r="B10" s="54" t="s">
        <v>115</v>
      </c>
      <c r="C10" s="12"/>
      <c r="D10" s="12"/>
      <c r="E10" s="12"/>
      <c r="F10" s="12"/>
      <c r="G10" s="111" t="s">
        <v>90</v>
      </c>
      <c r="H10" s="111"/>
      <c r="I10" s="65" t="s">
        <v>106</v>
      </c>
      <c r="K10" s="55"/>
      <c r="L10" s="56"/>
      <c r="M10" s="56"/>
      <c r="N10" s="55"/>
      <c r="O10" s="56"/>
      <c r="P10" s="56"/>
      <c r="Q10" s="55"/>
      <c r="R10" s="55"/>
      <c r="S10" s="56"/>
      <c r="T10" s="56"/>
      <c r="U10" s="55"/>
      <c r="V10" s="56"/>
      <c r="W10" s="56"/>
    </row>
    <row r="11" spans="1:23" ht="20.149999999999999" hidden="1" customHeight="1" x14ac:dyDescent="0.3">
      <c r="A11" s="78"/>
      <c r="B11" s="54" t="s">
        <v>116</v>
      </c>
      <c r="C11" s="12"/>
      <c r="D11" s="12"/>
      <c r="E11" s="12"/>
      <c r="F11" s="12"/>
      <c r="G11" s="94" t="s">
        <v>89</v>
      </c>
      <c r="H11" s="94"/>
      <c r="I11" s="66"/>
      <c r="K11" s="55"/>
      <c r="L11" s="56"/>
      <c r="M11" s="56"/>
      <c r="N11" s="55"/>
      <c r="O11" s="55"/>
      <c r="P11" s="56"/>
      <c r="Q11" s="55"/>
      <c r="R11" s="55"/>
      <c r="S11" s="55"/>
      <c r="T11" s="55"/>
      <c r="U11" s="55"/>
      <c r="V11" s="55"/>
      <c r="W11" s="55"/>
    </row>
    <row r="12" spans="1:23" ht="20.149999999999999" customHeight="1" x14ac:dyDescent="0.3">
      <c r="A12" s="77">
        <f>MAX(A$6:A11)+1</f>
        <v>3</v>
      </c>
      <c r="B12" s="54" t="s">
        <v>117</v>
      </c>
      <c r="C12" s="12"/>
      <c r="D12" s="12"/>
      <c r="E12" s="12"/>
      <c r="F12" s="12"/>
      <c r="G12" s="111" t="s">
        <v>90</v>
      </c>
      <c r="H12" s="111"/>
      <c r="I12" s="76" t="s">
        <v>123</v>
      </c>
      <c r="K12" s="55"/>
      <c r="L12" s="56"/>
      <c r="M12" s="56"/>
      <c r="N12" s="55"/>
      <c r="O12" s="55"/>
      <c r="P12" s="56"/>
      <c r="Q12" s="55"/>
      <c r="R12" s="55"/>
      <c r="S12" s="55"/>
      <c r="T12" s="55"/>
      <c r="U12" s="55"/>
      <c r="V12" s="55"/>
      <c r="W12" s="55"/>
    </row>
    <row r="13" spans="1:23" ht="20.149999999999999" customHeight="1" x14ac:dyDescent="0.3">
      <c r="A13" s="77">
        <f>MAX(A$6:A12)+1</f>
        <v>4</v>
      </c>
      <c r="B13" s="54" t="s">
        <v>127</v>
      </c>
      <c r="C13" s="12"/>
      <c r="D13" s="12"/>
      <c r="E13" s="12"/>
      <c r="F13" s="12"/>
      <c r="G13" s="93">
        <f>IF(G$10=B$122,20%,15%)</f>
        <v>0.15</v>
      </c>
      <c r="H13" s="93"/>
      <c r="I13" s="76" t="s">
        <v>122</v>
      </c>
      <c r="K13" s="55"/>
      <c r="L13" s="55"/>
      <c r="M13" s="55"/>
      <c r="N13" s="55"/>
      <c r="O13" s="55"/>
      <c r="P13" s="55"/>
      <c r="Q13" s="55"/>
      <c r="R13" s="55"/>
      <c r="S13" s="55"/>
      <c r="T13" s="55"/>
      <c r="U13" s="55"/>
      <c r="V13" s="55"/>
      <c r="W13" s="55"/>
    </row>
    <row r="14" spans="1:23" ht="20.149999999999999" customHeight="1" x14ac:dyDescent="0.3">
      <c r="A14" s="77">
        <f>MAX(A$6:A13)+1</f>
        <v>5</v>
      </c>
      <c r="B14" s="54" t="s">
        <v>128</v>
      </c>
      <c r="C14" s="12"/>
      <c r="D14" s="12"/>
      <c r="E14" s="12"/>
      <c r="F14" s="12"/>
      <c r="G14" s="93">
        <v>0.1</v>
      </c>
      <c r="H14" s="93"/>
      <c r="I14" s="76"/>
      <c r="K14" s="55"/>
      <c r="L14" s="55"/>
      <c r="M14" s="55"/>
      <c r="N14" s="55"/>
      <c r="O14" s="55"/>
      <c r="P14" s="55"/>
      <c r="Q14" s="55"/>
      <c r="R14" s="55"/>
      <c r="S14" s="55"/>
      <c r="T14" s="55"/>
      <c r="U14" s="55"/>
      <c r="V14" s="55"/>
      <c r="W14" s="55"/>
    </row>
    <row r="15" spans="1:23" ht="20.149999999999999" customHeight="1" x14ac:dyDescent="0.3">
      <c r="A15" s="77">
        <f>MAX(A$6:A14)+1</f>
        <v>6</v>
      </c>
      <c r="B15" s="54" t="s">
        <v>121</v>
      </c>
      <c r="C15" s="12"/>
      <c r="D15" s="12"/>
      <c r="E15" s="12"/>
      <c r="F15" s="12"/>
      <c r="G15" s="93">
        <f>IF(OR(G$10=B$122,G$12&lt;&gt;D$115),0%,5%)</f>
        <v>0</v>
      </c>
      <c r="H15" s="93"/>
      <c r="I15" s="65" t="s">
        <v>122</v>
      </c>
    </row>
    <row r="16" spans="1:23" ht="20.149999999999999" hidden="1" customHeight="1" x14ac:dyDescent="0.3">
      <c r="A16" s="78"/>
      <c r="B16" s="54" t="s">
        <v>118</v>
      </c>
      <c r="C16" s="12"/>
      <c r="D16" s="12"/>
      <c r="E16" s="12"/>
      <c r="F16" s="12"/>
      <c r="G16" s="94" t="s">
        <v>88</v>
      </c>
      <c r="H16" s="94"/>
      <c r="I16" s="66"/>
    </row>
    <row r="17" spans="1:17" ht="20.149999999999999" hidden="1" customHeight="1" x14ac:dyDescent="0.3">
      <c r="A17" s="78"/>
      <c r="B17" s="54" t="str">
        <f>IF(AND(G16&lt;&gt;B110,OR(ISERROR(VLOOKUP(G7,ELI_PU,7)),G7=B39)),"NHTF Funding Amount is TBD ....................................................................................................................................................................................................",IF(OR(VLOOKUP(G7,ELI_PU,7)="Small",G16=B110),"8. No NHTF Funds are available for the proposed Development.................................................................................................................................................","8. The estimated minimum NHTF Loan Amount for the "&amp;TEXT(IF(IFERROR(VLOOKUP(G7,ELI_PU,7),"TBD")="Large",4,IF(IFERROR(VLOOKUP(G7,ELI_PU,7),"TBD")="Medium",3,IF(IFERROR(VLOOKUP(G7,ELI_PU,7),"TBD")="TBD","TBD",0))),"0")&amp;" units, each at "&amp;IF(ISERROR(VLOOKUP(G7,ELI_PU,6)),"TBD",TEXT(MIN(VLOOKUP(G7,ELI_PU,6),N(VLOOKUP(G7,ELI_PU,8))),"$0,000"))&amp;", is........................................................................................................................"))</f>
        <v>NHTF Funding Amount is TBD ....................................................................................................................................................................................................</v>
      </c>
      <c r="C17" s="12"/>
      <c r="D17" s="12"/>
      <c r="E17" s="12"/>
      <c r="F17" s="12"/>
      <c r="G17" s="95" t="str">
        <f>IF(AND(G16&lt;&gt;B110,OR(ISERROR(VLOOKUP(G7,ELI_PU,7)),ISERROR(VLOOKUP(G7,ELI_PU,6)),G7=B39)),"TBD",IF(AND(VLOOKUP(G7,ELI_PU,7)="Medium",G16="Yes"),3*MIN(VLOOKUP(G7,ELI_PU,6),N(VLOOKUP(G7,ELI_PU,8))),IF(AND(VLOOKUP(G7,ELI_PU,7)="Large",G16="Yes"),4*MIN(VLOOKUP(G7,ELI_PU,6),N(VLOOKUP(G7,ELI_PU,8))),"NA")))</f>
        <v>TBD</v>
      </c>
      <c r="H17" s="95"/>
      <c r="I17" s="67" t="str">
        <f>"(§ Four, A, 10. a. (3); "&amp;IF(G16="No","NHTF funds are not available to proposed Developments that are not 100% new construction","The limiting funding criteria is the "&amp;IF(MIN(VLOOKUP(G7,ELI_PU,6),N(VLOOKUP(G7,ELI_PU,8)))=VLOOKUP(G7,ELI_PU,6),"NHTF Set-Aside per unit minimums at Exhibit I, 1.f.(1)","maximum subsidy limits based on Construction Type &amp; ESSC status at Exhibit I, 1.f.(2)"))&amp;")"</f>
        <v>(§ Four, A, 10. a. (3); The limiting funding criteria is the NHTF Set-Aside per unit minimums at Exhibit I, 1.f.(1))</v>
      </c>
    </row>
    <row r="18" spans="1:17" ht="45" customHeight="1" x14ac:dyDescent="0.25">
      <c r="B18" s="118" t="str">
        <f>IF(G10=B122,"Applicants choosing the Average Income Test as the IRS Minimum Set-Aside Commitment are not eligible for separate ELI funding.  ","")&amp;IF(G12=D116,"Applicants choosing the Persons with Development Disabilities Demographic Commitment can request Grant funding, but are not eligible for separate ELI funding.  This template does not assist in sizing a Grant request.","")</f>
        <v/>
      </c>
      <c r="C18" s="118"/>
      <c r="D18" s="118"/>
      <c r="E18" s="118"/>
      <c r="F18" s="118"/>
      <c r="G18" s="118"/>
      <c r="H18" s="118"/>
      <c r="I18" s="118"/>
    </row>
    <row r="19" spans="1:17" x14ac:dyDescent="0.25">
      <c r="B19" s="12"/>
      <c r="C19" s="12"/>
      <c r="D19" s="12"/>
      <c r="E19" s="12"/>
      <c r="F19" s="12"/>
      <c r="G19" s="13"/>
      <c r="H19" s="12"/>
    </row>
    <row r="20" spans="1:17" ht="13.5" thickBot="1" x14ac:dyDescent="0.3">
      <c r="B20" s="1" t="s">
        <v>0</v>
      </c>
      <c r="C20" s="1" t="s">
        <v>1</v>
      </c>
      <c r="D20" s="1" t="s">
        <v>2</v>
      </c>
      <c r="E20" s="1" t="s">
        <v>3</v>
      </c>
      <c r="F20" s="1" t="s">
        <v>4</v>
      </c>
      <c r="G20" s="1" t="s">
        <v>5</v>
      </c>
      <c r="H20" s="1" t="s">
        <v>6</v>
      </c>
    </row>
    <row r="21" spans="1:17" ht="68" customHeight="1" x14ac:dyDescent="0.3">
      <c r="B21" s="2" t="s">
        <v>7</v>
      </c>
      <c r="C21" s="3" t="s">
        <v>8</v>
      </c>
      <c r="D21" s="3" t="str">
        <f>"Distribution of Applicant's overall "&amp;TEXT(G13,"0%")&amp;" ELI Commitment"</f>
        <v>Distribution of Applicant's overall 15% ELI Commitment</v>
      </c>
      <c r="E21" s="4" t="str">
        <f>"Distribution of "&amp;TEXT(G14,"0%")&amp;" ELI Commitment from 9% HC funding"</f>
        <v>Distribution of 10% ELI Commitment from 9% HC funding</v>
      </c>
      <c r="F21" s="4" t="str">
        <f>"Distribution of ELI Units eligible to be funded from a"&amp;IF(G12=D116," Grant","n ELI Loan")</f>
        <v>Distribution of ELI Units eligible to be funded from an ELI Loan</v>
      </c>
      <c r="G21" s="3" t="str">
        <f>"Maximum "&amp;IF(G12=D116," Grant","ELI Loan")&amp;" allowable for each Unit Size"</f>
        <v>Maximum ELI Loan allowable for each Unit Size</v>
      </c>
      <c r="H21" s="37" t="str">
        <f>"Maximum "&amp;IF(G12=D116," Grant","ELI Loan")&amp;""</f>
        <v>Maximum ELI Loan</v>
      </c>
      <c r="I21" s="62" t="s">
        <v>102</v>
      </c>
      <c r="J21" s="88"/>
    </row>
    <row r="22" spans="1:17" ht="3.9" customHeight="1" x14ac:dyDescent="0.25">
      <c r="B22" s="14"/>
      <c r="C22" s="5"/>
      <c r="D22" s="15"/>
      <c r="E22" s="15"/>
      <c r="F22" s="15"/>
      <c r="G22" s="16"/>
      <c r="H22" s="38"/>
      <c r="I22" s="61"/>
      <c r="J22" s="65"/>
    </row>
    <row r="23" spans="1:17" ht="13.25" hidden="1" customHeight="1" x14ac:dyDescent="0.25">
      <c r="B23" s="91" t="s">
        <v>124</v>
      </c>
      <c r="C23" s="45">
        <v>0</v>
      </c>
      <c r="D23" s="18">
        <f>ROUNDUP(D120*N(G$13),0)-SUM(D$22:D22)</f>
        <v>0</v>
      </c>
      <c r="E23" s="89">
        <f>IF(G$10=B$122,D23,ROUNDUP(D120*N(G$14),0)-SUM(E$22:E22))</f>
        <v>0</v>
      </c>
      <c r="F23" s="89">
        <f>IF(G$10=B$122,0,D23-E23)</f>
        <v>0</v>
      </c>
      <c r="G23" s="19">
        <f>IF(G$12=D$116,"Inclusive",IF(ISERROR(VLOOKUP(G$7,ELI_PU,6)),"",0*IF(G$10=B$122,0,VLOOKUP(G$7,ELI_PU,6))))</f>
        <v>0</v>
      </c>
      <c r="H23" s="39">
        <f t="shared" ref="H23:H28" si="0">IF(G$12=D$116,"Inclusive",IF(ISERROR(G23*F23),0,G23*F23))</f>
        <v>0</v>
      </c>
      <c r="I23" s="63">
        <f>IF(C$30=0,0,C23/C$30)</f>
        <v>0</v>
      </c>
      <c r="J23" s="87" t="str">
        <f>IF(AND(G12=D115,C23&gt;0),"(IROs are not allowed with the selected Demographic Commitment)",IF(AND(G12=D116,C23&gt;0,C23/2&lt;&gt;ROUND(C23/2,0)),"(Total IRO units must be an even amount.)",""))</f>
        <v/>
      </c>
      <c r="Q23" s="84"/>
    </row>
    <row r="24" spans="1:17" ht="13" x14ac:dyDescent="0.25">
      <c r="B24" s="17">
        <v>0</v>
      </c>
      <c r="C24" s="45">
        <v>0</v>
      </c>
      <c r="D24" s="18">
        <f>ROUNDUP(D121*N(G$13),0)-SUM(D$22:D23)</f>
        <v>0</v>
      </c>
      <c r="E24" s="89">
        <f>IF(G$10=B$122,D24,ROUNDUP(D121*N(G$14),0)-SUM(E$22:E23))</f>
        <v>0</v>
      </c>
      <c r="F24" s="89">
        <f t="shared" ref="F24:F28" si="1">IF(G$10=B$122,0,D24-E24)</f>
        <v>0</v>
      </c>
      <c r="G24" s="19">
        <f>IF(G$12=D$116,"Inclusive",IF(ISERROR(VLOOKUP(G$7,ELI_PU,3)),"",IF(G$10=B$122,0,VLOOKUP(G$7,ELI_PU,3))))</f>
        <v>0</v>
      </c>
      <c r="H24" s="39">
        <f t="shared" si="0"/>
        <v>0</v>
      </c>
      <c r="I24" s="63">
        <f>IF(C$30=0,0,C24/C$30)</f>
        <v>0</v>
      </c>
      <c r="J24" s="85" t="str">
        <f>IF(OR(G$12=D$115,AND(G$12=D$116,C$23=0)),"(Given "&amp;TEXT(C$30,"0")&amp;" total units, maximum 0 Bd units is "&amp;TEXT(ROUNDUP(50%*C$30,0),"0")&amp;".)","")</f>
        <v/>
      </c>
      <c r="K24" s="86"/>
      <c r="L24" s="86"/>
      <c r="M24" s="86"/>
      <c r="N24" s="86"/>
      <c r="O24" s="86"/>
      <c r="Q24" s="84"/>
    </row>
    <row r="25" spans="1:17" ht="13" x14ac:dyDescent="0.25">
      <c r="B25" s="20">
        <v>1</v>
      </c>
      <c r="C25" s="46">
        <v>0</v>
      </c>
      <c r="D25" s="18">
        <f>ROUNDUP(D122*N(G$13),0)-SUM(D$22:D24)</f>
        <v>0</v>
      </c>
      <c r="E25" s="89">
        <f>IF(G$10=B$122,D25,ROUNDUP(D122*N(G$14),0)-SUM(E$22:E24))</f>
        <v>0</v>
      </c>
      <c r="F25" s="89">
        <f t="shared" si="1"/>
        <v>0</v>
      </c>
      <c r="G25" s="19">
        <f>IF(G$12=D$116,"Inclusive",IF(ISERROR(VLOOKUP(G$7,ELI_PU,3)),"",IF(G$10=B$122,0,VLOOKUP(G$7,ELI_PU,3))))</f>
        <v>0</v>
      </c>
      <c r="H25" s="39">
        <f t="shared" si="0"/>
        <v>0</v>
      </c>
      <c r="I25" s="63">
        <f t="shared" ref="I25:I28" si="2">IF(C$30=0,0,C25/C$30)</f>
        <v>0</v>
      </c>
      <c r="J25" s="85" t="str">
        <f>IF(OR(G$12=D$115,AND(G$12=D$116,C$23=0)),"(Given "&amp;TEXT(C$30,"0")&amp;" total units, minimum 1 Bd units is "&amp;TEXT(ROUNDUP(50%*C$30,0),"0")&amp;".)",IF(AND(G$12=D$116,C$23&gt;0),"(Given "&amp;TEXT(C$30-C$23+C$23/2,"0")&amp;" total units, minimum 1 Bd units is "&amp;TEXT(ROUNDUP(50%*(C$30-C$23+C$23/2),0),"0")&amp;".)",""))</f>
        <v/>
      </c>
      <c r="K25" s="86"/>
      <c r="L25" s="86"/>
      <c r="M25" s="86"/>
      <c r="N25" s="86"/>
      <c r="O25" s="86"/>
      <c r="Q25" s="84"/>
    </row>
    <row r="26" spans="1:17" ht="13" x14ac:dyDescent="0.25">
      <c r="B26" s="20">
        <v>2</v>
      </c>
      <c r="C26" s="46">
        <v>0</v>
      </c>
      <c r="D26" s="18">
        <f>ROUNDUP(D123*N(G$13),0)-SUM(D$22:D25)</f>
        <v>0</v>
      </c>
      <c r="E26" s="89">
        <f>IF(G$10=B$122,D26,ROUNDUP(D123*N(G$14),0)-SUM(E$22:E25))</f>
        <v>0</v>
      </c>
      <c r="F26" s="89">
        <f t="shared" si="1"/>
        <v>0</v>
      </c>
      <c r="G26" s="19">
        <f>IF(G$12=D$116,"Inclusive",IF(ISERROR(VLOOKUP(G$7,ELI_PU,4)),"",IF(G$10=B$122,0,VLOOKUP(G$7,ELI_PU,4))))</f>
        <v>0</v>
      </c>
      <c r="H26" s="39">
        <f t="shared" si="0"/>
        <v>0</v>
      </c>
      <c r="I26" s="63">
        <f t="shared" si="2"/>
        <v>0</v>
      </c>
      <c r="J26" s="65" t="str">
        <f>IF(AND(G$12=D$116,C$23&gt;0),"(Given "&amp;TEXT(C$30-C$23+C$23/2,"0")&amp;" total units, maximum 2 Bd units is "&amp;TEXT(MIN(11,ROUNDDOWN(25%*(C$30-C$23+C$23/2),0)),"0")&amp;".)","")</f>
        <v/>
      </c>
      <c r="Q26" s="84"/>
    </row>
    <row r="27" spans="1:17" ht="13" hidden="1" x14ac:dyDescent="0.25">
      <c r="B27" s="90">
        <v>3</v>
      </c>
      <c r="C27" s="46">
        <v>0</v>
      </c>
      <c r="D27" s="21">
        <f>ROUNDUP(D124*N(G$13),0)-SUM(D$22:D26)</f>
        <v>0</v>
      </c>
      <c r="E27" s="89">
        <f>IF(G$10=B$122,D27,ROUNDUP(D124*N(G$14),0)-SUM(E$22:E26))</f>
        <v>0</v>
      </c>
      <c r="F27" s="89">
        <f t="shared" si="1"/>
        <v>0</v>
      </c>
      <c r="G27" s="19">
        <f>IF(G$12=D$116,"Inclusive",IF(ISERROR(VLOOKUP(G$7,ELI_PU,5)),"",IF(G$10=B$122,0,VLOOKUP(G$7,ELI_PU,5))))</f>
        <v>0</v>
      </c>
      <c r="H27" s="39">
        <f t="shared" si="0"/>
        <v>0</v>
      </c>
      <c r="I27" s="63">
        <f t="shared" si="2"/>
        <v>0</v>
      </c>
      <c r="J27" s="65" t="str">
        <f>"(Maximum is 25%, rounded up, or "&amp;TEXT(ROUNDUP(25%*C$30,0),"#,##0")&amp;" units)"</f>
        <v>(Maximum is 25%, rounded up, or 0 units)</v>
      </c>
      <c r="Q27" s="84"/>
    </row>
    <row r="28" spans="1:17" ht="13" hidden="1" x14ac:dyDescent="0.25">
      <c r="B28" s="90">
        <v>4</v>
      </c>
      <c r="C28" s="46">
        <v>0</v>
      </c>
      <c r="D28" s="21">
        <f>ROUNDUP(D125*N(G$13),0)-SUM(D$22:D27)</f>
        <v>0</v>
      </c>
      <c r="E28" s="89">
        <f>IF(G$10=B$122,D28,ROUNDUP(D125*N(G$14),0)-SUM(E$22:E27))</f>
        <v>0</v>
      </c>
      <c r="F28" s="89">
        <f t="shared" si="1"/>
        <v>0</v>
      </c>
      <c r="G28" s="19">
        <f>IF(G$12=D$116,"Inclusive",IF(ISERROR(VLOOKUP(G$7,ELI_PU,5)),"",IF(G$10=B$122,0,VLOOKUP(G$7,ELI_PU,5))))</f>
        <v>0</v>
      </c>
      <c r="H28" s="39">
        <f t="shared" si="0"/>
        <v>0</v>
      </c>
      <c r="I28" s="63">
        <f t="shared" si="2"/>
        <v>0</v>
      </c>
      <c r="J28" s="65" t="s">
        <v>103</v>
      </c>
      <c r="Q28" s="84"/>
    </row>
    <row r="29" spans="1:17" ht="3.9" customHeight="1" thickBot="1" x14ac:dyDescent="0.3">
      <c r="B29" s="22"/>
      <c r="C29" s="6"/>
      <c r="D29" s="23"/>
      <c r="E29" s="24"/>
      <c r="F29" s="24"/>
      <c r="G29" s="25"/>
      <c r="H29" s="40"/>
      <c r="I29" s="60"/>
    </row>
    <row r="30" spans="1:17" ht="14" thickTop="1" thickBot="1" x14ac:dyDescent="0.3">
      <c r="B30" s="7" t="s">
        <v>10</v>
      </c>
      <c r="C30" s="42">
        <f>SUM(C22:C29)</f>
        <v>0</v>
      </c>
      <c r="D30" s="26">
        <f>SUM(D22:D29)</f>
        <v>0</v>
      </c>
      <c r="E30" s="26">
        <f>SUM(E22:E29)</f>
        <v>0</v>
      </c>
      <c r="F30" s="26">
        <f>SUM(F22:F29)</f>
        <v>0</v>
      </c>
      <c r="G30" s="27" t="str">
        <f>IF(G$12=D$116,"Inclusive",IF(F30=0,"",SUMPRODUCT(G22:G28,F22:F28)/F30))</f>
        <v/>
      </c>
      <c r="H30" s="41">
        <f>IF(G$12=D$116,"Inclusive",MIN($C$112,SUM(H22:H29)))</f>
        <v>0</v>
      </c>
      <c r="I30" s="64">
        <f>SUM(I22:I29)</f>
        <v>0</v>
      </c>
    </row>
    <row r="31" spans="1:17" ht="12.75" customHeight="1" x14ac:dyDescent="0.25">
      <c r="B31" s="12"/>
      <c r="C31" s="98" t="s">
        <v>82</v>
      </c>
      <c r="D31" s="101" t="str">
        <f>TEXT(D30,"0")&amp;" ELI units is "&amp;TEXT(IF($C30=0,0,D30/$C30),"0.00%")&amp;" of "&amp;TEXT(N($C30),"0")&amp;" total units."</f>
        <v>0 ELI units is 0.00% of 0 total units.</v>
      </c>
      <c r="E31" s="104" t="str">
        <f>TEXT(E30,"0")&amp;" ELI units is "&amp;TEXT(IF($C30=0,0,E30/$C30),"0.00%")&amp;" of "&amp;TEXT(N($C30),"0")&amp;" total units."</f>
        <v>0 ELI units is 0.00% of 0 total units.</v>
      </c>
      <c r="F31" s="104" t="str">
        <f>TEXT(F30,"0")&amp;" ELI unit"&amp;IF(F30&lt;2,"","s")&amp;" is "&amp;TEXT(IF($C30=0,0,F30/$C30),"0.00%")&amp;" of "&amp;TEXT(N($C30),"0")&amp;" total units."</f>
        <v>0 ELI unit is 0.00% of 0 total units.</v>
      </c>
      <c r="G31" s="107" t="str">
        <f>IF(SUM(H22:H29)&gt;H30,"The ELI Loan is capped at "&amp;TEXT($C$112,"$#,##0")&amp;".","")</f>
        <v/>
      </c>
      <c r="H31" s="96" t="str">
        <f>"Maximum amount of "&amp;IF(G12=D116," Grant","ELI Loan")&amp;" eligible to request"</f>
        <v>Maximum amount of ELI Loan eligible to request</v>
      </c>
    </row>
    <row r="32" spans="1:17" x14ac:dyDescent="0.25">
      <c r="B32" s="12"/>
      <c r="C32" s="99"/>
      <c r="D32" s="102"/>
      <c r="E32" s="105"/>
      <c r="F32" s="105"/>
      <c r="G32" s="108"/>
      <c r="H32" s="96"/>
    </row>
    <row r="33" spans="2:13" x14ac:dyDescent="0.25">
      <c r="B33" s="12"/>
      <c r="C33" s="99"/>
      <c r="D33" s="103"/>
      <c r="E33" s="106"/>
      <c r="F33" s="106"/>
      <c r="G33" s="108"/>
      <c r="H33" s="96"/>
    </row>
    <row r="34" spans="2:13" ht="13.75" customHeight="1" thickBot="1" x14ac:dyDescent="0.3">
      <c r="B34" s="12"/>
      <c r="C34" s="100"/>
      <c r="F34" s="12"/>
      <c r="G34" s="108"/>
      <c r="H34" s="97"/>
    </row>
    <row r="35" spans="2:13" ht="13" thickTop="1" x14ac:dyDescent="0.25">
      <c r="B35" s="12"/>
      <c r="C35" s="28"/>
      <c r="F35" s="12"/>
      <c r="G35" s="12"/>
      <c r="H35" s="12"/>
    </row>
    <row r="36" spans="2:13" ht="6" customHeight="1" x14ac:dyDescent="0.25">
      <c r="B36" s="12"/>
      <c r="C36" s="12"/>
      <c r="F36" s="12"/>
      <c r="G36" s="12"/>
      <c r="H36" s="12"/>
    </row>
    <row r="37" spans="2:13" ht="13.5" hidden="1" thickBot="1" x14ac:dyDescent="0.35">
      <c r="B37" s="10" t="s">
        <v>108</v>
      </c>
      <c r="C37" s="12"/>
      <c r="D37" s="12"/>
      <c r="E37" s="12"/>
      <c r="F37" s="12"/>
      <c r="G37" s="12"/>
      <c r="H37" s="12"/>
    </row>
    <row r="38" spans="2:13" ht="48.75" hidden="1" customHeight="1" thickBot="1" x14ac:dyDescent="0.35">
      <c r="B38" s="29" t="s">
        <v>11</v>
      </c>
      <c r="C38" s="30" t="s">
        <v>96</v>
      </c>
      <c r="D38" s="30" t="s">
        <v>12</v>
      </c>
      <c r="E38" s="30" t="s">
        <v>13</v>
      </c>
      <c r="F38" s="75" t="s">
        <v>14</v>
      </c>
      <c r="G38" s="79" t="s">
        <v>125</v>
      </c>
      <c r="H38" s="47" t="s">
        <v>87</v>
      </c>
      <c r="I38" s="47" t="s">
        <v>109</v>
      </c>
      <c r="J38" s="125" t="str">
        <f>"
As a note, one (1) less Funded ELI unit (column ""E"", "&amp;TEXT(IF(F30-1&lt;0,0,F30-1),"0")&amp;" total ELI units) is "&amp;TEXT(IF($C30=0,0,(F30-1)/$C30),"0.00%")&amp;" of "&amp;TEXT(N($C30),"0")&amp;" total units.  
"&amp;IF(OR(G15=G13,N(G13)=0),"","In addition, one (1) less ELI Unit Commitment (column ""C"", "&amp;TEXT(IF(D30-1&lt;0,0,D30-1),"0")&amp;" total ELI Committed units) is "&amp;TEXT(IF($C30=0,0,(D30-1)/$C30),"0.00%")&amp;" of "&amp;TEXT(N($C30),"0")&amp;" total units.")</f>
        <v xml:space="preserve">
As a note, one (1) less Funded ELI unit (column "E", 0 total ELI units) is 0.00% of 0 total units.  
In addition, one (1) less ELI Unit Commitment (column "C", 0 total ELI Committed units) is 0.00% of 0 total units.</v>
      </c>
      <c r="K38" s="126"/>
      <c r="L38" s="119" t="str">
        <f>IF($C30=0,"","1 less ELI unit in Column ""C"" yields only "&amp;TEXT((D30-1)/$C30,"0.00%")&amp;" of "&amp;TEXT($C30,"0")&amp;" total units.")</f>
        <v/>
      </c>
      <c r="M38" s="120"/>
    </row>
    <row r="39" spans="2:13" ht="4.5" hidden="1" customHeight="1" x14ac:dyDescent="0.3">
      <c r="B39" s="43" t="s">
        <v>83</v>
      </c>
      <c r="C39" s="31"/>
      <c r="D39" s="31"/>
      <c r="E39" s="31"/>
      <c r="F39" s="32"/>
      <c r="G39" s="80"/>
      <c r="H39" s="48"/>
      <c r="I39" s="48"/>
      <c r="J39" s="127"/>
      <c r="K39" s="128"/>
      <c r="L39" s="121"/>
      <c r="M39" s="122"/>
    </row>
    <row r="40" spans="2:13" hidden="1" x14ac:dyDescent="0.25">
      <c r="B40" s="33" t="s">
        <v>15</v>
      </c>
      <c r="C40" s="8">
        <v>0.33</v>
      </c>
      <c r="D40" s="34">
        <v>67700</v>
      </c>
      <c r="E40" s="34">
        <v>79400</v>
      </c>
      <c r="F40" s="72">
        <v>89500</v>
      </c>
      <c r="G40" s="81">
        <v>58700</v>
      </c>
      <c r="H40" s="49" t="s">
        <v>84</v>
      </c>
      <c r="I40" s="49"/>
      <c r="J40" s="127"/>
      <c r="K40" s="128"/>
      <c r="L40" s="123"/>
      <c r="M40" s="124"/>
    </row>
    <row r="41" spans="2:13" hidden="1" x14ac:dyDescent="0.25">
      <c r="B41" s="35" t="s">
        <v>16</v>
      </c>
      <c r="C41" s="9">
        <v>0.33</v>
      </c>
      <c r="D41" s="36">
        <v>68800</v>
      </c>
      <c r="E41" s="36">
        <v>80700</v>
      </c>
      <c r="F41" s="73">
        <v>91000</v>
      </c>
      <c r="G41" s="82">
        <v>59900</v>
      </c>
      <c r="H41" s="50" t="s">
        <v>85</v>
      </c>
      <c r="I41" s="50"/>
      <c r="J41" s="127"/>
      <c r="K41" s="128"/>
    </row>
    <row r="42" spans="2:13" ht="13.25" hidden="1" customHeight="1" x14ac:dyDescent="0.25">
      <c r="B42" s="35" t="s">
        <v>17</v>
      </c>
      <c r="C42" s="9">
        <v>0.33</v>
      </c>
      <c r="D42" s="36">
        <v>67300</v>
      </c>
      <c r="E42" s="36">
        <v>78800</v>
      </c>
      <c r="F42" s="73">
        <v>89000</v>
      </c>
      <c r="G42" s="82">
        <v>58500</v>
      </c>
      <c r="H42" s="50" t="s">
        <v>84</v>
      </c>
      <c r="I42" s="50"/>
      <c r="J42" s="127"/>
      <c r="K42" s="128"/>
      <c r="L42" s="119" t="str">
        <f>IF($C30=0,"","1 less ELI unit in Column ""D"" yields only "&amp;TEXT((E30-1)/$C30,"0.00%")&amp;" of "&amp;TEXT($C30,"0")&amp;" total units.")</f>
        <v/>
      </c>
      <c r="M42" s="120"/>
    </row>
    <row r="43" spans="2:13" hidden="1" x14ac:dyDescent="0.25">
      <c r="B43" s="35" t="s">
        <v>18</v>
      </c>
      <c r="C43" s="9">
        <v>0.4</v>
      </c>
      <c r="D43" s="36">
        <v>42600</v>
      </c>
      <c r="E43" s="36">
        <v>50000</v>
      </c>
      <c r="F43" s="73">
        <v>56300</v>
      </c>
      <c r="G43" s="82">
        <v>37000</v>
      </c>
      <c r="H43" s="50" t="s">
        <v>85</v>
      </c>
      <c r="I43" s="50"/>
      <c r="J43" s="127"/>
      <c r="K43" s="128"/>
      <c r="L43" s="121"/>
      <c r="M43" s="122"/>
    </row>
    <row r="44" spans="2:13" hidden="1" x14ac:dyDescent="0.25">
      <c r="B44" s="35" t="s">
        <v>19</v>
      </c>
      <c r="C44" s="9">
        <v>0.33</v>
      </c>
      <c r="D44" s="36">
        <v>67100</v>
      </c>
      <c r="E44" s="36">
        <v>78600</v>
      </c>
      <c r="F44" s="73">
        <v>88600</v>
      </c>
      <c r="G44" s="82">
        <v>58200</v>
      </c>
      <c r="H44" s="50" t="s">
        <v>84</v>
      </c>
      <c r="I44" s="50"/>
      <c r="J44" s="127"/>
      <c r="K44" s="128"/>
      <c r="L44" s="121"/>
      <c r="M44" s="122"/>
    </row>
    <row r="45" spans="2:13" hidden="1" x14ac:dyDescent="0.25">
      <c r="B45" s="35" t="s">
        <v>20</v>
      </c>
      <c r="C45" s="9">
        <v>0.25</v>
      </c>
      <c r="D45" s="36">
        <v>111800</v>
      </c>
      <c r="E45" s="36">
        <v>131100</v>
      </c>
      <c r="F45" s="73">
        <v>147800</v>
      </c>
      <c r="G45" s="82">
        <v>97100</v>
      </c>
      <c r="H45" s="50" t="s">
        <v>86</v>
      </c>
      <c r="I45" s="50"/>
      <c r="J45" s="127"/>
      <c r="K45" s="128"/>
      <c r="L45" s="123"/>
      <c r="M45" s="124"/>
    </row>
    <row r="46" spans="2:13" hidden="1" x14ac:dyDescent="0.25">
      <c r="B46" s="35" t="s">
        <v>21</v>
      </c>
      <c r="C46" s="9">
        <v>0.4</v>
      </c>
      <c r="D46" s="36">
        <v>37900</v>
      </c>
      <c r="E46" s="36">
        <v>44400</v>
      </c>
      <c r="F46" s="73">
        <v>50100</v>
      </c>
      <c r="G46" s="82">
        <v>32900</v>
      </c>
      <c r="H46" s="50" t="s">
        <v>85</v>
      </c>
      <c r="I46" s="50"/>
      <c r="J46" s="127"/>
      <c r="K46" s="128"/>
    </row>
    <row r="47" spans="2:13" hidden="1" x14ac:dyDescent="0.25">
      <c r="B47" s="35" t="s">
        <v>22</v>
      </c>
      <c r="C47" s="9">
        <v>0.4</v>
      </c>
      <c r="D47" s="36">
        <v>44400</v>
      </c>
      <c r="E47" s="36">
        <v>51900</v>
      </c>
      <c r="F47" s="73">
        <v>58500</v>
      </c>
      <c r="G47" s="82">
        <v>38400</v>
      </c>
      <c r="H47" s="50" t="s">
        <v>84</v>
      </c>
      <c r="I47" s="50"/>
      <c r="J47" s="127"/>
      <c r="K47" s="128"/>
    </row>
    <row r="48" spans="2:13" hidden="1" x14ac:dyDescent="0.25">
      <c r="B48" s="35" t="s">
        <v>23</v>
      </c>
      <c r="C48" s="9">
        <v>0.4</v>
      </c>
      <c r="D48" s="36">
        <v>40100</v>
      </c>
      <c r="E48" s="36">
        <v>47100</v>
      </c>
      <c r="F48" s="73">
        <v>53000</v>
      </c>
      <c r="G48" s="82">
        <v>34900</v>
      </c>
      <c r="H48" s="50" t="s">
        <v>84</v>
      </c>
      <c r="I48" s="50"/>
      <c r="J48" s="129"/>
      <c r="K48" s="130"/>
    </row>
    <row r="49" spans="2:9" hidden="1" x14ac:dyDescent="0.25">
      <c r="B49" s="35" t="s">
        <v>24</v>
      </c>
      <c r="C49" s="9">
        <v>0.3</v>
      </c>
      <c r="D49" s="36">
        <v>80700</v>
      </c>
      <c r="E49" s="36">
        <v>94500</v>
      </c>
      <c r="F49" s="73">
        <v>106600</v>
      </c>
      <c r="G49" s="82">
        <v>70100</v>
      </c>
      <c r="H49" s="50" t="s">
        <v>84</v>
      </c>
      <c r="I49" s="50"/>
    </row>
    <row r="50" spans="2:9" hidden="1" x14ac:dyDescent="0.25">
      <c r="B50" s="35" t="s">
        <v>25</v>
      </c>
      <c r="C50" s="9">
        <v>0.28000000000000003</v>
      </c>
      <c r="D50" s="36">
        <v>94600</v>
      </c>
      <c r="E50" s="36">
        <v>110700</v>
      </c>
      <c r="F50" s="73">
        <v>124900</v>
      </c>
      <c r="G50" s="82">
        <v>82200</v>
      </c>
      <c r="H50" s="50" t="s">
        <v>84</v>
      </c>
      <c r="I50" s="50"/>
    </row>
    <row r="51" spans="2:9" hidden="1" x14ac:dyDescent="0.25">
      <c r="B51" s="35" t="s">
        <v>26</v>
      </c>
      <c r="C51" s="9">
        <v>0.4</v>
      </c>
      <c r="D51" s="36">
        <v>40100</v>
      </c>
      <c r="E51" s="36">
        <v>47100</v>
      </c>
      <c r="F51" s="73">
        <v>53000</v>
      </c>
      <c r="G51" s="82">
        <v>34900</v>
      </c>
      <c r="H51" s="50" t="s">
        <v>85</v>
      </c>
      <c r="I51" s="50"/>
    </row>
    <row r="52" spans="2:9" hidden="1" x14ac:dyDescent="0.25">
      <c r="B52" s="35" t="s">
        <v>27</v>
      </c>
      <c r="C52" s="9">
        <v>0.4</v>
      </c>
      <c r="D52" s="36">
        <v>37900</v>
      </c>
      <c r="E52" s="36">
        <v>44400</v>
      </c>
      <c r="F52" s="73">
        <v>50100</v>
      </c>
      <c r="G52" s="82">
        <v>32900</v>
      </c>
      <c r="H52" s="50" t="s">
        <v>85</v>
      </c>
      <c r="I52" s="50"/>
    </row>
    <row r="53" spans="2:9" hidden="1" x14ac:dyDescent="0.25">
      <c r="B53" s="35" t="s">
        <v>28</v>
      </c>
      <c r="C53" s="9">
        <v>0.4</v>
      </c>
      <c r="D53" s="36">
        <v>37900</v>
      </c>
      <c r="E53" s="36">
        <v>44400</v>
      </c>
      <c r="F53" s="73">
        <v>50100</v>
      </c>
      <c r="G53" s="82">
        <v>32900</v>
      </c>
      <c r="H53" s="50" t="s">
        <v>85</v>
      </c>
      <c r="I53" s="50"/>
    </row>
    <row r="54" spans="2:9" hidden="1" x14ac:dyDescent="0.25">
      <c r="B54" s="35" t="s">
        <v>29</v>
      </c>
      <c r="C54" s="9">
        <v>0.3</v>
      </c>
      <c r="D54" s="36">
        <v>80700</v>
      </c>
      <c r="E54" s="36">
        <v>94500</v>
      </c>
      <c r="F54" s="73">
        <v>106600</v>
      </c>
      <c r="G54" s="82">
        <v>70100</v>
      </c>
      <c r="H54" s="50" t="s">
        <v>86</v>
      </c>
      <c r="I54" s="50"/>
    </row>
    <row r="55" spans="2:9" hidden="1" x14ac:dyDescent="0.25">
      <c r="B55" s="35" t="s">
        <v>30</v>
      </c>
      <c r="C55" s="9">
        <v>0.35</v>
      </c>
      <c r="D55" s="36">
        <v>59100</v>
      </c>
      <c r="E55" s="36">
        <v>69500</v>
      </c>
      <c r="F55" s="73">
        <v>78200</v>
      </c>
      <c r="G55" s="82">
        <v>51400</v>
      </c>
      <c r="H55" s="50" t="s">
        <v>84</v>
      </c>
      <c r="I55" s="50"/>
    </row>
    <row r="56" spans="2:9" hidden="1" x14ac:dyDescent="0.25">
      <c r="B56" s="35" t="s">
        <v>31</v>
      </c>
      <c r="C56" s="9">
        <v>0.35</v>
      </c>
      <c r="D56" s="36">
        <v>58900</v>
      </c>
      <c r="E56" s="36">
        <v>68900</v>
      </c>
      <c r="F56" s="73">
        <v>77700</v>
      </c>
      <c r="G56" s="82">
        <v>51200</v>
      </c>
      <c r="H56" s="50" t="s">
        <v>84</v>
      </c>
      <c r="I56" s="50"/>
    </row>
    <row r="57" spans="2:9" hidden="1" x14ac:dyDescent="0.25">
      <c r="B57" s="35" t="s">
        <v>32</v>
      </c>
      <c r="C57" s="9">
        <v>0.4</v>
      </c>
      <c r="D57" s="36">
        <v>39800</v>
      </c>
      <c r="E57" s="36">
        <v>46500</v>
      </c>
      <c r="F57" s="73">
        <v>52500</v>
      </c>
      <c r="G57" s="82">
        <v>34500</v>
      </c>
      <c r="H57" s="50" t="s">
        <v>85</v>
      </c>
      <c r="I57" s="50"/>
    </row>
    <row r="58" spans="2:9" hidden="1" x14ac:dyDescent="0.25">
      <c r="B58" s="35" t="s">
        <v>33</v>
      </c>
      <c r="C58" s="9">
        <v>0.33</v>
      </c>
      <c r="D58" s="36">
        <v>70400</v>
      </c>
      <c r="E58" s="36">
        <v>82500</v>
      </c>
      <c r="F58" s="73">
        <v>93000</v>
      </c>
      <c r="G58" s="82">
        <v>61200</v>
      </c>
      <c r="H58" s="50" t="s">
        <v>85</v>
      </c>
      <c r="I58" s="50"/>
    </row>
    <row r="59" spans="2:9" hidden="1" x14ac:dyDescent="0.25">
      <c r="B59" s="35" t="s">
        <v>34</v>
      </c>
      <c r="C59" s="9">
        <v>0.33</v>
      </c>
      <c r="D59" s="36">
        <v>67700</v>
      </c>
      <c r="E59" s="36">
        <v>79400</v>
      </c>
      <c r="F59" s="73">
        <v>89500</v>
      </c>
      <c r="G59" s="82">
        <v>58700</v>
      </c>
      <c r="H59" s="50" t="s">
        <v>85</v>
      </c>
      <c r="I59" s="50"/>
    </row>
    <row r="60" spans="2:9" hidden="1" x14ac:dyDescent="0.25">
      <c r="B60" s="35" t="s">
        <v>35</v>
      </c>
      <c r="C60" s="9">
        <v>0.4</v>
      </c>
      <c r="D60" s="36">
        <v>37900</v>
      </c>
      <c r="E60" s="36">
        <v>44400</v>
      </c>
      <c r="F60" s="73">
        <v>50100</v>
      </c>
      <c r="G60" s="82">
        <v>32900</v>
      </c>
      <c r="H60" s="50" t="s">
        <v>85</v>
      </c>
      <c r="I60" s="50"/>
    </row>
    <row r="61" spans="2:9" hidden="1" x14ac:dyDescent="0.25">
      <c r="B61" s="35" t="s">
        <v>36</v>
      </c>
      <c r="C61" s="9">
        <v>0.4</v>
      </c>
      <c r="D61" s="36">
        <v>42100</v>
      </c>
      <c r="E61" s="36">
        <v>49300</v>
      </c>
      <c r="F61" s="73">
        <v>55600</v>
      </c>
      <c r="G61" s="82">
        <v>36500</v>
      </c>
      <c r="H61" s="50" t="s">
        <v>85</v>
      </c>
      <c r="I61" s="50"/>
    </row>
    <row r="62" spans="2:9" hidden="1" x14ac:dyDescent="0.25">
      <c r="B62" s="35" t="s">
        <v>37</v>
      </c>
      <c r="C62" s="9">
        <v>0.4</v>
      </c>
      <c r="D62" s="36">
        <v>37900</v>
      </c>
      <c r="E62" s="36">
        <v>44400</v>
      </c>
      <c r="F62" s="73">
        <v>50100</v>
      </c>
      <c r="G62" s="82">
        <v>32900</v>
      </c>
      <c r="H62" s="50" t="s">
        <v>85</v>
      </c>
      <c r="I62" s="50"/>
    </row>
    <row r="63" spans="2:9" hidden="1" x14ac:dyDescent="0.25">
      <c r="B63" s="35" t="s">
        <v>38</v>
      </c>
      <c r="C63" s="9">
        <v>0.4</v>
      </c>
      <c r="D63" s="36">
        <v>37900</v>
      </c>
      <c r="E63" s="36">
        <v>44400</v>
      </c>
      <c r="F63" s="73">
        <v>50100</v>
      </c>
      <c r="G63" s="82">
        <v>32900</v>
      </c>
      <c r="H63" s="50" t="s">
        <v>85</v>
      </c>
      <c r="I63" s="50"/>
    </row>
    <row r="64" spans="2:9" hidden="1" x14ac:dyDescent="0.25">
      <c r="B64" s="35" t="s">
        <v>39</v>
      </c>
      <c r="C64" s="9">
        <v>0.4</v>
      </c>
      <c r="D64" s="36">
        <v>37900</v>
      </c>
      <c r="E64" s="36">
        <v>44400</v>
      </c>
      <c r="F64" s="73">
        <v>50100</v>
      </c>
      <c r="G64" s="82">
        <v>32900</v>
      </c>
      <c r="H64" s="50" t="s">
        <v>85</v>
      </c>
      <c r="I64" s="50"/>
    </row>
    <row r="65" spans="2:9" hidden="1" x14ac:dyDescent="0.25">
      <c r="B65" s="35" t="s">
        <v>40</v>
      </c>
      <c r="C65" s="9">
        <v>0.33</v>
      </c>
      <c r="D65" s="36">
        <v>68300</v>
      </c>
      <c r="E65" s="36">
        <v>79700</v>
      </c>
      <c r="F65" s="73">
        <v>90000</v>
      </c>
      <c r="G65" s="82">
        <v>59200</v>
      </c>
      <c r="H65" s="50" t="s">
        <v>84</v>
      </c>
      <c r="I65" s="50"/>
    </row>
    <row r="66" spans="2:9" hidden="1" x14ac:dyDescent="0.25">
      <c r="B66" s="35" t="s">
        <v>41</v>
      </c>
      <c r="C66" s="9">
        <v>0.4</v>
      </c>
      <c r="D66" s="36">
        <v>37900</v>
      </c>
      <c r="E66" s="36">
        <v>44400</v>
      </c>
      <c r="F66" s="73">
        <v>50100</v>
      </c>
      <c r="G66" s="82">
        <v>32900</v>
      </c>
      <c r="H66" s="50" t="s">
        <v>84</v>
      </c>
      <c r="I66" s="50"/>
    </row>
    <row r="67" spans="2:9" hidden="1" x14ac:dyDescent="0.25">
      <c r="B67" s="35" t="s">
        <v>42</v>
      </c>
      <c r="C67" s="9">
        <v>0.33</v>
      </c>
      <c r="D67" s="36">
        <v>68300</v>
      </c>
      <c r="E67" s="36">
        <v>79700</v>
      </c>
      <c r="F67" s="73">
        <v>90000</v>
      </c>
      <c r="G67" s="82">
        <v>59200</v>
      </c>
      <c r="H67" s="50" t="s">
        <v>86</v>
      </c>
      <c r="I67" s="50"/>
    </row>
    <row r="68" spans="2:9" hidden="1" x14ac:dyDescent="0.25">
      <c r="B68" s="35" t="s">
        <v>43</v>
      </c>
      <c r="C68" s="9">
        <v>0.4</v>
      </c>
      <c r="D68" s="36">
        <v>37900</v>
      </c>
      <c r="E68" s="36">
        <v>44400</v>
      </c>
      <c r="F68" s="73">
        <v>50100</v>
      </c>
      <c r="G68" s="82">
        <v>32900</v>
      </c>
      <c r="H68" s="50" t="s">
        <v>85</v>
      </c>
      <c r="I68" s="50"/>
    </row>
    <row r="69" spans="2:9" hidden="1" x14ac:dyDescent="0.25">
      <c r="B69" s="35" t="s">
        <v>44</v>
      </c>
      <c r="C69" s="9">
        <v>0.33</v>
      </c>
      <c r="D69" s="36">
        <v>67300</v>
      </c>
      <c r="E69" s="36">
        <v>79000</v>
      </c>
      <c r="F69" s="73">
        <v>89100</v>
      </c>
      <c r="G69" s="82">
        <v>58700</v>
      </c>
      <c r="H69" s="50" t="s">
        <v>84</v>
      </c>
      <c r="I69" s="50"/>
    </row>
    <row r="70" spans="2:9" hidden="1" x14ac:dyDescent="0.25">
      <c r="B70" s="35" t="s">
        <v>45</v>
      </c>
      <c r="C70" s="9">
        <v>0.4</v>
      </c>
      <c r="D70" s="36">
        <v>37900</v>
      </c>
      <c r="E70" s="36">
        <v>44400</v>
      </c>
      <c r="F70" s="73">
        <v>50100</v>
      </c>
      <c r="G70" s="82">
        <v>32900</v>
      </c>
      <c r="H70" s="50" t="s">
        <v>85</v>
      </c>
      <c r="I70" s="50"/>
    </row>
    <row r="71" spans="2:9" hidden="1" x14ac:dyDescent="0.25">
      <c r="B71" s="35" t="s">
        <v>46</v>
      </c>
      <c r="C71" s="9">
        <v>0.33</v>
      </c>
      <c r="D71" s="36">
        <v>70400</v>
      </c>
      <c r="E71" s="36">
        <v>82500</v>
      </c>
      <c r="F71" s="73">
        <v>93000</v>
      </c>
      <c r="G71" s="82">
        <v>61200</v>
      </c>
      <c r="H71" s="50" t="s">
        <v>85</v>
      </c>
      <c r="I71" s="50"/>
    </row>
    <row r="72" spans="2:9" hidden="1" x14ac:dyDescent="0.25">
      <c r="B72" s="35" t="s">
        <v>47</v>
      </c>
      <c r="C72" s="9">
        <v>0.4</v>
      </c>
      <c r="D72" s="36">
        <v>40000</v>
      </c>
      <c r="E72" s="36">
        <v>46900</v>
      </c>
      <c r="F72" s="73">
        <v>52900</v>
      </c>
      <c r="G72" s="82">
        <v>34700</v>
      </c>
      <c r="H72" s="50" t="s">
        <v>85</v>
      </c>
      <c r="I72" s="50"/>
    </row>
    <row r="73" spans="2:9" hidden="1" x14ac:dyDescent="0.25">
      <c r="B73" s="35" t="s">
        <v>48</v>
      </c>
      <c r="C73" s="9">
        <v>0.33</v>
      </c>
      <c r="D73" s="36">
        <v>70400</v>
      </c>
      <c r="E73" s="36">
        <v>82500</v>
      </c>
      <c r="F73" s="73">
        <v>93000</v>
      </c>
      <c r="G73" s="82">
        <v>61200</v>
      </c>
      <c r="H73" s="50" t="s">
        <v>84</v>
      </c>
      <c r="I73" s="50"/>
    </row>
    <row r="74" spans="2:9" hidden="1" x14ac:dyDescent="0.25">
      <c r="B74" s="35" t="s">
        <v>49</v>
      </c>
      <c r="C74" s="9">
        <v>0.33</v>
      </c>
      <c r="D74" s="36">
        <v>66900</v>
      </c>
      <c r="E74" s="36">
        <v>78200</v>
      </c>
      <c r="F74" s="73">
        <v>88200</v>
      </c>
      <c r="G74" s="82">
        <v>58000</v>
      </c>
      <c r="H74" s="50" t="s">
        <v>84</v>
      </c>
      <c r="I74" s="50"/>
    </row>
    <row r="75" spans="2:9" hidden="1" x14ac:dyDescent="0.25">
      <c r="B75" s="35" t="s">
        <v>50</v>
      </c>
      <c r="C75" s="9">
        <v>0.33</v>
      </c>
      <c r="D75" s="36">
        <v>70400</v>
      </c>
      <c r="E75" s="36">
        <v>82500</v>
      </c>
      <c r="F75" s="73">
        <v>93000</v>
      </c>
      <c r="G75" s="82">
        <v>61200</v>
      </c>
      <c r="H75" s="50" t="s">
        <v>84</v>
      </c>
      <c r="I75" s="50"/>
    </row>
    <row r="76" spans="2:9" hidden="1" x14ac:dyDescent="0.25">
      <c r="B76" s="35" t="s">
        <v>51</v>
      </c>
      <c r="C76" s="9">
        <v>0.4</v>
      </c>
      <c r="D76" s="36">
        <v>37900</v>
      </c>
      <c r="E76" s="36">
        <v>44400</v>
      </c>
      <c r="F76" s="73">
        <v>50100</v>
      </c>
      <c r="G76" s="82">
        <v>32900</v>
      </c>
      <c r="H76" s="50" t="s">
        <v>85</v>
      </c>
      <c r="I76" s="50"/>
    </row>
    <row r="77" spans="2:9" hidden="1" x14ac:dyDescent="0.25">
      <c r="B77" s="35" t="s">
        <v>52</v>
      </c>
      <c r="C77" s="9">
        <v>0.4</v>
      </c>
      <c r="D77" s="36">
        <v>37900</v>
      </c>
      <c r="E77" s="36">
        <v>44400</v>
      </c>
      <c r="F77" s="73">
        <v>50100</v>
      </c>
      <c r="G77" s="82">
        <v>32900</v>
      </c>
      <c r="H77" s="50" t="s">
        <v>85</v>
      </c>
      <c r="I77" s="50"/>
    </row>
    <row r="78" spans="2:9" hidden="1" x14ac:dyDescent="0.25">
      <c r="B78" s="35" t="s">
        <v>53</v>
      </c>
      <c r="C78" s="9">
        <v>0.4</v>
      </c>
      <c r="D78" s="36">
        <v>37900</v>
      </c>
      <c r="E78" s="36">
        <v>44400</v>
      </c>
      <c r="F78" s="73">
        <v>50100</v>
      </c>
      <c r="G78" s="82">
        <v>32900</v>
      </c>
      <c r="H78" s="50" t="s">
        <v>85</v>
      </c>
      <c r="I78" s="50"/>
    </row>
    <row r="79" spans="2:9" hidden="1" x14ac:dyDescent="0.25">
      <c r="B79" s="35" t="s">
        <v>54</v>
      </c>
      <c r="C79" s="9">
        <v>0.3</v>
      </c>
      <c r="D79" s="36">
        <v>82400</v>
      </c>
      <c r="E79" s="36">
        <v>96500</v>
      </c>
      <c r="F79" s="73">
        <v>108800</v>
      </c>
      <c r="G79" s="82">
        <v>71500</v>
      </c>
      <c r="H79" s="50" t="s">
        <v>84</v>
      </c>
      <c r="I79" s="50"/>
    </row>
    <row r="80" spans="2:9" hidden="1" x14ac:dyDescent="0.25">
      <c r="B80" s="35" t="s">
        <v>55</v>
      </c>
      <c r="C80" s="9">
        <v>0.4</v>
      </c>
      <c r="D80" s="36">
        <v>39400</v>
      </c>
      <c r="E80" s="36">
        <v>46100</v>
      </c>
      <c r="F80" s="73">
        <v>52100</v>
      </c>
      <c r="G80" s="82">
        <v>34100</v>
      </c>
      <c r="H80" s="50" t="s">
        <v>84</v>
      </c>
      <c r="I80" s="50"/>
    </row>
    <row r="81" spans="2:9" hidden="1" x14ac:dyDescent="0.25">
      <c r="B81" s="35" t="s">
        <v>56</v>
      </c>
      <c r="C81" s="9">
        <v>0.33</v>
      </c>
      <c r="D81" s="36">
        <v>67300</v>
      </c>
      <c r="E81" s="36">
        <v>79000</v>
      </c>
      <c r="F81" s="73">
        <v>89000</v>
      </c>
      <c r="G81" s="82">
        <v>58500</v>
      </c>
      <c r="H81" s="50" t="s">
        <v>84</v>
      </c>
      <c r="I81" s="50"/>
    </row>
    <row r="82" spans="2:9" hidden="1" x14ac:dyDescent="0.25">
      <c r="B82" s="35" t="s">
        <v>57</v>
      </c>
      <c r="C82" s="9">
        <v>0.25</v>
      </c>
      <c r="D82" s="36">
        <v>114900</v>
      </c>
      <c r="E82" s="36">
        <v>134400</v>
      </c>
      <c r="F82" s="73">
        <v>151700</v>
      </c>
      <c r="G82" s="82">
        <v>99600</v>
      </c>
      <c r="H82" s="50" t="s">
        <v>86</v>
      </c>
      <c r="I82" s="50"/>
    </row>
    <row r="83" spans="2:9" hidden="1" x14ac:dyDescent="0.25">
      <c r="B83" s="35" t="s">
        <v>58</v>
      </c>
      <c r="C83" s="9">
        <v>0.25</v>
      </c>
      <c r="D83" s="36">
        <v>126400</v>
      </c>
      <c r="E83" s="36">
        <v>148300</v>
      </c>
      <c r="F83" s="73">
        <v>167200</v>
      </c>
      <c r="G83" s="82">
        <v>109700</v>
      </c>
      <c r="H83" s="50" t="s">
        <v>85</v>
      </c>
      <c r="I83" s="50"/>
    </row>
    <row r="84" spans="2:9" hidden="1" x14ac:dyDescent="0.25">
      <c r="B84" s="35" t="s">
        <v>59</v>
      </c>
      <c r="C84" s="9">
        <v>0.3</v>
      </c>
      <c r="D84" s="36">
        <v>80700</v>
      </c>
      <c r="E84" s="36">
        <v>94500</v>
      </c>
      <c r="F84" s="73">
        <v>106600</v>
      </c>
      <c r="G84" s="82">
        <v>70100</v>
      </c>
      <c r="H84" s="50" t="s">
        <v>85</v>
      </c>
      <c r="I84" s="50"/>
    </row>
    <row r="85" spans="2:9" hidden="1" x14ac:dyDescent="0.25">
      <c r="B85" s="35" t="s">
        <v>60</v>
      </c>
      <c r="C85" s="9">
        <v>0.3</v>
      </c>
      <c r="D85" s="36">
        <v>83900</v>
      </c>
      <c r="E85" s="36">
        <v>98400</v>
      </c>
      <c r="F85" s="73">
        <v>110800</v>
      </c>
      <c r="G85" s="82">
        <v>72900</v>
      </c>
      <c r="H85" s="50" t="s">
        <v>84</v>
      </c>
      <c r="I85" s="50"/>
    </row>
    <row r="86" spans="2:9" hidden="1" x14ac:dyDescent="0.25">
      <c r="B86" s="35" t="s">
        <v>61</v>
      </c>
      <c r="C86" s="9">
        <v>0.4</v>
      </c>
      <c r="D86" s="36">
        <v>37900</v>
      </c>
      <c r="E86" s="36">
        <v>44400</v>
      </c>
      <c r="F86" s="73">
        <v>50100</v>
      </c>
      <c r="G86" s="82">
        <v>32900</v>
      </c>
      <c r="H86" s="50" t="s">
        <v>85</v>
      </c>
      <c r="I86" s="50"/>
    </row>
    <row r="87" spans="2:9" hidden="1" x14ac:dyDescent="0.25">
      <c r="B87" s="35" t="s">
        <v>62</v>
      </c>
      <c r="C87" s="9">
        <v>0.33</v>
      </c>
      <c r="D87" s="36">
        <v>70400</v>
      </c>
      <c r="E87" s="36">
        <v>82500</v>
      </c>
      <c r="F87" s="73">
        <v>93000</v>
      </c>
      <c r="G87" s="82">
        <v>61200</v>
      </c>
      <c r="H87" s="50" t="s">
        <v>86</v>
      </c>
      <c r="I87" s="50"/>
    </row>
    <row r="88" spans="2:9" hidden="1" x14ac:dyDescent="0.25">
      <c r="B88" s="35" t="s">
        <v>63</v>
      </c>
      <c r="C88" s="9">
        <v>0.33</v>
      </c>
      <c r="D88" s="36">
        <v>70400</v>
      </c>
      <c r="E88" s="36">
        <v>82500</v>
      </c>
      <c r="F88" s="73">
        <v>92900</v>
      </c>
      <c r="G88" s="82">
        <v>61200</v>
      </c>
      <c r="H88" s="50" t="s">
        <v>84</v>
      </c>
      <c r="I88" s="50"/>
    </row>
    <row r="89" spans="2:9" hidden="1" x14ac:dyDescent="0.25">
      <c r="B89" s="35" t="s">
        <v>64</v>
      </c>
      <c r="C89" s="9">
        <v>0.28000000000000003</v>
      </c>
      <c r="D89" s="36">
        <v>100800</v>
      </c>
      <c r="E89" s="36">
        <v>118200</v>
      </c>
      <c r="F89" s="73">
        <v>133300</v>
      </c>
      <c r="G89" s="82">
        <v>87500</v>
      </c>
      <c r="H89" s="50" t="s">
        <v>86</v>
      </c>
      <c r="I89" s="50"/>
    </row>
    <row r="90" spans="2:9" hidden="1" x14ac:dyDescent="0.25">
      <c r="B90" s="35" t="s">
        <v>65</v>
      </c>
      <c r="C90" s="9">
        <v>0.33</v>
      </c>
      <c r="D90" s="36">
        <v>68300</v>
      </c>
      <c r="E90" s="36">
        <v>79700</v>
      </c>
      <c r="F90" s="73">
        <v>90000</v>
      </c>
      <c r="G90" s="82">
        <v>59200</v>
      </c>
      <c r="H90" s="50" t="s">
        <v>84</v>
      </c>
      <c r="I90" s="50"/>
    </row>
    <row r="91" spans="2:9" hidden="1" x14ac:dyDescent="0.25">
      <c r="B91" s="35" t="s">
        <v>66</v>
      </c>
      <c r="C91" s="9">
        <v>0.33</v>
      </c>
      <c r="D91" s="36">
        <v>68300</v>
      </c>
      <c r="E91" s="36">
        <v>79700</v>
      </c>
      <c r="F91" s="73">
        <v>90000</v>
      </c>
      <c r="G91" s="82">
        <v>59200</v>
      </c>
      <c r="H91" s="50" t="s">
        <v>86</v>
      </c>
      <c r="I91" s="50"/>
    </row>
    <row r="92" spans="2:9" hidden="1" x14ac:dyDescent="0.25">
      <c r="B92" s="35" t="s">
        <v>67</v>
      </c>
      <c r="C92" s="9">
        <v>0.4</v>
      </c>
      <c r="D92" s="36">
        <v>42300</v>
      </c>
      <c r="E92" s="36">
        <v>49500</v>
      </c>
      <c r="F92" s="73">
        <v>55800</v>
      </c>
      <c r="G92" s="82">
        <v>36600</v>
      </c>
      <c r="H92" s="50" t="s">
        <v>84</v>
      </c>
      <c r="I92" s="50"/>
    </row>
    <row r="93" spans="2:9" hidden="1" x14ac:dyDescent="0.25">
      <c r="B93" s="35" t="s">
        <v>68</v>
      </c>
      <c r="C93" s="9">
        <v>0.4</v>
      </c>
      <c r="D93" s="36">
        <v>37900</v>
      </c>
      <c r="E93" s="36">
        <v>44400</v>
      </c>
      <c r="F93" s="73">
        <v>50100</v>
      </c>
      <c r="G93" s="82">
        <v>32900</v>
      </c>
      <c r="H93" s="50" t="s">
        <v>85</v>
      </c>
      <c r="I93" s="50"/>
    </row>
    <row r="94" spans="2:9" hidden="1" x14ac:dyDescent="0.25">
      <c r="B94" s="35" t="s">
        <v>69</v>
      </c>
      <c r="C94" s="9">
        <v>0.3</v>
      </c>
      <c r="D94" s="36">
        <v>80700</v>
      </c>
      <c r="E94" s="36">
        <v>94500</v>
      </c>
      <c r="F94" s="73">
        <v>106600</v>
      </c>
      <c r="G94" s="82">
        <v>70100</v>
      </c>
      <c r="H94" s="50" t="s">
        <v>84</v>
      </c>
      <c r="I94" s="50"/>
    </row>
    <row r="95" spans="2:9" hidden="1" x14ac:dyDescent="0.25">
      <c r="B95" s="35" t="s">
        <v>70</v>
      </c>
      <c r="C95" s="9">
        <v>0.33</v>
      </c>
      <c r="D95" s="36">
        <v>67300</v>
      </c>
      <c r="E95" s="36">
        <v>79000</v>
      </c>
      <c r="F95" s="73">
        <v>89000</v>
      </c>
      <c r="G95" s="82">
        <v>58500</v>
      </c>
      <c r="H95" s="50" t="s">
        <v>84</v>
      </c>
      <c r="I95" s="50"/>
    </row>
    <row r="96" spans="2:9" hidden="1" x14ac:dyDescent="0.25">
      <c r="B96" s="35" t="s">
        <v>71</v>
      </c>
      <c r="C96" s="9">
        <v>0.35</v>
      </c>
      <c r="D96" s="36">
        <v>59100</v>
      </c>
      <c r="E96" s="36">
        <v>69500</v>
      </c>
      <c r="F96" s="73">
        <v>78200</v>
      </c>
      <c r="G96" s="82">
        <v>51400</v>
      </c>
      <c r="H96" s="50" t="s">
        <v>84</v>
      </c>
      <c r="I96" s="50"/>
    </row>
    <row r="97" spans="2:9" hidden="1" x14ac:dyDescent="0.25">
      <c r="B97" s="35" t="s">
        <v>72</v>
      </c>
      <c r="C97" s="9">
        <v>0.3</v>
      </c>
      <c r="D97" s="36">
        <v>82400</v>
      </c>
      <c r="E97" s="36">
        <v>96500</v>
      </c>
      <c r="F97" s="73">
        <v>108800</v>
      </c>
      <c r="G97" s="82">
        <v>71500</v>
      </c>
      <c r="H97" s="50" t="s">
        <v>84</v>
      </c>
      <c r="I97" s="50"/>
    </row>
    <row r="98" spans="2:9" hidden="1" x14ac:dyDescent="0.25">
      <c r="B98" s="35" t="s">
        <v>73</v>
      </c>
      <c r="C98" s="9">
        <v>0.33</v>
      </c>
      <c r="D98" s="36">
        <v>70400</v>
      </c>
      <c r="E98" s="36">
        <v>82500</v>
      </c>
      <c r="F98" s="73">
        <v>93000</v>
      </c>
      <c r="G98" s="82">
        <v>61200</v>
      </c>
      <c r="H98" s="50" t="s">
        <v>84</v>
      </c>
      <c r="I98" s="50"/>
    </row>
    <row r="99" spans="2:9" hidden="1" x14ac:dyDescent="0.25">
      <c r="B99" s="35" t="s">
        <v>74</v>
      </c>
      <c r="C99" s="9">
        <v>0.33</v>
      </c>
      <c r="D99" s="36">
        <v>65800</v>
      </c>
      <c r="E99" s="36">
        <v>76900</v>
      </c>
      <c r="F99" s="73">
        <v>86800</v>
      </c>
      <c r="G99" s="82">
        <v>57100</v>
      </c>
      <c r="H99" s="50" t="s">
        <v>84</v>
      </c>
      <c r="I99" s="50"/>
    </row>
    <row r="100" spans="2:9" hidden="1" x14ac:dyDescent="0.25">
      <c r="B100" s="35" t="s">
        <v>75</v>
      </c>
      <c r="C100" s="9">
        <v>0.4</v>
      </c>
      <c r="D100" s="36">
        <v>37900</v>
      </c>
      <c r="E100" s="36">
        <v>44400</v>
      </c>
      <c r="F100" s="73">
        <v>50100</v>
      </c>
      <c r="G100" s="82">
        <v>32900</v>
      </c>
      <c r="H100" s="50" t="s">
        <v>85</v>
      </c>
      <c r="I100" s="50"/>
    </row>
    <row r="101" spans="2:9" hidden="1" x14ac:dyDescent="0.25">
      <c r="B101" s="35" t="s">
        <v>76</v>
      </c>
      <c r="C101" s="9">
        <v>0.4</v>
      </c>
      <c r="D101" s="36">
        <v>37900</v>
      </c>
      <c r="E101" s="36">
        <v>44400</v>
      </c>
      <c r="F101" s="73">
        <v>50100</v>
      </c>
      <c r="G101" s="82">
        <v>32900</v>
      </c>
      <c r="H101" s="50" t="s">
        <v>85</v>
      </c>
      <c r="I101" s="50"/>
    </row>
    <row r="102" spans="2:9" hidden="1" x14ac:dyDescent="0.25">
      <c r="B102" s="35" t="s">
        <v>77</v>
      </c>
      <c r="C102" s="9">
        <v>0.4</v>
      </c>
      <c r="D102" s="36">
        <v>37900</v>
      </c>
      <c r="E102" s="36">
        <v>44400</v>
      </c>
      <c r="F102" s="73">
        <v>50100</v>
      </c>
      <c r="G102" s="82">
        <v>32900</v>
      </c>
      <c r="H102" s="50" t="s">
        <v>85</v>
      </c>
      <c r="I102" s="50"/>
    </row>
    <row r="103" spans="2:9" hidden="1" x14ac:dyDescent="0.25">
      <c r="B103" s="35" t="s">
        <v>78</v>
      </c>
      <c r="C103" s="9">
        <v>0.35</v>
      </c>
      <c r="D103" s="36">
        <v>58300</v>
      </c>
      <c r="E103" s="36">
        <v>68300</v>
      </c>
      <c r="F103" s="73">
        <v>76900</v>
      </c>
      <c r="G103" s="82">
        <v>50500</v>
      </c>
      <c r="H103" s="50" t="s">
        <v>84</v>
      </c>
      <c r="I103" s="50"/>
    </row>
    <row r="104" spans="2:9" hidden="1" x14ac:dyDescent="0.25">
      <c r="B104" s="35" t="s">
        <v>79</v>
      </c>
      <c r="C104" s="9">
        <v>0.33</v>
      </c>
      <c r="D104" s="36">
        <v>67700</v>
      </c>
      <c r="E104" s="36">
        <v>79400</v>
      </c>
      <c r="F104" s="73">
        <v>89500</v>
      </c>
      <c r="G104" s="82">
        <v>58700</v>
      </c>
      <c r="H104" s="50" t="s">
        <v>85</v>
      </c>
      <c r="I104" s="50"/>
    </row>
    <row r="105" spans="2:9" hidden="1" x14ac:dyDescent="0.25">
      <c r="B105" s="35" t="s">
        <v>80</v>
      </c>
      <c r="C105" s="9">
        <v>0.35</v>
      </c>
      <c r="D105" s="36">
        <v>59600</v>
      </c>
      <c r="E105" s="36">
        <v>69700</v>
      </c>
      <c r="F105" s="73">
        <v>78700</v>
      </c>
      <c r="G105" s="82">
        <v>51800</v>
      </c>
      <c r="H105" s="50" t="s">
        <v>85</v>
      </c>
      <c r="I105" s="50"/>
    </row>
    <row r="106" spans="2:9" ht="13" hidden="1" thickBot="1" x14ac:dyDescent="0.3">
      <c r="B106" s="69" t="s">
        <v>81</v>
      </c>
      <c r="C106" s="70">
        <v>0.4</v>
      </c>
      <c r="D106" s="71">
        <v>37900</v>
      </c>
      <c r="E106" s="71">
        <v>44400</v>
      </c>
      <c r="F106" s="74">
        <v>50100</v>
      </c>
      <c r="G106" s="83">
        <v>32900</v>
      </c>
      <c r="H106" s="58" t="s">
        <v>85</v>
      </c>
      <c r="I106" s="58"/>
    </row>
    <row r="107" spans="2:9" hidden="1" x14ac:dyDescent="0.25">
      <c r="B107" s="12"/>
      <c r="C107" s="12"/>
      <c r="D107" s="12"/>
      <c r="E107" s="12"/>
      <c r="F107" s="12"/>
      <c r="G107" s="12"/>
      <c r="H107" s="12"/>
    </row>
    <row r="108" spans="2:9" hidden="1" x14ac:dyDescent="0.25">
      <c r="B108" s="51" t="s">
        <v>90</v>
      </c>
    </row>
    <row r="109" spans="2:9" hidden="1" x14ac:dyDescent="0.25">
      <c r="B109" s="51" t="s">
        <v>88</v>
      </c>
    </row>
    <row r="110" spans="2:9" hidden="1" x14ac:dyDescent="0.25">
      <c r="B110" s="51" t="s">
        <v>89</v>
      </c>
    </row>
    <row r="111" spans="2:9" hidden="1" x14ac:dyDescent="0.25"/>
    <row r="112" spans="2:9" hidden="1" x14ac:dyDescent="0.25">
      <c r="B112" s="11" t="s">
        <v>92</v>
      </c>
      <c r="C112" s="92">
        <v>600000</v>
      </c>
      <c r="D112" s="92"/>
    </row>
    <row r="113" spans="2:4" hidden="1" x14ac:dyDescent="0.25"/>
    <row r="114" spans="2:4" hidden="1" x14ac:dyDescent="0.25">
      <c r="B114" s="51" t="s">
        <v>90</v>
      </c>
      <c r="D114" s="51" t="s">
        <v>90</v>
      </c>
    </row>
    <row r="115" spans="2:4" hidden="1" x14ac:dyDescent="0.25">
      <c r="B115" s="59" t="s">
        <v>97</v>
      </c>
      <c r="D115" s="11" t="s">
        <v>120</v>
      </c>
    </row>
    <row r="116" spans="2:4" hidden="1" x14ac:dyDescent="0.25">
      <c r="B116" s="59" t="s">
        <v>98</v>
      </c>
      <c r="D116" s="11" t="s">
        <v>119</v>
      </c>
    </row>
    <row r="117" spans="2:4" ht="13" hidden="1" thickBot="1" x14ac:dyDescent="0.3">
      <c r="B117" s="59" t="s">
        <v>99</v>
      </c>
    </row>
    <row r="118" spans="2:4" ht="26" hidden="1" x14ac:dyDescent="0.3">
      <c r="B118" s="11" t="s">
        <v>100</v>
      </c>
      <c r="D118" s="3" t="s">
        <v>9</v>
      </c>
    </row>
    <row r="119" spans="2:4" hidden="1" x14ac:dyDescent="0.25">
      <c r="B119" s="11" t="s">
        <v>101</v>
      </c>
      <c r="D119" s="15"/>
    </row>
    <row r="120" spans="2:4" hidden="1" x14ac:dyDescent="0.25">
      <c r="D120" s="18">
        <f>SUM(C$22:C23)</f>
        <v>0</v>
      </c>
    </row>
    <row r="121" spans="2:4" hidden="1" x14ac:dyDescent="0.25">
      <c r="B121" s="51" t="s">
        <v>90</v>
      </c>
      <c r="D121" s="18">
        <f>SUM(C$22:C24)</f>
        <v>0</v>
      </c>
    </row>
    <row r="122" spans="2:4" hidden="1" x14ac:dyDescent="0.25">
      <c r="B122" s="11" t="s">
        <v>93</v>
      </c>
      <c r="D122" s="21">
        <f>SUM(C$22:C25)</f>
        <v>0</v>
      </c>
    </row>
    <row r="123" spans="2:4" hidden="1" x14ac:dyDescent="0.25">
      <c r="B123" s="52" t="s">
        <v>94</v>
      </c>
      <c r="D123" s="21">
        <f>SUM(C$22:C26)</f>
        <v>0</v>
      </c>
    </row>
    <row r="124" spans="2:4" hidden="1" x14ac:dyDescent="0.25">
      <c r="B124" s="11" t="s">
        <v>95</v>
      </c>
      <c r="D124" s="21">
        <f>SUM(C$22:C27)</f>
        <v>0</v>
      </c>
    </row>
    <row r="125" spans="2:4" hidden="1" x14ac:dyDescent="0.25">
      <c r="D125" s="21">
        <f>SUM(C$22:C28)</f>
        <v>0</v>
      </c>
    </row>
    <row r="126" spans="2:4" ht="13" hidden="1" thickBot="1" x14ac:dyDescent="0.3">
      <c r="B126" s="44" t="s">
        <v>91</v>
      </c>
      <c r="D126" s="23"/>
    </row>
    <row r="127" spans="2:4" ht="13.5" hidden="1" thickTop="1" thickBot="1" x14ac:dyDescent="0.3">
      <c r="B127" s="53" t="str">
        <f>IF(AND(G9=B118,OR(G10=B123,G10=B124),G11=B110),10%,IF(AND(G9=B118,G10=B122,G11=B110),15%,IF(AND(G9=B118,G11=B109),30%,IF(AND(G9=B119,G11=B110),0%,IF(AND(G9=B119,G11=B109),30%,"TBD")))))</f>
        <v>TBD</v>
      </c>
      <c r="D127" s="26"/>
    </row>
    <row r="128" spans="2:4" hidden="1" x14ac:dyDescent="0.25"/>
    <row r="129" spans="2:2" hidden="1" x14ac:dyDescent="0.25">
      <c r="B129" s="11" t="s">
        <v>126</v>
      </c>
    </row>
  </sheetData>
  <sheetProtection algorithmName="SHA-512" hashValue="RHW4mdNYaB4GHUishtnbE9w5CwM7gMXy5iZqsHkz9bdBYWZCD1y+OlIPzVDQRqNK8cZvnxhuia79vpplUndtDg==" saltValue="eklKJ7xRy6uLbGx3KrOE4Q==" spinCount="100000" sheet="1" selectLockedCells="1"/>
  <mergeCells count="32">
    <mergeCell ref="L38:M40"/>
    <mergeCell ref="L42:M45"/>
    <mergeCell ref="G11:H11"/>
    <mergeCell ref="B5:H5"/>
    <mergeCell ref="L7:M7"/>
    <mergeCell ref="J38:K48"/>
    <mergeCell ref="A1:B1"/>
    <mergeCell ref="C1:H1"/>
    <mergeCell ref="G12:H12"/>
    <mergeCell ref="G8:H8"/>
    <mergeCell ref="G9:H9"/>
    <mergeCell ref="G10:H10"/>
    <mergeCell ref="S7:T7"/>
    <mergeCell ref="O7:P7"/>
    <mergeCell ref="A2:H2"/>
    <mergeCell ref="G7:H7"/>
    <mergeCell ref="V7:W7"/>
    <mergeCell ref="A3:H3"/>
    <mergeCell ref="A4:H4"/>
    <mergeCell ref="C112:D112"/>
    <mergeCell ref="G13:H13"/>
    <mergeCell ref="G15:H15"/>
    <mergeCell ref="G16:H16"/>
    <mergeCell ref="G17:H17"/>
    <mergeCell ref="H31:H34"/>
    <mergeCell ref="C31:C34"/>
    <mergeCell ref="D31:D33"/>
    <mergeCell ref="F31:F33"/>
    <mergeCell ref="G31:G34"/>
    <mergeCell ref="E31:E33"/>
    <mergeCell ref="G14:H14"/>
    <mergeCell ref="B18:I18"/>
  </mergeCells>
  <conditionalFormatting sqref="H30">
    <cfRule type="expression" dxfId="9" priority="25">
      <formula>SUM(H22:H29)&gt;H30</formula>
    </cfRule>
  </conditionalFormatting>
  <conditionalFormatting sqref="G32:G34">
    <cfRule type="expression" dxfId="8" priority="24">
      <formula>SUM(H24:H30)&gt;H31</formula>
    </cfRule>
  </conditionalFormatting>
  <conditionalFormatting sqref="B40:I106">
    <cfRule type="expression" dxfId="7" priority="6">
      <formula>COUNTA($B$40:$B40)/3=ROUND(COUNTA($B$40:$B40)/3,0)</formula>
    </cfRule>
  </conditionalFormatting>
  <conditionalFormatting sqref="B40:B106">
    <cfRule type="cellIs" dxfId="6" priority="26" operator="equal">
      <formula>G$7</formula>
    </cfRule>
  </conditionalFormatting>
  <conditionalFormatting sqref="D40:F106">
    <cfRule type="expression" dxfId="5" priority="27">
      <formula>$B40=$G$7</formula>
    </cfRule>
  </conditionalFormatting>
  <conditionalFormatting sqref="G31">
    <cfRule type="expression" dxfId="4" priority="28">
      <formula>SUM(H22:H29)&gt;H30</formula>
    </cfRule>
  </conditionalFormatting>
  <conditionalFormatting sqref="J24">
    <cfRule type="expression" dxfId="3" priority="4">
      <formula>AND(OR(G$12=D$115,AND(G$12=D$116,C$23=0)),C24&gt;ROUNDUP(50%*C$30,0))</formula>
    </cfRule>
  </conditionalFormatting>
  <conditionalFormatting sqref="J25">
    <cfRule type="expression" dxfId="2" priority="2">
      <formula>AND(G$12=D$116,C$23&gt;0,C25&lt;ROUNDUP(50%*(C$30-C$23+C$23/2),0))</formula>
    </cfRule>
    <cfRule type="expression" dxfId="1" priority="3">
      <formula>AND(OR(G$12=D$115,AND(G$12=D$116,C$23=0)),C25&lt;ROUNDUP(50%*C$30,0))</formula>
    </cfRule>
  </conditionalFormatting>
  <conditionalFormatting sqref="J26">
    <cfRule type="expression" dxfId="0" priority="1">
      <formula>AND(G$12=D$116,C$23&gt;0,C26&gt;MIN(11,ROUNDDOWN(25%*(C$30-C$23+C$23/2),0)))</formula>
    </cfRule>
  </conditionalFormatting>
  <dataValidations xWindow="531" yWindow="472" count="5">
    <dataValidation type="list" allowBlank="1" showInputMessage="1" showErrorMessage="1" sqref="G7:H7" xr:uid="{00000000-0002-0000-0000-000000000000}">
      <formula1>$B$39:$B$106</formula1>
    </dataValidation>
    <dataValidation type="list" allowBlank="1" showInputMessage="1" showErrorMessage="1" sqref="G16 G11" xr:uid="{22A46BD2-A9B7-43B9-83F5-62EFF7A0AFC7}">
      <formula1>$B$108:$B$110</formula1>
    </dataValidation>
    <dataValidation type="list" allowBlank="1" showInputMessage="1" showErrorMessage="1" sqref="G9" xr:uid="{6BED0E39-88C6-4BC4-B192-CC2919FC9C1D}">
      <formula1>$B$114:$B$119</formula1>
    </dataValidation>
    <dataValidation type="list" allowBlank="1" showInputMessage="1" showErrorMessage="1" sqref="G10:H10" xr:uid="{D348BC0F-E15E-43B9-A33E-F8E0F31D7DDB}">
      <formula1>$B$121:$B$124</formula1>
    </dataValidation>
    <dataValidation type="list" allowBlank="1" showInputMessage="1" showErrorMessage="1" sqref="G12:H12" xr:uid="{DA854AB0-99F4-495D-ADFE-46F5B3E9D600}">
      <formula1>$D$114:$D$116</formula1>
    </dataValidation>
  </dataValidations>
  <printOptions horizontalCentered="1"/>
  <pageMargins left="0.25" right="0.25" top="0.75" bottom="0.75" header="0.3" footer="0.3"/>
  <pageSetup scale="99" orientation="portrait" r:id="rId1"/>
  <rowBreaks count="1" manualBreakCount="1">
    <brk id="34" max="16383" man="1"/>
  </rowBreaks>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2" ma:contentTypeDescription="Create a new document." ma:contentTypeScope="" ma:versionID="9054663fb39640b2ab1cc222cb2b0bba">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0b158f4102d84c18749311473bf7e6b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6E8401-9AAB-4C68-B0C0-8845C922B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E0585C-696A-4E1C-837F-4071351B2343}">
  <ds:schemaRefs>
    <ds:schemaRef ds:uri="http://schemas.microsoft.com/sharepoint/v3/contenttype/forms"/>
  </ds:schemaRefs>
</ds:datastoreItem>
</file>

<file path=customXml/itemProps3.xml><?xml version="1.0" encoding="utf-8"?>
<ds:datastoreItem xmlns:ds="http://schemas.openxmlformats.org/officeDocument/2006/customXml" ds:itemID="{C6CB79A7-AAA4-4F15-BC3F-566DCF15C10A}">
  <ds:schemaRefs>
    <ds:schemaRef ds:uri="http://purl.org/dc/elements/1.1/"/>
    <ds:schemaRef ds:uri="http://schemas.microsoft.com/sharepoint/v3"/>
    <ds:schemaRef ds:uri="http://www.w3.org/XML/1998/namespace"/>
    <ds:schemaRef ds:uri="a226f5f0-4194-4a70-829c-4bbef480395c"/>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5a5b18f4-a66d-498a-8c29-5461dd40923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ELI_PU</vt:lpstr>
      <vt:lpstr>Sheet1!Print_Area</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 Tatreau</dc:creator>
  <cp:lastModifiedBy>Jean Salmonsen</cp:lastModifiedBy>
  <cp:lastPrinted>2021-01-11T19:06:04Z</cp:lastPrinted>
  <dcterms:created xsi:type="dcterms:W3CDTF">2015-07-20T21:55:29Z</dcterms:created>
  <dcterms:modified xsi:type="dcterms:W3CDTF">2021-01-19T19:42:58Z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ies>
</file>