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floridahousing.sharepoint.com/sites/MF/allocations/Combined Cycle/2021 Rules and RFAs/2021-204 Preservation/Pro Forma/"/>
    </mc:Choice>
  </mc:AlternateContent>
  <xr:revisionPtr revIDLastSave="1" documentId="8_{6E6D1D80-E7F2-4828-9AA7-14B91E1FC992}" xr6:coauthVersionLast="46" xr6:coauthVersionMax="46" xr10:uidLastSave="{57E98568-F397-49EE-B8C3-9EB08E9728FC}"/>
  <workbookProtection workbookAlgorithmName="SHA-512" workbookHashValue="IYCTw7SJt8MMt8ZD4clm/q7Qt/amhaRDbrmCRh8gDr8jamf+tl3wcv/vRwBpv1EH8+0Q35AaN34ql6LVETRv4w==" workbookSaltValue="7l6PnhSuTPju8wuTEtpbTQ==" workbookSpinCount="100000" lockStructure="1"/>
  <bookViews>
    <workbookView xWindow="22932" yWindow="-108" windowWidth="23256" windowHeight="12576" xr2:uid="{00000000-000D-0000-FFFF-FFFF00000000}"/>
  </bookViews>
  <sheets>
    <sheet name="Sheet1" sheetId="1" r:id="rId1"/>
  </sheets>
  <definedNames>
    <definedName name="Acq_elig">Sheet1!$H$174</definedName>
    <definedName name="Acq_inelig">Sheet1!$K$174</definedName>
    <definedName name="Acq_total">Sheet1!$N$174</definedName>
    <definedName name="Acquisition_eligible">Sheet1!$H$179</definedName>
    <definedName name="Acquisition_ineligible">Sheet1!$K$179</definedName>
    <definedName name="Acquisition_total">Sheet1!$N$179</definedName>
    <definedName name="Actual_Accessory_eligible">Sheet1!$H$42</definedName>
    <definedName name="Actual_Accessory_ineligible">Sheet1!$K$42</definedName>
    <definedName name="Actual_Accessory_total">Sheet1!$N$42</definedName>
    <definedName name="Actual_Comm_Retail_eligible">Sheet1!$H$46</definedName>
    <definedName name="Actual_Comm_Retail_ineligible">Sheet1!$K$46</definedName>
    <definedName name="Actual_Comm_Retail_total">Sheet1!$N$46</definedName>
    <definedName name="Actual_commonareas_eligible">Sheet1!$H$54</definedName>
    <definedName name="Actual_commonareas_ineligible">Sheet1!$K$54</definedName>
    <definedName name="Actual_commonareas_total">Sheet1!$N$54</definedName>
    <definedName name="Actual_Constructioncost_eligible">Sheet1!$H$62</definedName>
    <definedName name="Actual_Constructioncost_ineligible">Sheet1!$K$62</definedName>
    <definedName name="Actual_Constructioncost_total">Sheet1!$N$62</definedName>
    <definedName name="Actual_Demolition_eligible">Sheet1!$H$44</definedName>
    <definedName name="Actual_Demolition_ineligible">Sheet1!$K$44</definedName>
    <definedName name="Actual_Demolition_total">Sheet1!$N$44</definedName>
    <definedName name="Actual_existingrental_eligible">Sheet1!$H$56</definedName>
    <definedName name="Actual_existingrental_ineligible">Sheet1!$K$56</definedName>
    <definedName name="Actual_existingrental_total">Sheet1!$N$56</definedName>
    <definedName name="Actual_GCfee_eligible">Sheet1!$H$65</definedName>
    <definedName name="Actual_GCfee_ineligible">Sheet1!$K$65</definedName>
    <definedName name="Actual_GCfee_total">Sheet1!$N$65</definedName>
    <definedName name="Actual_NewUnits_eligible">Sheet1!$H$48</definedName>
    <definedName name="Actual_NewUnits_ineligible">Sheet1!$K$48</definedName>
    <definedName name="Actual_NewUnits_total">Sheet1!$N$48</definedName>
    <definedName name="Actual_Offsite_eligible">Sheet1!$H$50</definedName>
    <definedName name="Actual_Offsite_ineligible">Sheet1!$K$50</definedName>
    <definedName name="Actual_Offsite_total">Sheet1!$N$50</definedName>
    <definedName name="Actual_Other_eligible">Sheet1!$H$60</definedName>
    <definedName name="Actual_Other_ineligible">Sheet1!$K$60</definedName>
    <definedName name="Actual_Other_total">Sheet1!$N$60</definedName>
    <definedName name="Actual_recreational_eligible">Sheet1!$H$52</definedName>
    <definedName name="Actual_recreational_ineligible">Sheet1!$K$52</definedName>
    <definedName name="Actual_recreational_total">Sheet1!$N$52</definedName>
    <definedName name="Actual_sitework_eligible">Sheet1!$H$58</definedName>
    <definedName name="Actual_sitework_ineligible">Sheet1!$K$58</definedName>
    <definedName name="Actual_sitework_total">Sheet1!$N$58</definedName>
    <definedName name="Actual_TotalConstructioncost_eligible">Sheet1!$H$68</definedName>
    <definedName name="Actual_TotalConstructioncost_ineligible">Sheet1!$K$68</definedName>
    <definedName name="Actual_TotalConstructioncost_total">Sheet1!$N$68</definedName>
    <definedName name="ConstrAnalysis__1st_Mtg">Sheet1!$H$278</definedName>
    <definedName name="ConstrAnalysis__1st_Type">Sheet1!$K$278</definedName>
    <definedName name="ConstrAnalysis__2nd_Mtg">Sheet1!$H$280</definedName>
    <definedName name="ConstrAnalysis__2nd_Type">Sheet1!$K$280</definedName>
    <definedName name="ConstrAnalysis__3rd_Mtg">Sheet1!$H$282</definedName>
    <definedName name="ConstrAnalysis__3rd_Type">Sheet1!$K$282</definedName>
    <definedName name="ConstrAnalysis__4th_Mtg">Sheet1!$H$284</definedName>
    <definedName name="ConstrAnalysis__4th_Type">Sheet1!$K$284</definedName>
    <definedName name="ConstrAnalysis__5th_Mtg">Sheet1!$H$286</definedName>
    <definedName name="ConstrAnalysis__5th_Type">Sheet1!$K$286</definedName>
    <definedName name="ConstrAnalysis__6th_Mtg">Sheet1!$H$288</definedName>
    <definedName name="ConstrAnalysis__6th_Type">Sheet1!$K$288</definedName>
    <definedName name="ConstrAnalysis__7th_Mtg">Sheet1!$H$290</definedName>
    <definedName name="ConstrAnalysis__7th_Type">Sheet1!$K$290</definedName>
    <definedName name="ConstrAnalysis__8th_Mtg">Sheet1!$H$292</definedName>
    <definedName name="ConstrAnalysis__8th_Type">Sheet1!$K$292</definedName>
    <definedName name="ConstrAnalysis__9th_Mtg">Sheet1!$H$294</definedName>
    <definedName name="ConstrAnalysis__9th_Type">Sheet1!$K$294</definedName>
    <definedName name="ConstrAnalysis_10th_Mtg">Sheet1!$H$296</definedName>
    <definedName name="ConstrAnalysis_10th_Type">Sheet1!$K$296</definedName>
    <definedName name="ConstrAnalysis_deferredfee">Sheet1!$H$310</definedName>
    <definedName name="ConstrAnalysis_HC">Sheet1!$H$304</definedName>
    <definedName name="ConstrAnalysis_other1">Sheet1!$H$306</definedName>
    <definedName name="ConstrAnalysis_other1_title">Sheet1!$E$306</definedName>
    <definedName name="ConstrAnalysis_other2">Sheet1!$H$308</definedName>
    <definedName name="ConstrAnalysis_other2_title">Sheet1!$E$308</definedName>
    <definedName name="ConstrAnalysis_surplus">Sheet1!$H$316</definedName>
    <definedName name="ConstrAnalysis_totalsources">Sheet1!$H$312</definedName>
    <definedName name="Contingency_Hard_eligible">Sheet1!$H$70</definedName>
    <definedName name="Contingency_Hard_ineligible">Sheet1!$K$70</definedName>
    <definedName name="Contingency_Hard_total">Sheet1!$N$70</definedName>
    <definedName name="Contingency_Soft_eligible">Sheet1!$H$136</definedName>
    <definedName name="Contingency_Soft_ineligible">Sheet1!$K$136</definedName>
    <definedName name="Contingency_Soft_total">Sheet1!$N$136</definedName>
    <definedName name="Description_acquisition_other">Sheet1!$F$247</definedName>
    <definedName name="Description_Actual_offsite">Sheet1!$F$214</definedName>
    <definedName name="Description_Actual_other">Sheet1!$F$218</definedName>
    <definedName name="Description_financial_other">Sheet1!$F$240</definedName>
    <definedName name="Description_General_impact">Sheet1!$F$225</definedName>
    <definedName name="Description_General_other">Sheet1!$F$231</definedName>
    <definedName name="Developer_fee_acq_eligible">Sheet1!$H$185</definedName>
    <definedName name="Developer_fee_acq_ineligible">Sheet1!$K$185</definedName>
    <definedName name="Developer_fee_acq_total">Sheet1!$N$185</definedName>
    <definedName name="Developer_fee_eligible">Sheet1!$H$192</definedName>
    <definedName name="Developer_fee_ineligible">Sheet1!$K$192</definedName>
    <definedName name="Developer_fee_non_acq_eligible">Sheet1!$H$187</definedName>
    <definedName name="Developer_fee_non_acq_ineligible">Sheet1!$K$187</definedName>
    <definedName name="Developer_fee_non_acq_total">Sheet1!$N$187</definedName>
    <definedName name="Developer_fee_Percentage_dropdown">Sheet1!$Q$187</definedName>
    <definedName name="Developer_fee_total">Sheet1!$N$192</definedName>
    <definedName name="Development_Cost_eligible">Sheet1!$H$181</definedName>
    <definedName name="Development_Cost_ineligible">Sheet1!$K$181</definedName>
    <definedName name="Development_Cost_total">Sheet1!$N$181</definedName>
    <definedName name="ELIData">Sheet1!$E$507:$H$574</definedName>
    <definedName name="Excel_RFA_Number">Sheet1!$B$2</definedName>
    <definedName name="Financial_bridge_commitment_eligible">Sheet1!$H$164</definedName>
    <definedName name="Financial_bridge_commitment_ineligible">Sheet1!$K$164</definedName>
    <definedName name="Financial_bridge_commitment_total">Sheet1!$N$164</definedName>
    <definedName name="Financial_bridge_interest_eligible">Sheet1!$H$166</definedName>
    <definedName name="Financial_bridge_interest_ineligible">Sheet1!$K$166</definedName>
    <definedName name="Financial_bridge_interest_total">Sheet1!$N$166</definedName>
    <definedName name="Financial_constr_commitment_eligible">Sheet1!$H$145</definedName>
    <definedName name="Financial_constr_commitment_ineligible">Sheet1!$K$145</definedName>
    <definedName name="Financial_constr_commitment_total">Sheet1!$N$145</definedName>
    <definedName name="Financial_constr_enhancement_eligible">Sheet1!$H$148</definedName>
    <definedName name="Financial_constr_enhancement_ineligible">Sheet1!$K$148</definedName>
    <definedName name="Financial_constr_enhancement_total">Sheet1!$N$148</definedName>
    <definedName name="Financial_constr_interest_eligible">Sheet1!$H$150</definedName>
    <definedName name="Financial_constr_interest_ineligible">Sheet1!$K$150</definedName>
    <definedName name="Financial_constr_interest_total">Sheet1!$N$150</definedName>
    <definedName name="Financial_nonperm_closing_eligible">Sheet1!$H$153</definedName>
    <definedName name="Financial_nonperm_closing_ineligible">Sheet1!$K$153</definedName>
    <definedName name="Financial_nonperm_closing_total">Sheet1!$N$153</definedName>
    <definedName name="Financial_other_eligible">Sheet1!$H$168</definedName>
    <definedName name="Financial_other_ineligible">Sheet1!$K$168</definedName>
    <definedName name="Financial_other_total">Sheet1!$N$168</definedName>
    <definedName name="Financial_perm_closing_ineligible">Sheet1!$K$161</definedName>
    <definedName name="Financial_perm_closing_total">Sheet1!$N$161</definedName>
    <definedName name="Financial_perm_commitment_ineligible">Sheet1!$K$156</definedName>
    <definedName name="Financial_perm_commitment_total">Sheet1!$N$156</definedName>
    <definedName name="Financial_perm_enhancement_ineligible">Sheet1!$K$159</definedName>
    <definedName name="Financial_perm_enhancement_total">Sheet1!$N$159</definedName>
    <definedName name="Financial_total_eligible">Sheet1!$H$170</definedName>
    <definedName name="Financial_total_ineligible">Sheet1!$K$170</definedName>
    <definedName name="Financial_totalcosts_total">Sheet1!$N$170</definedName>
    <definedName name="FundingTable">Sheet1!$E$508:$X$518</definedName>
    <definedName name="General_Accounting_eligible">Sheet1!$H$78</definedName>
    <definedName name="General_Accounting_ineligible">Sheet1!$K$78</definedName>
    <definedName name="General_Accounting_total">Sheet1!$N$78</definedName>
    <definedName name="General_adminfee_ineligible">Sheet1!$K$96</definedName>
    <definedName name="General_adminfee_total">Sheet1!$N$96</definedName>
    <definedName name="General_applicationfee_ineligible">Sheet1!$K$98</definedName>
    <definedName name="General_applicationfee_total">Sheet1!$N$98</definedName>
    <definedName name="General_Appraisal_eligible">Sheet1!$H$80</definedName>
    <definedName name="General_Appraisal_ineligible">Sheet1!$K$80</definedName>
    <definedName name="General_Appraisal_total">Sheet1!$N$80</definedName>
    <definedName name="General_Architectfeedesign_eligible">Sheet1!$H$82</definedName>
    <definedName name="General_Architectfeedesign_ineligible">Sheet1!$K$82</definedName>
    <definedName name="General_Architectfeedesign_total">Sheet1!$N$82</definedName>
    <definedName name="General_Architectfeesupervision_eligible">Sheet1!$H$84</definedName>
    <definedName name="General_Architectfeesupervision_ineligible">Sheet1!$K$84</definedName>
    <definedName name="General_Architectfeesupervision_total">Sheet1!$N$84</definedName>
    <definedName name="General_brokeragefee_ineligible">Sheet1!#REF!</definedName>
    <definedName name="General_brokeragefee_total">Sheet1!#REF!</definedName>
    <definedName name="General_builder_ins_eligible">Sheet1!$H$86</definedName>
    <definedName name="General_builder_ins_ineligible">Sheet1!$K$86</definedName>
    <definedName name="General_builder_ins_total">Sheet1!$N$86</definedName>
    <definedName name="General_capitalneeds_eligible">Sheet1!$H$90</definedName>
    <definedName name="General_capitalneeds_ineligible">Sheet1!$K$90</definedName>
    <definedName name="General_capitalneeds_total">Sheet1!$N$90</definedName>
    <definedName name="General_compliancefee_ineligible">Sheet1!$K$100</definedName>
    <definedName name="General_compliancefee_total">Sheet1!$N$100</definedName>
    <definedName name="General_cu_fee_eligible">Sheet1!$H$102</definedName>
    <definedName name="General_cu_fee_ineligible">Sheet1!$K$102</definedName>
    <definedName name="General_cu_fee_total">Sheet1!$N$102</definedName>
    <definedName name="General_engineering_eligible">Sheet1!$H$92</definedName>
    <definedName name="General_engineering_ineligible">Sheet1!$K$92</definedName>
    <definedName name="General_engineering_total">Sheet1!$N$92</definedName>
    <definedName name="General_environmental_eligible">Sheet1!$H$94</definedName>
    <definedName name="General_environmental_ineligible">Sheet1!$K$94</definedName>
    <definedName name="General_environmental_total">Sheet1!$N$94</definedName>
    <definedName name="General_HERS_eligible">Sheet1!$H$105</definedName>
    <definedName name="General_HERS_ineligible">Sheet1!$K$105</definedName>
    <definedName name="General_HERS_total">Sheet1!$N$105</definedName>
    <definedName name="General_Impact_eligible">Sheet1!$H$107</definedName>
    <definedName name="General_Impact_ineligible">Sheet1!$K$107</definedName>
    <definedName name="General_Impact_total">Sheet1!$N$107</definedName>
    <definedName name="General_inspectionfee_eligible">Sheet1!$H$109</definedName>
    <definedName name="General_inspectionfee_ineligible">Sheet1!$K$109</definedName>
    <definedName name="General_inspectionfee_total">Sheet1!$N$109</definedName>
    <definedName name="General_insurance_eligible">Sheet1!$H$111</definedName>
    <definedName name="General_insurance_ineligible">Sheet1!$K$111</definedName>
    <definedName name="General_insurance_total">Sheet1!$N$111</definedName>
    <definedName name="General_legalfee_eligible">Sheet1!$H$113</definedName>
    <definedName name="General_legalfee_ineligible">Sheet1!$K$113</definedName>
    <definedName name="General_legalfee_total">Sheet1!$N$113</definedName>
    <definedName name="General_marketing_ineligible">Sheet1!$K$117</definedName>
    <definedName name="General_marketing_total">Sheet1!$N$117</definedName>
    <definedName name="General_marketstudy_eligible">Sheet1!$H$115</definedName>
    <definedName name="General_marketstudy_ineligible">Sheet1!$K$115</definedName>
    <definedName name="General_marketstudy_total">Sheet1!$N$115</definedName>
    <definedName name="General_other_eligible">Sheet1!$H$131</definedName>
    <definedName name="General_other_ineligible">Sheet1!$K$131</definedName>
    <definedName name="General_other_total">Sheet1!$N$131</definedName>
    <definedName name="General_permit_eligible">Sheet1!$H$88</definedName>
    <definedName name="General_permit_ineligible">Sheet1!$K$88</definedName>
    <definedName name="General_permit_total">Sheet1!$N$88</definedName>
    <definedName name="General_propertytaxes_eligible">Sheet1!$H$119</definedName>
    <definedName name="General_propertytaxes_ineligible">Sheet1!$K$119</definedName>
    <definedName name="General_propertytaxes_total">Sheet1!$N$119</definedName>
    <definedName name="General_relocation_eligible">Sheet1!$H$125</definedName>
    <definedName name="General_relocation_ineligible">Sheet1!$K$125</definedName>
    <definedName name="General_relocation_total">Sheet1!$N$125</definedName>
    <definedName name="General_soiltest_eligible">Sheet1!$H$121</definedName>
    <definedName name="General_soiltest_ineligible">Sheet1!$K$121</definedName>
    <definedName name="General_soiltest_total">Sheet1!$N$121</definedName>
    <definedName name="General_survey_eligible">Sheet1!$H$123</definedName>
    <definedName name="General_survey_ineligible">Sheet1!$K$123</definedName>
    <definedName name="General_survey_total">Sheet1!$N$123</definedName>
    <definedName name="General_titleinsurance_eligible">Sheet1!$H$127</definedName>
    <definedName name="General_titleinsurance_ineligible">Sheet1!$K$127</definedName>
    <definedName name="General_titleinsurance_total">Sheet1!$N$127</definedName>
    <definedName name="General_totaldevelopmentcost_eligible">Sheet1!$H$134</definedName>
    <definedName name="General_totaldevelopmentcost_ineligible">Sheet1!$K$134</definedName>
    <definedName name="General_totaldevelopmentcost_total">Sheet1!$N$134</definedName>
    <definedName name="General_utilityconnection_eligible">Sheet1!$H$129</definedName>
    <definedName name="General_utilityconnection_ineligible">Sheet1!$K$129</definedName>
    <definedName name="General_utilityconnection_total">Sheet1!$N$129</definedName>
    <definedName name="greyed01">Sheet1!$N$113,Sheet1!$N$111,Sheet1!$N$109,Sheet1!$N$107,Sheet1!$N$105,Sheet1!$N$102,Sheet1!$N$100,Sheet1!$N$98,Sheet1!$N$96,Sheet1!$N$94,Sheet1!$N$92,Sheet1!$N$90,Sheet1!#REF!,Sheet1!#REF!,Sheet1!$N$88,Sheet1!$N$86,Sheet1!$N$84,Sheet1!#REF!,Sheet1!$N$80,Sheet1!$N$78,Sheet1!$N$68,Sheet1!$N$65,Sheet1!$N$62,Sheet1!$N$60,Sheet1!$N$58,Sheet1!$N$56,Sheet1!$N$54,Sheet1!$N$52,Sheet1!$N$50,Sheet1!$N$48,Sheet1!$N$44,Sheet1!$N$42,Sheet1!$K$68,Sheet1!$K$62,Sheet1!$H$62,Sheet1!$H$68</definedName>
    <definedName name="greyed02">Sheet1!$N$115,Sheet1!$N$117,Sheet1!$N$119,Sheet1!$N$121,Sheet1!$N$123,Sheet1!$N$127,Sheet1!$N$129,Sheet1!$N$131,Sheet1!$N$134,Sheet1!$K$134,Sheet1!$H$134,Sheet1!#REF!,Sheet1!$N$145,Sheet1!$N$148,Sheet1!$N$150,Sheet1!$N$156,Sheet1!$N$159,Sheet1!$N$161,Sheet1!$N$164,Sheet1!$N$166,Sheet1!$N$153,Sheet1!$N$168,Sheet1!$N$170,Sheet1!$K$170,Sheet1!$H$170,Sheet1!$N$174,Sheet1!$N$176,Sheet1!$N$181,Sheet1!$K$181,Sheet1!$H$181,Sheet1!$N$192</definedName>
    <definedName name="greyed03">Sheet1!$N$196,Sheet1!$N$198,Sheet1!$K$198,Sheet1!$H$198,Sheet1!$H$274,Sheet1!$H$312,Sheet1!$H$316,Sheet1!$H$326,Sheet1!#REF!,Sheet1!#REF!,Sheet1!$H$358,Sheet1!$H$362</definedName>
    <definedName name="Land_ineligible">Sheet1!$K$196</definedName>
    <definedName name="Land_total">Sheet1!$N$196</definedName>
    <definedName name="ODR_eligible">Sheet1!$H$194</definedName>
    <definedName name="ODR_ineligible">Sheet1!$K$194</definedName>
    <definedName name="ODR_total">Sheet1!$N$194</definedName>
    <definedName name="Other_eligible">Sheet1!$H$176</definedName>
    <definedName name="Other_ineligible">Sheet1!$K$176</definedName>
    <definedName name="Other_total">Sheet1!$N$176</definedName>
    <definedName name="PermAnalysis__1st_Mtg">Sheet1!$H$330</definedName>
    <definedName name="PermAnalysis__1st_Type">Sheet1!$K$330</definedName>
    <definedName name="PermAnalysis__2nd_Mtg">Sheet1!$H$332</definedName>
    <definedName name="PermAnalysis__2nd_Type">Sheet1!$K$332</definedName>
    <definedName name="PermAnalysis__3rd_Mtg">Sheet1!$H$334</definedName>
    <definedName name="PermAnalysis__3rd_Type">Sheet1!$K$334</definedName>
    <definedName name="PermAnalysis__4th_Mtg">Sheet1!$H$336</definedName>
    <definedName name="PermAnalysis__4th_Type">Sheet1!$K$336</definedName>
    <definedName name="PermAnalysis__5th_Mtg">Sheet1!$H$338</definedName>
    <definedName name="PermAnalysis__5th_Type">Sheet1!$K$338</definedName>
    <definedName name="PermAnalysis__6th_Mtg">Sheet1!$H$340</definedName>
    <definedName name="PermAnalysis__6th_Type">Sheet1!$K$340</definedName>
    <definedName name="PermAnalysis__7th_Mtg">Sheet1!$H$342</definedName>
    <definedName name="PermAnalysis__7th_Type">Sheet1!$K$342</definedName>
    <definedName name="PermAnalysis__8th_Mtg">Sheet1!$H$344</definedName>
    <definedName name="PermAnalysis__8th_Type">Sheet1!$K$344</definedName>
    <definedName name="PermAnalysis__9th_Mtg">Sheet1!$H$346</definedName>
    <definedName name="PermAnalysis__9th_Type">Sheet1!$K$346</definedName>
    <definedName name="PermAnalysis_10th_Mtg">Sheet1!$H$348</definedName>
    <definedName name="PermAnalysis_10th_Type">Sheet1!$K$348</definedName>
    <definedName name="PermAnalysis_deferredfee">Sheet1!$H$356</definedName>
    <definedName name="PermAnalysis_HC">Sheet1!$H$350</definedName>
    <definedName name="PermAnalysis_other1">Sheet1!$H$352</definedName>
    <definedName name="PermAnalysis_other1_title">Sheet1!$E$352</definedName>
    <definedName name="PermAnalysis_other2">Sheet1!$H$354</definedName>
    <definedName name="PermAnalysis_other2_title">Sheet1!$E$354</definedName>
    <definedName name="PermAnalysis_surplus">Sheet1!$H$362</definedName>
    <definedName name="PermAnalysis_totalsources">Sheet1!$H$358</definedName>
    <definedName name="_xlnm.Print_Area" localSheetId="0">Sheet1!$A$1:$P$482</definedName>
    <definedName name="Pro_Forma_Dev_Cat">Sheet1!$K$35</definedName>
    <definedName name="SourceType">Sheet1!$K$551:$K$567</definedName>
    <definedName name="TDC_eligible">Sheet1!$H$198</definedName>
    <definedName name="TDC_ineligible">Sheet1!$K$198</definedName>
    <definedName name="TDC_total">Sheet1!$N$198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06" i="1" l="1"/>
  <c r="N398" i="1"/>
  <c r="K396" i="1" l="1"/>
  <c r="N402" i="1" s="1"/>
  <c r="C401" i="1"/>
  <c r="C398" i="1"/>
  <c r="C395" i="1"/>
  <c r="D259" i="1" l="1"/>
  <c r="D265" i="1" l="1"/>
  <c r="D263" i="1" l="1"/>
  <c r="N446" i="1" l="1"/>
  <c r="K446" i="1"/>
  <c r="Q358" i="1"/>
  <c r="Q356" i="1"/>
  <c r="Q354" i="1"/>
  <c r="Q352" i="1"/>
  <c r="Q350" i="1"/>
  <c r="Q348" i="1"/>
  <c r="Q346" i="1"/>
  <c r="Q344" i="1"/>
  <c r="Q342" i="1"/>
  <c r="Q340" i="1"/>
  <c r="Q338" i="1"/>
  <c r="Q336" i="1"/>
  <c r="Q334" i="1"/>
  <c r="Q332" i="1"/>
  <c r="Q330" i="1"/>
  <c r="Q312" i="1"/>
  <c r="Q310" i="1"/>
  <c r="Q308" i="1"/>
  <c r="Q306" i="1"/>
  <c r="Q304" i="1"/>
  <c r="Q296" i="1"/>
  <c r="Q294" i="1"/>
  <c r="Q292" i="1"/>
  <c r="Q290" i="1"/>
  <c r="Q288" i="1"/>
  <c r="Q286" i="1"/>
  <c r="Q284" i="1"/>
  <c r="Q282" i="1"/>
  <c r="Q280" i="1"/>
  <c r="Q278" i="1"/>
  <c r="N256" i="1"/>
  <c r="P36" i="1"/>
  <c r="D262" i="1" l="1"/>
  <c r="D381" i="1" l="1"/>
  <c r="G393" i="1"/>
  <c r="Q393" i="1" s="1"/>
  <c r="I392" i="1"/>
  <c r="I391" i="1"/>
  <c r="I390" i="1"/>
  <c r="I389" i="1"/>
  <c r="I388" i="1"/>
  <c r="I387" i="1"/>
  <c r="I386" i="1"/>
  <c r="N375" i="1"/>
  <c r="L390" i="1" l="1"/>
  <c r="L386" i="1"/>
  <c r="L387" i="1"/>
  <c r="L388" i="1"/>
  <c r="L392" i="1"/>
  <c r="L389" i="1"/>
  <c r="L391" i="1"/>
  <c r="Q434" i="1"/>
  <c r="L393" i="1" l="1"/>
  <c r="B462" i="1"/>
  <c r="K62" i="1" l="1"/>
  <c r="Q185" i="1" l="1"/>
  <c r="Q440" i="1"/>
  <c r="N46" i="1" l="1"/>
  <c r="K442" i="1" s="1"/>
  <c r="L46" i="1"/>
  <c r="I46" i="1"/>
  <c r="K404" i="1" l="1"/>
  <c r="N434" i="1" l="1"/>
  <c r="L187" i="1" l="1"/>
  <c r="L185" i="1"/>
  <c r="I187" i="1"/>
  <c r="I185" i="1"/>
  <c r="L159" i="1"/>
  <c r="I159" i="1"/>
  <c r="L196" i="1"/>
  <c r="I196" i="1"/>
  <c r="L176" i="1"/>
  <c r="I176" i="1"/>
  <c r="L174" i="1"/>
  <c r="I174" i="1"/>
  <c r="L168" i="1"/>
  <c r="I168" i="1"/>
  <c r="L166" i="1"/>
  <c r="I166" i="1"/>
  <c r="L164" i="1"/>
  <c r="I164" i="1"/>
  <c r="L161" i="1"/>
  <c r="I161" i="1"/>
  <c r="L156" i="1"/>
  <c r="I156" i="1"/>
  <c r="L153" i="1"/>
  <c r="I153" i="1"/>
  <c r="L150" i="1"/>
  <c r="I150" i="1"/>
  <c r="L148" i="1"/>
  <c r="I148" i="1"/>
  <c r="L145" i="1"/>
  <c r="I145" i="1"/>
  <c r="L136" i="1" l="1"/>
  <c r="I136" i="1"/>
  <c r="L131" i="1"/>
  <c r="I131" i="1"/>
  <c r="L129" i="1"/>
  <c r="I129" i="1"/>
  <c r="L127" i="1"/>
  <c r="I127" i="1"/>
  <c r="L125" i="1"/>
  <c r="I125" i="1"/>
  <c r="L123" i="1"/>
  <c r="I123" i="1"/>
  <c r="L121" i="1"/>
  <c r="I121" i="1"/>
  <c r="L119" i="1"/>
  <c r="I119" i="1"/>
  <c r="L117" i="1"/>
  <c r="I117" i="1"/>
  <c r="L115" i="1"/>
  <c r="I115" i="1"/>
  <c r="L113" i="1"/>
  <c r="I113" i="1"/>
  <c r="L111" i="1"/>
  <c r="I111" i="1"/>
  <c r="L109" i="1"/>
  <c r="I109" i="1"/>
  <c r="L107" i="1"/>
  <c r="I107" i="1"/>
  <c r="L105" i="1"/>
  <c r="I105" i="1"/>
  <c r="L102" i="1"/>
  <c r="I102" i="1"/>
  <c r="L100" i="1"/>
  <c r="I100" i="1"/>
  <c r="L98" i="1"/>
  <c r="I98" i="1"/>
  <c r="L96" i="1"/>
  <c r="I96" i="1"/>
  <c r="L94" i="1"/>
  <c r="I94" i="1"/>
  <c r="L92" i="1"/>
  <c r="I92" i="1"/>
  <c r="L90" i="1"/>
  <c r="I90" i="1"/>
  <c r="L88" i="1"/>
  <c r="I88" i="1"/>
  <c r="L86" i="1"/>
  <c r="I86" i="1"/>
  <c r="L84" i="1"/>
  <c r="I84" i="1"/>
  <c r="L82" i="1"/>
  <c r="I82" i="1"/>
  <c r="L80" i="1"/>
  <c r="I80" i="1"/>
  <c r="L78" i="1"/>
  <c r="I78" i="1"/>
  <c r="I70" i="1"/>
  <c r="I60" i="1"/>
  <c r="I58" i="1"/>
  <c r="I56" i="1"/>
  <c r="I54" i="1"/>
  <c r="I52" i="1"/>
  <c r="I50" i="1"/>
  <c r="I48" i="1"/>
  <c r="I44" i="1"/>
  <c r="I42" i="1"/>
  <c r="L70" i="1"/>
  <c r="L60" i="1"/>
  <c r="L58" i="1"/>
  <c r="L56" i="1"/>
  <c r="L54" i="1"/>
  <c r="L52" i="1"/>
  <c r="L50" i="1"/>
  <c r="L48" i="1"/>
  <c r="L44" i="1"/>
  <c r="L42" i="1"/>
  <c r="Q178" i="1" l="1"/>
  <c r="K141" i="1" l="1"/>
  <c r="N141" i="1"/>
  <c r="H141" i="1"/>
  <c r="N75" i="1"/>
  <c r="H75" i="1"/>
  <c r="K75" i="1" l="1"/>
  <c r="C348" i="1" l="1"/>
  <c r="C346" i="1"/>
  <c r="C344" i="1"/>
  <c r="C340" i="1"/>
  <c r="N377" i="1" l="1"/>
  <c r="N125" i="1" l="1"/>
  <c r="H476" i="1" l="1"/>
  <c r="H480" i="1" s="1"/>
  <c r="M479" i="1" s="1"/>
  <c r="K428" i="1" l="1"/>
  <c r="C451" i="1" s="1"/>
  <c r="H482" i="1"/>
  <c r="K482" i="1" s="1"/>
  <c r="K476" i="1"/>
  <c r="K473" i="1"/>
  <c r="K480" i="1"/>
  <c r="K468" i="1"/>
  <c r="K474" i="1"/>
  <c r="K472" i="1"/>
  <c r="K471" i="1"/>
  <c r="K470" i="1"/>
  <c r="K469" i="1"/>
  <c r="K478" i="1"/>
  <c r="Q469" i="1" l="1"/>
  <c r="B454" i="1"/>
  <c r="B330" i="1" l="1"/>
  <c r="D256" i="1"/>
  <c r="B278" i="1"/>
  <c r="B332" i="1" l="1"/>
  <c r="B280" i="1"/>
  <c r="Q173" i="1"/>
  <c r="B334" i="1" l="1"/>
  <c r="B336" i="1" s="1"/>
  <c r="B282" i="1"/>
  <c r="Q69" i="1"/>
  <c r="B338" i="1" l="1"/>
  <c r="B284" i="1"/>
  <c r="B340" i="1" l="1"/>
  <c r="B342" i="1" s="1"/>
  <c r="B344" i="1" s="1"/>
  <c r="B286" i="1"/>
  <c r="B288" i="1" s="1"/>
  <c r="B290" i="1" l="1"/>
  <c r="B292" i="1" s="1"/>
  <c r="B294" i="1" s="1"/>
  <c r="B296" i="1" l="1"/>
  <c r="B298" i="1" s="1"/>
  <c r="C342" i="1"/>
  <c r="C338" i="1"/>
  <c r="C336" i="1"/>
  <c r="C334" i="1"/>
  <c r="C332" i="1"/>
  <c r="K179" i="1"/>
  <c r="H179" i="1"/>
  <c r="K170" i="1"/>
  <c r="H170" i="1"/>
  <c r="C65" i="1"/>
  <c r="H62" i="1"/>
  <c r="K134" i="1"/>
  <c r="H134" i="1"/>
  <c r="E8" i="1"/>
  <c r="I65" i="1" l="1"/>
  <c r="G37" i="1" s="1"/>
  <c r="L65" i="1"/>
  <c r="W187" i="1"/>
  <c r="K192" i="1"/>
  <c r="W185" i="1" l="1"/>
  <c r="N194" i="1" l="1"/>
  <c r="D408" i="1" l="1"/>
  <c r="D412" i="1" l="1"/>
  <c r="P35" i="1"/>
  <c r="B366" i="1"/>
  <c r="D414" i="1" l="1"/>
  <c r="D417" i="1" l="1"/>
  <c r="D422" i="1" l="1"/>
  <c r="D424" i="1" s="1"/>
  <c r="D257" i="1"/>
  <c r="N179" i="1" l="1"/>
  <c r="N65" i="1"/>
  <c r="Q196" i="1" l="1"/>
  <c r="V185" i="1"/>
  <c r="N185" i="1" l="1"/>
  <c r="B346" i="1" l="1"/>
  <c r="B306" i="1" l="1"/>
  <c r="B308" i="1" s="1"/>
  <c r="B310" i="1" s="1"/>
  <c r="B312" i="1" s="1"/>
  <c r="N78" i="1"/>
  <c r="N80" i="1"/>
  <c r="D362" i="1" l="1"/>
  <c r="D316" i="1"/>
  <c r="N142" i="1"/>
  <c r="K142" i="1"/>
  <c r="H142" i="1"/>
  <c r="N76" i="1"/>
  <c r="K76" i="1"/>
  <c r="H76" i="1"/>
  <c r="C330" i="1" l="1"/>
  <c r="E11" i="1" l="1"/>
  <c r="B320" i="1"/>
  <c r="B268" i="1"/>
  <c r="B202" i="1"/>
  <c r="B140" i="1"/>
  <c r="B74" i="1"/>
  <c r="E14" i="1" l="1"/>
  <c r="E19" i="1" s="1"/>
  <c r="K438" i="1"/>
  <c r="E24" i="1" l="1"/>
  <c r="E27" i="1" s="1"/>
  <c r="N82" i="1"/>
  <c r="K68" i="1"/>
  <c r="H68" i="1"/>
  <c r="K181" i="1" l="1"/>
  <c r="N196" i="1"/>
  <c r="K436" i="1" s="1"/>
  <c r="N176" i="1"/>
  <c r="P247" i="1" s="1"/>
  <c r="N174" i="1"/>
  <c r="K434" i="1" s="1"/>
  <c r="N168" i="1"/>
  <c r="P240" i="1" s="1"/>
  <c r="N153" i="1"/>
  <c r="N166" i="1"/>
  <c r="N164" i="1"/>
  <c r="N161" i="1"/>
  <c r="N159" i="1"/>
  <c r="N156" i="1"/>
  <c r="N150" i="1"/>
  <c r="N148" i="1"/>
  <c r="N145" i="1"/>
  <c r="N127" i="1"/>
  <c r="N129" i="1"/>
  <c r="N123" i="1"/>
  <c r="N121" i="1"/>
  <c r="N119" i="1"/>
  <c r="N117" i="1"/>
  <c r="N115" i="1"/>
  <c r="N113" i="1"/>
  <c r="N111" i="1"/>
  <c r="N109" i="1"/>
  <c r="N107" i="1"/>
  <c r="P225" i="1" s="1"/>
  <c r="N105" i="1"/>
  <c r="N102" i="1"/>
  <c r="N100" i="1"/>
  <c r="N98" i="1"/>
  <c r="N96" i="1"/>
  <c r="N94" i="1"/>
  <c r="N92" i="1"/>
  <c r="N90" i="1"/>
  <c r="N88" i="1"/>
  <c r="N86" i="1"/>
  <c r="N84" i="1"/>
  <c r="N60" i="1"/>
  <c r="P218" i="1" s="1"/>
  <c r="N58" i="1"/>
  <c r="N56" i="1"/>
  <c r="N54" i="1"/>
  <c r="N52" i="1"/>
  <c r="N50" i="1"/>
  <c r="P214" i="1" s="1"/>
  <c r="N48" i="1"/>
  <c r="N44" i="1"/>
  <c r="K440" i="1" s="1"/>
  <c r="K198" i="1" l="1"/>
  <c r="D315" i="1"/>
  <c r="N170" i="1"/>
  <c r="N62" i="1"/>
  <c r="V64" i="1" s="1"/>
  <c r="Q65" i="1" s="1"/>
  <c r="Q66" i="1" s="1"/>
  <c r="N131" i="1"/>
  <c r="P231" i="1" s="1"/>
  <c r="N42" i="1"/>
  <c r="P65" i="1" l="1"/>
  <c r="N134" i="1"/>
  <c r="V135" i="1" l="1"/>
  <c r="N68" i="1"/>
  <c r="V69" i="1" l="1"/>
  <c r="N70" i="1"/>
  <c r="N136" i="1"/>
  <c r="Q136" i="1" s="1"/>
  <c r="H181" i="1"/>
  <c r="B348" i="1"/>
  <c r="B350" i="1" s="1"/>
  <c r="D264" i="1" l="1"/>
  <c r="D261" i="1"/>
  <c r="D260" i="1"/>
  <c r="Q70" i="1"/>
  <c r="Q71" i="1" s="1"/>
  <c r="Q137" i="1"/>
  <c r="P136" i="1"/>
  <c r="N181" i="1"/>
  <c r="H190" i="1" s="1"/>
  <c r="H192" i="1" s="1"/>
  <c r="B352" i="1"/>
  <c r="P70" i="1" l="1"/>
  <c r="V187" i="1"/>
  <c r="N187" i="1"/>
  <c r="B354" i="1"/>
  <c r="B356" i="1" s="1"/>
  <c r="B358" i="1" s="1"/>
  <c r="D361" i="1" s="1"/>
  <c r="N192" i="1" l="1"/>
  <c r="N190" i="1"/>
  <c r="V192" i="1" s="1"/>
  <c r="Q186" i="1" l="1"/>
  <c r="P185" i="1" s="1"/>
  <c r="Q188" i="1"/>
  <c r="H198" i="1"/>
  <c r="H358" i="1" l="1"/>
  <c r="N198" i="1"/>
  <c r="Q198" i="1" s="1"/>
  <c r="Q193" i="1"/>
  <c r="Q194" i="1" s="1"/>
  <c r="P187" i="1"/>
  <c r="H326" i="1" l="1"/>
  <c r="K432" i="1"/>
  <c r="K444" i="1" s="1"/>
  <c r="H274" i="1"/>
  <c r="H312" i="1"/>
  <c r="P192" i="1"/>
  <c r="K448" i="1" l="1"/>
  <c r="P449" i="1" s="1"/>
  <c r="H316" i="1"/>
  <c r="Q316" i="1" s="1"/>
  <c r="H362" i="1"/>
  <c r="Q362" i="1" s="1"/>
  <c r="P361" i="1" l="1"/>
  <c r="P315" i="1"/>
</calcChain>
</file>

<file path=xl/sharedStrings.xml><?xml version="1.0" encoding="utf-8"?>
<sst xmlns="http://schemas.openxmlformats.org/spreadsheetml/2006/main" count="745" uniqueCount="446">
  <si>
    <t>NOTES:</t>
  </si>
  <si>
    <t xml:space="preserve">Actual Construction Cost </t>
  </si>
  <si>
    <t>Accessory Buildings</t>
  </si>
  <si>
    <t>Demolition</t>
  </si>
  <si>
    <t>New Rental Units</t>
  </si>
  <si>
    <t>Recreational Amenities</t>
  </si>
  <si>
    <t>Rehab of Existing Common Areas</t>
  </si>
  <si>
    <t>Rehab of Existing Rental Units</t>
  </si>
  <si>
    <t>*Other (explain in detail)</t>
  </si>
  <si>
    <t>$</t>
  </si>
  <si>
    <t>Site Work</t>
  </si>
  <si>
    <t>*Off-Site Work (explain in detail)</t>
  </si>
  <si>
    <t>A1.1.</t>
  </si>
  <si>
    <t>A1.2.</t>
  </si>
  <si>
    <t>USE THE DETAIL/EXPLANATION SHEET FOR EXPLANATION OF * ITEMS.  IF ADDITIONAL SPACE IS REQUIRED, ENTER THE</t>
  </si>
  <si>
    <t xml:space="preserve">INFORMATION ON THE ADDENDA LOCATED AT THE END OF THE APPLICATION. </t>
  </si>
  <si>
    <t>Financial Costs</t>
  </si>
  <si>
    <t xml:space="preserve">Actual Construction Costs </t>
  </si>
  <si>
    <t xml:space="preserve">Financial Costs </t>
  </si>
  <si>
    <t>Construction Loan Origination/</t>
  </si>
  <si>
    <t>Construction Loan Interest</t>
  </si>
  <si>
    <t>Permanent Loan Origination/</t>
  </si>
  <si>
    <t>Commitment Fee(s)</t>
  </si>
  <si>
    <t>Permanent Loan Closing Costs</t>
  </si>
  <si>
    <t>Construction Loan Credit</t>
  </si>
  <si>
    <t>Enhancement Fee(s)</t>
  </si>
  <si>
    <t>Permanent Loan Credit</t>
  </si>
  <si>
    <t>Bridge Loan Origination/</t>
  </si>
  <si>
    <t>Non-Permanent Loan(s) Closing</t>
  </si>
  <si>
    <t>Costs</t>
  </si>
  <si>
    <t>A1.3.</t>
  </si>
  <si>
    <t>General Development Costs</t>
  </si>
  <si>
    <t>Accounting Fees</t>
  </si>
  <si>
    <t>Appraisal</t>
  </si>
  <si>
    <t>Architect's Fee - Supervision</t>
  </si>
  <si>
    <t>Builder's Risk Insurance</t>
  </si>
  <si>
    <t>Building Permit</t>
  </si>
  <si>
    <t>Environmental Report</t>
  </si>
  <si>
    <t>Architect's Fee - Site/Building Design</t>
  </si>
  <si>
    <t>*Impact Fees (list in detail)</t>
  </si>
  <si>
    <t>Inspection Fees</t>
  </si>
  <si>
    <t>Insurance</t>
  </si>
  <si>
    <t>Legal Fees</t>
  </si>
  <si>
    <t>Market Study</t>
  </si>
  <si>
    <t>Marketing/Advertising</t>
  </si>
  <si>
    <t>Property Taxes</t>
  </si>
  <si>
    <t>Soil Test Report</t>
  </si>
  <si>
    <t>Survey</t>
  </si>
  <si>
    <t>Utility Connection Fee</t>
  </si>
  <si>
    <t>Title Insurance &amp; Recording Fees</t>
  </si>
  <si>
    <t>Green Building Certification/</t>
  </si>
  <si>
    <t>HERS Inspection Costs</t>
  </si>
  <si>
    <t>Engineering Fees</t>
  </si>
  <si>
    <t>Capital Needs Assessment</t>
  </si>
  <si>
    <t>TOTAL GENERAL DEVELOPMENT</t>
  </si>
  <si>
    <t>COST</t>
  </si>
  <si>
    <t>TOTAL ACTUAL CONSTRUCTION</t>
  </si>
  <si>
    <t>COSTS</t>
  </si>
  <si>
    <t>A3.</t>
  </si>
  <si>
    <t>TOTAL FINANCIAL COSTS</t>
  </si>
  <si>
    <t>ACQUISITION COST OF EXISTING</t>
  </si>
  <si>
    <t>C.</t>
  </si>
  <si>
    <t>D.</t>
  </si>
  <si>
    <t>E.</t>
  </si>
  <si>
    <t>F.</t>
  </si>
  <si>
    <t xml:space="preserve">DEVELOPMENT COST </t>
  </si>
  <si>
    <t>TOTAL LAND COST</t>
  </si>
  <si>
    <t>Detail/Explanation Sheet</t>
  </si>
  <si>
    <t>Acquisition Cost of Existing Developments</t>
  </si>
  <si>
    <t>(as listed at Item B2. )</t>
  </si>
  <si>
    <t xml:space="preserve">Other:  </t>
  </si>
  <si>
    <t>Actual Construction Cost</t>
  </si>
  <si>
    <t>(as listed at Item A1.)</t>
  </si>
  <si>
    <t xml:space="preserve">Impact Fees:  </t>
  </si>
  <si>
    <t>Other:</t>
  </si>
  <si>
    <t>(as listed at Item A2.)</t>
  </si>
  <si>
    <t>AMOUNT</t>
  </si>
  <si>
    <t>HC Equity Proceeds Paid Prior to</t>
  </si>
  <si>
    <t>First Mortgage Financing</t>
  </si>
  <si>
    <t>Second Mortgage Financing</t>
  </si>
  <si>
    <t>Third Mortgage Financing</t>
  </si>
  <si>
    <t>Deferred Developer Fee</t>
  </si>
  <si>
    <t>DEVELOPMENT COSTS</t>
  </si>
  <si>
    <t>PERMANENT ANALYSIS</t>
  </si>
  <si>
    <t>B.</t>
  </si>
  <si>
    <t>Total Development Costs</t>
  </si>
  <si>
    <t>A.</t>
  </si>
  <si>
    <t>Permanent Funding Sources:</t>
  </si>
  <si>
    <t xml:space="preserve">Off-Site Work:  </t>
  </si>
  <si>
    <t>G.</t>
  </si>
  <si>
    <t>(C+D+E+F)</t>
  </si>
  <si>
    <t>Bridge Loan Interest</t>
  </si>
  <si>
    <t>(as listed at Item A3.)</t>
  </si>
  <si>
    <t>Each Attachment must be listed behind its own Tab.  DO NOT INCLUDE ALL ATTACHMENTS BEHIND ONE TAB.</t>
  </si>
  <si>
    <t>(A negative number here represents a funding shortfall.)</t>
  </si>
  <si>
    <t>Permanent Funding Surplus</t>
  </si>
  <si>
    <t>Completion of Construction which</t>
  </si>
  <si>
    <t>is Prior to Receipt of Final Certificate</t>
  </si>
  <si>
    <t xml:space="preserve">of Occupancy or in the case of </t>
  </si>
  <si>
    <t>Rehabilitation, prior to placed-in</t>
  </si>
  <si>
    <t xml:space="preserve">service date as determined by the </t>
  </si>
  <si>
    <t>Applicant.</t>
  </si>
  <si>
    <t>Total Permanent Funding Sources</t>
  </si>
  <si>
    <t>CONSTRUCTION/REHAB ANALYSIS</t>
  </si>
  <si>
    <t xml:space="preserve">General Contractor's fee is limited to 14% of actual construction cost (for Application purposes, this is represented by </t>
  </si>
  <si>
    <t xml:space="preserve">Neither brokerage fees nor syndication fees can be included in eligible basis.  Consulting fees, if any, and any financial or other guarantees </t>
  </si>
  <si>
    <t xml:space="preserve">required for the financing must be paid out of the Developer fee. Consulting fees include, but are not limited to, payments for Application </t>
  </si>
  <si>
    <t>consultants, construction management or supervision consultants, or local government consultants.</t>
  </si>
  <si>
    <t>HC INELIGIBLE
COSTS</t>
  </si>
  <si>
    <t>TOTAL
COSTS</t>
  </si>
  <si>
    <t>Construction Funding Sources:</t>
  </si>
  <si>
    <t>Total Construction Sources</t>
  </si>
  <si>
    <t>Construction Funding Surplus</t>
  </si>
  <si>
    <t>HC Syndication/HC Equity Proceeds</t>
  </si>
  <si>
    <t>A1.4.</t>
  </si>
  <si>
    <t>What was the Development Category of the Proposed Development:</t>
  </si>
  <si>
    <t>Redevelopment (w/ or w/o Acquisition)</t>
  </si>
  <si>
    <t>Rehabilitation (w/ or w/o Acquisition)</t>
  </si>
  <si>
    <t>Preservation (w/ or w/o Acquisition)</t>
  </si>
  <si>
    <t>Does the Applicant's GC Fee on column 3 of Line A1.2. meet the limitation requirement?</t>
  </si>
  <si>
    <t>Certain legal fees are to be excluded from eligible basis, such as those associated with issuance of tax-exempt bonds, partnership costs, land acquisition, and negotiating financing.*</t>
  </si>
  <si>
    <t>The cost of a land, boundary or mortgage survey that help to define the entire property is to be excluded from eligible basis.*</t>
  </si>
  <si>
    <t>The cost of certain surveys that will not necessarily need to be redone when the proposed building(s) are demolished and replaced are to be excluded from eligible basis, including soil borings, geotechnical investigations, suitability studies, wetland reviews, mapping of wetland, and inspections of wetland, wetland characterization, and groundwater investigations.</t>
  </si>
  <si>
    <t>A2.1.</t>
  </si>
  <si>
    <t>A2.2.</t>
  </si>
  <si>
    <t>Does the Applicant's Hard Cost Contingency on column 3 of Line A1.4. meet the limitation requirement?</t>
  </si>
  <si>
    <t>Does the Applicant's Soft Cost Contingency on column 3 of Line A2.2. meet the limitation requirement?</t>
  </si>
  <si>
    <t>Any costs associated with the issuance of tax-exempt bonds are to be excluded from eligible basis.*</t>
  </si>
  <si>
    <t>Developer Fee on Acquisition Costs</t>
  </si>
  <si>
    <t>TOTAL DEVELOPER FEE</t>
  </si>
  <si>
    <t>Developer Fee on Non-Acquisition Costs</t>
  </si>
  <si>
    <t>completed on the Pro Forma that requires a detailed list or explanation.</t>
  </si>
  <si>
    <t xml:space="preserve">Totals must agree with Pro Forma.  Provide component descriptions and amounts for each item that has been </t>
  </si>
  <si>
    <t>(please select from drop-down menu)</t>
  </si>
  <si>
    <t>Do not include any part of any impact fees that are to be paid initially, but will be returned/refunded back to the Applicant at a later date, usually upon delivery of an affordable housing development.</t>
  </si>
  <si>
    <t>Does the Applicant's Developer Fee in column 3 on this line meet the limitation requirement?</t>
  </si>
  <si>
    <t>Does the Applicant's Developer Fee in column 3 on Line D. meet the limitation requirement?</t>
  </si>
  <si>
    <t>The Developer Fee on Acquisition or Non-Acquisition Costs cannot exceed the maximum developer fee percentage of the relative qualifying costs:</t>
  </si>
  <si>
    <t xml:space="preserve">NOTES: </t>
  </si>
  <si>
    <t>Yes</t>
  </si>
  <si>
    <t>No</t>
  </si>
  <si>
    <t/>
  </si>
  <si>
    <t>Existing Building(s)</t>
  </si>
  <si>
    <t>DEVELOPMENT (excluding land)</t>
  </si>
  <si>
    <t>TOTAL ACQUISITION COSTS OF EXISTING</t>
  </si>
  <si>
    <t>(A1.3+A1.4+A2.1+A2.2+A3+B)</t>
  </si>
  <si>
    <t>= Maximum Soft Cost Contingency (%)</t>
  </si>
  <si>
    <t>= Maximum Soft Cost Contingency ($)</t>
  </si>
  <si>
    <t>= Maximum GC Fee (%)</t>
  </si>
  <si>
    <t>= Maximum GC Fee ($)</t>
  </si>
  <si>
    <t>= Maximum Hard Cost Contingency (%)</t>
  </si>
  <si>
    <t>= Maximum Hard Cost Contingency ($)</t>
  </si>
  <si>
    <t>= Maximum Total Developer Fee ($)</t>
  </si>
  <si>
    <t>The market study required by IRS prior to the issuance of the Carryover Agreement is to be excluded from eligible basis.*</t>
  </si>
  <si>
    <t xml:space="preserve">column 3 for A1.3. TOTAL ACTUAL CONSTRUCTION COSTS for Developments where 50 percent or more of the units are </t>
  </si>
  <si>
    <t xml:space="preserve">For Application purposes, the maximum hard cost contingency allowed cannot exceed 5% of the amount provided in </t>
  </si>
  <si>
    <t xml:space="preserve">Operating Deficit Reserves (ODR) of any kind are not to be included in C. DEVELOPMENT COST and cannot be used in </t>
  </si>
  <si>
    <t>New Construction (w/ or w/o Acquisition)</t>
  </si>
  <si>
    <t>**</t>
  </si>
  <si>
    <t>If a double asterisk is indicated within the Development Cost Pro Forma, there is an error on that line item.</t>
  </si>
  <si>
    <t>Calhoun</t>
  </si>
  <si>
    <t>Franklin</t>
  </si>
  <si>
    <t>Gadsden</t>
  </si>
  <si>
    <t>Gulf</t>
  </si>
  <si>
    <t>Holmes</t>
  </si>
  <si>
    <t>Jackson</t>
  </si>
  <si>
    <t>Liberty</t>
  </si>
  <si>
    <t>Wakulla</t>
  </si>
  <si>
    <t>Washington</t>
  </si>
  <si>
    <t>Garden</t>
  </si>
  <si>
    <t>High-Rise</t>
  </si>
  <si>
    <t>Less Operating Deficit Reserves (Line E., column 3)</t>
  </si>
  <si>
    <t>Total Development Costs (Line G., column 3)</t>
  </si>
  <si>
    <t>Derivation of the TDC PU of the proposed Development for Limitation purposes:</t>
  </si>
  <si>
    <t>TDC of the proposed Development for Limitation Purposes:</t>
  </si>
  <si>
    <t>TDC PU of the proposed Development for Limitation Purposes:</t>
  </si>
  <si>
    <t>TDC PU LIMITATION ANALYSIS</t>
  </si>
  <si>
    <t>Persons with Special Needs</t>
  </si>
  <si>
    <t>Persons with a Disabling Condition</t>
  </si>
  <si>
    <t>Elderly ALF</t>
  </si>
  <si>
    <t>Does the proposed Development qualify for any of the following TDC PU Add-Ons or Multipliers?  Choose all that apply.</t>
  </si>
  <si>
    <t>Elderly ALF Multiplier…………………………………………………………………………….</t>
  </si>
  <si>
    <t>The final overall TDC PU Limitation for the above defined Development is……………………</t>
  </si>
  <si>
    <t>Mid-Rise</t>
  </si>
  <si>
    <t>SF-NC-GA-W</t>
  </si>
  <si>
    <t>SF-NC-MR-W</t>
  </si>
  <si>
    <t>PF-NC-GA-W</t>
  </si>
  <si>
    <t>PF-NC-MR-W</t>
  </si>
  <si>
    <t>North Florida Keys Area</t>
  </si>
  <si>
    <t>South Florida Keys Area</t>
  </si>
  <si>
    <t>(a) North Florida Keys Area Multiplier……………………………………………………………..</t>
  </si>
  <si>
    <t>(b) South Florida Keys Area Multiplier…………………………………………………………….</t>
  </si>
  <si>
    <t>(a) Persons with Special Needs Multiplier…………………………………………………………</t>
  </si>
  <si>
    <t>(b) Persons with a Disabling Condition Multiplier…………………………………………………</t>
  </si>
  <si>
    <t>Tax-Exempt Bond Add-On…………………………………………………………………………………………….</t>
  </si>
  <si>
    <t>Tax-Exempt Bonds</t>
  </si>
  <si>
    <t>Indicate the number of total units in the proposed Development:</t>
  </si>
  <si>
    <t>(enter a value)</t>
  </si>
  <si>
    <t>Title insurance and recording fees associated with permanent financing sources are not to be included in eligible basis.*</t>
  </si>
  <si>
    <t>= Max. Dev. Fee (%) on Non-Acq. Costs</t>
  </si>
  <si>
    <t>= Max. Dev. Fee (%) on Acq. Costs</t>
  </si>
  <si>
    <t>The cost of preparing the cost certifications and any accounting fees associated with organizing the Applicant entity are to be excluded from eligible basis.*</t>
  </si>
  <si>
    <t>(Select if applicable)</t>
  </si>
  <si>
    <t>(please select %)</t>
  </si>
  <si>
    <t xml:space="preserve">A1.1. Column 3), rounded down to nearest dollar. The General Contractor's fee must be disclosed.  The General Contractor's </t>
  </si>
  <si>
    <t>fee includes General Conditions, Overhead, and Profit.</t>
  </si>
  <si>
    <r>
      <t>Additional 5% Developer Fee</t>
    </r>
    <r>
      <rPr>
        <sz val="8"/>
        <rFont val="Arial"/>
        <family val="2"/>
      </rPr>
      <t xml:space="preserve"> for Homeless/</t>
    </r>
  </si>
  <si>
    <t>16% portion would be the limiting amount on the other Developer fee line(s).</t>
  </si>
  <si>
    <r>
      <t xml:space="preserve">Developer Fee </t>
    </r>
    <r>
      <rPr>
        <b/>
        <i/>
        <vertAlign val="superscript"/>
        <sz val="9"/>
        <rFont val="Arial"/>
        <family val="2"/>
      </rPr>
      <t>See Note (1)</t>
    </r>
  </si>
  <si>
    <t>Persons with a Disabling Condition Demographic</t>
  </si>
  <si>
    <t>If 21% is selected for Max. Dev. Fee % above, the 5% operating deficit reserve portion will be automatically entered on this row and is considered to be in addition to the amount(s) listed on the other Developer Fee line item(s).</t>
  </si>
  <si>
    <t xml:space="preserve">included, it will be removed by the scorer, reducing total costs.  However, one may be included during the credit underwriting </t>
  </si>
  <si>
    <t xml:space="preserve">process where it will be sized. The final cost certification may include an ODR, but it cannot exceed the amount sized during </t>
  </si>
  <si>
    <t>credit underwriting.</t>
  </si>
  <si>
    <t xml:space="preserve">Although the Corporation acknowledges that the costs listed on the Development Cost Pro Forma, Detail/Explanation Sheet, </t>
  </si>
  <si>
    <t>Some items placed in this general category should be classified as ineligible basis. Examples include tenant relocation costs when the building they were occupying is to be demolished, partnership organization fees, syndication legal fees.*</t>
  </si>
  <si>
    <r>
      <t xml:space="preserve">General Contractor Fee </t>
    </r>
    <r>
      <rPr>
        <b/>
        <vertAlign val="superscript"/>
        <sz val="9"/>
        <rFont val="Arial"/>
        <family val="2"/>
      </rPr>
      <t>See Note (3)</t>
    </r>
  </si>
  <si>
    <r>
      <t xml:space="preserve">HARD COST CONTINGENCY </t>
    </r>
    <r>
      <rPr>
        <b/>
        <vertAlign val="superscript"/>
        <sz val="9"/>
        <color theme="1"/>
        <rFont val="Arial"/>
        <family val="2"/>
      </rPr>
      <t>See Note (4)</t>
    </r>
  </si>
  <si>
    <r>
      <t xml:space="preserve">SOFT COST CONTINGENCY </t>
    </r>
    <r>
      <rPr>
        <b/>
        <vertAlign val="superscript"/>
        <sz val="9"/>
        <color theme="1"/>
        <rFont val="Arial"/>
        <family val="2"/>
      </rPr>
      <t>See Note (4)</t>
    </r>
  </si>
  <si>
    <t>along with the MMRB Program, if applicable.</t>
  </si>
  <si>
    <r>
      <t xml:space="preserve">FHFC Administrative Fee </t>
    </r>
    <r>
      <rPr>
        <vertAlign val="superscript"/>
        <sz val="9"/>
        <rFont val="Arial"/>
        <family val="2"/>
      </rPr>
      <t xml:space="preserve">See Note (2) </t>
    </r>
  </si>
  <si>
    <r>
      <t xml:space="preserve">FHFC Compliance Fee </t>
    </r>
    <r>
      <rPr>
        <vertAlign val="superscript"/>
        <sz val="9"/>
        <rFont val="Arial"/>
        <family val="2"/>
      </rPr>
      <t xml:space="preserve">See Note (2) </t>
    </r>
  </si>
  <si>
    <r>
      <t>FHFC Application Fee</t>
    </r>
    <r>
      <rPr>
        <vertAlign val="superscript"/>
        <sz val="9"/>
        <rFont val="Arial"/>
        <family val="2"/>
      </rPr>
      <t xml:space="preserve"> See Note (2) </t>
    </r>
  </si>
  <si>
    <r>
      <t xml:space="preserve">OPERATING DEFICIT RESERVES </t>
    </r>
    <r>
      <rPr>
        <b/>
        <vertAlign val="superscript"/>
        <sz val="9"/>
        <color theme="1"/>
        <rFont val="Arial"/>
        <family val="2"/>
      </rPr>
      <t>See Note (5)</t>
    </r>
  </si>
  <si>
    <t xml:space="preserve">Is the proposed Development's TDC PU for Limitation purposes equal </t>
  </si>
  <si>
    <t>to or less than the TDC PU Limitation provided in the RFA?.......................................................</t>
  </si>
  <si>
    <t>Small</t>
  </si>
  <si>
    <r>
      <t xml:space="preserve">Some Suggestive Assistance
</t>
    </r>
    <r>
      <rPr>
        <i/>
        <sz val="9"/>
        <color theme="0" tint="-0.499984740745262"/>
        <rFont val="Arial"/>
        <family val="2"/>
      </rPr>
      <t>The criteria below attempts to help the user to know the maximum limits of the restricted funding sources, when possible.  FHFC is not responsible for any programming errors related to the assistance offered below.  Applicant is responsible to verify all inputs to RFA criteria.</t>
    </r>
  </si>
  <si>
    <r>
      <t xml:space="preserve">Some Suggestive Assistance
</t>
    </r>
    <r>
      <rPr>
        <i/>
        <sz val="9"/>
        <color theme="0" tint="-0.499984740745262"/>
        <rFont val="Arial"/>
        <family val="2"/>
      </rPr>
      <t>The criteria below attempts to help the user to know the maximum limits of some cost items, when possible.  FHFC is not responsible for any programming errors related to the assistance offered below.  Applicant is responsible to verify all inputs to RFA criteria.</t>
    </r>
    <r>
      <rPr>
        <sz val="9"/>
        <color theme="0" tint="-0.499984740745262"/>
        <rFont val="Arial"/>
        <family val="2"/>
      </rPr>
      <t xml:space="preserve">
</t>
    </r>
    <r>
      <rPr>
        <i/>
        <sz val="9"/>
        <rFont val="Arial"/>
        <family val="2"/>
      </rPr>
      <t>*criteria will not be evaluated at time of Application, but will be evaluated at time of credit underwriting and final cost certification</t>
    </r>
  </si>
  <si>
    <t>INFORMATION BELOW IS USED TO ASSIST DROP-DOWN MENUS AND VARIOUS FORMULAS.  DO NOT ADJUST.</t>
  </si>
  <si>
    <t xml:space="preserve">The intent of this page is to assist the Applicant in determining a TDC PU Limitation for the proposed Development and comparing it to the appropriate </t>
  </si>
  <si>
    <t xml:space="preserve">determining the maximum Developer fee.  In addition, an ODR is not permitted in this Application at all.  If one has been </t>
  </si>
  <si>
    <t>&lt;select from menu&gt;</t>
  </si>
  <si>
    <t>various FHFC Program fees should be estimated and included in column 2 for at least the Housing Credit Program.</t>
  </si>
  <si>
    <t>SF-RC-GA-</t>
  </si>
  <si>
    <t>SF-RC-NG-</t>
  </si>
  <si>
    <t>PF-RC-GA-</t>
  </si>
  <si>
    <t>PF-RC-NG-</t>
  </si>
  <si>
    <t>(Select one or no option, as applicable)</t>
  </si>
  <si>
    <t>N/A (Rehab only)</t>
  </si>
  <si>
    <t>(b) Requesting HOME funds from FHFC Add-On………………………………………………….</t>
  </si>
  <si>
    <t>(c) Requesting CDBG-DR funds from FHFC Add-On…………………………………………….</t>
  </si>
  <si>
    <t>(b) More than 50 units, but less than 81 units Multiplier*…………………………………………</t>
  </si>
  <si>
    <t>(a) Less than 51 units Multiplier*…………………………………………………………………….</t>
  </si>
  <si>
    <t>(Page 1 of 8)</t>
  </si>
  <si>
    <t>(Page 2 of 8)</t>
  </si>
  <si>
    <t>(Page 3 of 8)</t>
  </si>
  <si>
    <t>(Page 4 of 8)</t>
  </si>
  <si>
    <t>(Page 5 of 8)</t>
  </si>
  <si>
    <t>(Page 6 of 8)</t>
  </si>
  <si>
    <t>(Page 7 of 8)</t>
  </si>
  <si>
    <t>(Page 8 of 8)</t>
  </si>
  <si>
    <t>(Select one option if applicable)</t>
  </si>
  <si>
    <t>INCOME AVERAGING WORKSHEET</t>
  </si>
  <si>
    <t># of Units</t>
  </si>
  <si>
    <t>% of Units</t>
  </si>
  <si>
    <t>AMI Set-Aside</t>
  </si>
  <si>
    <t>Market Rate Units</t>
  </si>
  <si>
    <t>Total Units</t>
  </si>
  <si>
    <t>Average AMI of the Qualifying Housing Credit Units</t>
  </si>
  <si>
    <t>Total Qualifying Housing Credit Units</t>
  </si>
  <si>
    <t xml:space="preserve">RFA's TDC PU Limitation.  The accuracy of the comparison is dependent upon the accuracy of the inputs and Florida Housing takes no responsibility in </t>
  </si>
  <si>
    <t xml:space="preserve">any programing errors.  FHFC will not use this page to score TDC PU Limitation criteria.  If FHFC makes any adjustments to the Applicant's data or </t>
  </si>
  <si>
    <t xml:space="preserve">assumptions, FHFC's TDC PU for Limitation purposes of the proposed Development or the TDC PU Limitation determined by FHFC may be different than the </t>
  </si>
  <si>
    <t xml:space="preserve">amounts provided below.  Please read the RFA for qualifying responses and definition of terms.  This table is optional and its use is at the sole discretion </t>
  </si>
  <si>
    <t>of the Applicant.   Applicant is responsible to verify and be in compliance with all aspects of the Application to meet RFA criteria.</t>
  </si>
  <si>
    <t>(This should match the HC Set-Aside Commitment in the Application)</t>
  </si>
  <si>
    <t>&lt;51 Units</t>
  </si>
  <si>
    <t>&gt;50 Units &amp; &lt;81 Units</t>
  </si>
  <si>
    <t>PF-NC-GA-ESSC</t>
  </si>
  <si>
    <t>PF-NC-HR-ESSC</t>
  </si>
  <si>
    <t>PF-NC-MR-ESSC</t>
  </si>
  <si>
    <t>SF-NC-GA-ESSC</t>
  </si>
  <si>
    <t>SF-NC-HR-ESSC</t>
  </si>
  <si>
    <t>SF-NC-MR-ESSC</t>
  </si>
  <si>
    <t>*For 9% HC Permanent Supportive Housing RFAs only.  The proposed Development must be new construction to qualify as well as not being located in Monroe County.</t>
  </si>
  <si>
    <t>(ELI Designation)</t>
  </si>
  <si>
    <t>PHA/FHFC HOME/CDBG-DR</t>
  </si>
  <si>
    <t>Less Demolition and Relocation Costs, if applicable</t>
  </si>
  <si>
    <t xml:space="preserve">Construction or Rehab Analysis and Permanent Analysis are subject to change during credit underwriting, such costs are </t>
  </si>
  <si>
    <t xml:space="preserve">subject to the Total Development Cost Per Unit Limitation as provided in the RFA, as well as the other cost limitations provided </t>
  </si>
  <si>
    <t xml:space="preserve">5% of the amount provided in column 3 for A2.1 TOTAL GENERAL DEVELOPMENT COST.  Limitations on these contingency </t>
  </si>
  <si>
    <t>80% AMI</t>
  </si>
  <si>
    <t>120% AMI</t>
  </si>
  <si>
    <t>(a) Persons with Developmental Disabilities Multiplier…………………………………………………………</t>
  </si>
  <si>
    <t>Tenant Relocation Costs</t>
  </si>
  <si>
    <t>Regulated Mortgage Lender</t>
  </si>
  <si>
    <t>Local HFA Bonds</t>
  </si>
  <si>
    <t>Applicant</t>
  </si>
  <si>
    <t>FHFC - SAIL</t>
  </si>
  <si>
    <t>FHFC - SAIL ELI</t>
  </si>
  <si>
    <t>FHFC - Workforce</t>
  </si>
  <si>
    <t>FHFC - HOME</t>
  </si>
  <si>
    <t>FHFC - NHTF</t>
  </si>
  <si>
    <t>FHFC - CDBG-DR</t>
  </si>
  <si>
    <t>FHFC - Viability</t>
  </si>
  <si>
    <t>FHFC - MMRB</t>
  </si>
  <si>
    <t>Local Government Subsidy</t>
  </si>
  <si>
    <t>Affiliate / Principal</t>
  </si>
  <si>
    <t>State Legislation</t>
  </si>
  <si>
    <t>Seller Financing</t>
  </si>
  <si>
    <t>FHFC - EHCL</t>
  </si>
  <si>
    <t>FHFC - Legislative Appropriation</t>
  </si>
  <si>
    <t>FHFC - Demonstration</t>
  </si>
  <si>
    <t>FHFC - FAF</t>
  </si>
  <si>
    <t>FHFC - RRLP</t>
  </si>
  <si>
    <t>FHFC - HHRP</t>
  </si>
  <si>
    <t>Fourth Mortgage Financing</t>
  </si>
  <si>
    <t>Fifth Mortgage Financing</t>
  </si>
  <si>
    <t>Sixth Mortgage Financing</t>
  </si>
  <si>
    <t>Seventh Mortgage Financing</t>
  </si>
  <si>
    <t>USDA RD 514/516</t>
  </si>
  <si>
    <t>USDA RD 515</t>
  </si>
  <si>
    <t>USDA RD 538</t>
  </si>
  <si>
    <t>FHFC - SHADP</t>
  </si>
  <si>
    <t>FHFC - FHRP</t>
  </si>
  <si>
    <t>Eighth Mortgage Financing</t>
  </si>
  <si>
    <t>Tenth Mortgage Financing</t>
  </si>
  <si>
    <t>LENDER/TYPE OF FUNDS</t>
  </si>
  <si>
    <r>
      <t>FHFC PRL/Credit Underwriting Fees</t>
    </r>
    <r>
      <rPr>
        <vertAlign val="superscript"/>
        <sz val="9"/>
        <rFont val="Arial"/>
        <family val="2"/>
      </rPr>
      <t xml:space="preserve"> See Note (2)</t>
    </r>
  </si>
  <si>
    <t>(c) Persons with Special Needs Multiplier…………………………………………………………</t>
  </si>
  <si>
    <t>Persons with Developmental Disabilities</t>
  </si>
  <si>
    <t>(a) PHA is a Principal/Affiliate Add-On……………………………………………………………………..</t>
  </si>
  <si>
    <t>Ninth Mortgage Financing</t>
  </si>
  <si>
    <t>Relocation costs are considered to be ineligible basis when the building from which the tenants came is demolished, unless otherwise addressed by IRC Section 42.*</t>
  </si>
  <si>
    <t>$ Per Unit</t>
  </si>
  <si>
    <t>Income Averaging Minimum ELI….............</t>
  </si>
  <si>
    <t xml:space="preserve">housing credit set-aside offered in the RFA.  The data entered below will not be used to score the Application.  The entries below will not be used to establish the </t>
  </si>
  <si>
    <t xml:space="preserve">Applicant's set-aside commitment for Application purposes.  This is to be used as a tool to assist the Applicant in selecting appropriate set-aside commitments in the </t>
  </si>
  <si>
    <t xml:space="preserve">Application.  The accuracy of the table is dependent upon the accuracy of the inputs and Florida Housing takes no responsibility in any programming errors.  This table </t>
  </si>
  <si>
    <t xml:space="preserve">is optional and its use is at the sole discretion of the Applicant.  Applicant is responsible to verify and be in compliance with all aspects of the Application to meet RFA </t>
  </si>
  <si>
    <t>For TDC PU Limitation purposes, Garden Apartments include all structure types that are 3 stories or less (Garden Apartments, Single Family Homes, Duplexes, Quadraplexes).</t>
  </si>
  <si>
    <t xml:space="preserve">When Housing Credit equity proceeds are being used as a source of financing, complete Columns 1 and 2.  The </t>
  </si>
  <si>
    <t>FHFC - RRLP ELI</t>
  </si>
  <si>
    <t>If tax-exempt bonds are part of the construction financing, this line item cannot have any costs in the first column.</t>
  </si>
  <si>
    <t>The cost of demolition is to be excluded from eligible basis.*  If tax-exempt bonds are part of the construction financing, this line item cannot have any costs in the first column.</t>
  </si>
  <si>
    <r>
      <t>Non-Garden</t>
    </r>
    <r>
      <rPr>
        <i/>
        <sz val="9"/>
        <color rgb="FF7030A0"/>
        <rFont val="Arial"/>
        <family val="2"/>
      </rPr>
      <t xml:space="preserve"> (Rehab only)</t>
    </r>
  </si>
  <si>
    <t>Baker</t>
  </si>
  <si>
    <t>Bradford</t>
  </si>
  <si>
    <t>Broward</t>
  </si>
  <si>
    <t>Large</t>
  </si>
  <si>
    <t>Columbia</t>
  </si>
  <si>
    <t>De Soto</t>
  </si>
  <si>
    <t>Dixie</t>
  </si>
  <si>
    <t>Duval</t>
  </si>
  <si>
    <t>Gilchrist</t>
  </si>
  <si>
    <t>Glades</t>
  </si>
  <si>
    <t>Hamilton</t>
  </si>
  <si>
    <t>Hardee</t>
  </si>
  <si>
    <t>Hendry</t>
  </si>
  <si>
    <t>Hillsborough</t>
  </si>
  <si>
    <t>Jefferson</t>
  </si>
  <si>
    <t>Lafayette</t>
  </si>
  <si>
    <t>Levy</t>
  </si>
  <si>
    <t>Madison</t>
  </si>
  <si>
    <t>Miami-Dade</t>
  </si>
  <si>
    <t>Monroe</t>
  </si>
  <si>
    <t>Nassau</t>
  </si>
  <si>
    <t>Okeechobee</t>
  </si>
  <si>
    <t>Orange</t>
  </si>
  <si>
    <t>Palm Beach</t>
  </si>
  <si>
    <t>Pinellas</t>
  </si>
  <si>
    <t>Putnam</t>
  </si>
  <si>
    <t>Suwannee</t>
  </si>
  <si>
    <t>Taylor</t>
  </si>
  <si>
    <t>Union</t>
  </si>
  <si>
    <t>Walton</t>
  </si>
  <si>
    <t>Maximum SAIL ELI Request Amount</t>
  </si>
  <si>
    <t xml:space="preserve">Developer fee may not exceed the limits established in Rule Chapter 67-48, F.A.C., or this RFA.  Any portion of the fee that </t>
  </si>
  <si>
    <t>in Rule Chapter 67-48, F.A.C., as applicable.</t>
  </si>
  <si>
    <t>HC ELIGIBLE
COSTS</t>
  </si>
  <si>
    <r>
      <t xml:space="preserve">Some items placed in this general category should be classified as ineligible basis.* </t>
    </r>
    <r>
      <rPr>
        <i/>
        <sz val="9"/>
        <color theme="0"/>
        <rFont val="Arial"/>
        <family val="2"/>
      </rPr>
      <t>Examples include syndication fees, credit underwriting of a tax-exempt bond, bond issuance costs.*</t>
    </r>
  </si>
  <si>
    <t>line items post-Application are provided in Rule Chapter 67-48, F.A.C. (if applicable) and this RFA.</t>
  </si>
  <si>
    <t>Less Land Acquisition Costs (Line F., column 3)</t>
  </si>
  <si>
    <t>Less Acq. Cost of Existing Dev. (excluding land) - Existing Building(s)</t>
  </si>
  <si>
    <t>The cost of commercial/retail space is to be excluded from eligible basis.*  If tax-exempt bonds are part of the construction financing, this line item cannot have any costs in the first column.</t>
  </si>
  <si>
    <t>Less Commercial/Retail Space Costs, if applicable</t>
  </si>
  <si>
    <t>The intent of this page is to assist the Applicant in determining the overall Average Median Income for the proposed Development when the Development This portion</t>
  </si>
  <si>
    <t xml:space="preserve">of the Development Cost Pro Forma is to assist the Applicant in understanding some of the variables involved when selecting Average Income test as the minimum </t>
  </si>
  <si>
    <t xml:space="preserve">Commercial, retail, and office space are not functionally related and subordinate to the residential units, and are not </t>
  </si>
  <si>
    <r>
      <t xml:space="preserve">Commercial/Retail Space </t>
    </r>
    <r>
      <rPr>
        <vertAlign val="superscript"/>
        <sz val="9"/>
        <rFont val="Arial"/>
        <family val="2"/>
      </rPr>
      <t>See Note (6)</t>
    </r>
  </si>
  <si>
    <r>
      <t xml:space="preserve">TOTAL DEVELOPMENT COST </t>
    </r>
    <r>
      <rPr>
        <b/>
        <vertAlign val="superscript"/>
        <sz val="9"/>
        <rFont val="Arial"/>
        <family val="2"/>
      </rPr>
      <t>See Note (7)</t>
    </r>
  </si>
  <si>
    <t>The cost of clearing, grubbing, cutting, filling and grading necessary to bring the land to a suitable grade (but not activity that provides a proper setting for a building or a paved roadway) are to be excluded from eligible basis.*</t>
  </si>
  <si>
    <t>The cost of landscaping that would not be physically destroyed when the proposed building(s) is to be demolished (at the end of its useful life) and replaced is to be excluded from eligible basis.*</t>
  </si>
  <si>
    <t>The cost of the preparation of erosion control plan, grading plan, utility plans, general details, easement descriptions, sewer and sanitary plans and traffic engineering are to be excluded from eligible basis.*</t>
  </si>
  <si>
    <t>The cost of environment surveys such as percolation tests and contamination studies are to be excluded from eligible basis.*</t>
  </si>
  <si>
    <t>Bank inspector fees associated with tax-exempt bonds are to be excluded from eligible basis.*</t>
  </si>
  <si>
    <t>The cost of property taxes accrued outside of the term beginning at time of acquisition through issuance of the certificate of occupancy (or temporary) are to be excluded from eligible basis.*</t>
  </si>
  <si>
    <t>(d) Homeless Demographic Multiplier……………………………………………………………….</t>
  </si>
  <si>
    <t>Homeless</t>
  </si>
  <si>
    <t xml:space="preserve">maximum Developer fee is 21%, the 5% portion available for ODR must be entered on its own separate line and the remaining </t>
  </si>
  <si>
    <t xml:space="preserve">new construction.  Otherwise the maximum is 15%.  The maximum soft cost contingency allowed cannot exceed </t>
  </si>
  <si>
    <t xml:space="preserve">Will the proposed development be comprised of multiple development categories, </t>
  </si>
  <si>
    <t>Unit Category, Type, and ESS Designation</t>
  </si>
  <si>
    <t>Unit Count</t>
  </si>
  <si>
    <t>Maximum TDC PU Limitation</t>
  </si>
  <si>
    <r>
      <t xml:space="preserve">NC Garden </t>
    </r>
    <r>
      <rPr>
        <b/>
        <sz val="10"/>
        <color theme="1"/>
        <rFont val="Arial"/>
        <family val="2"/>
      </rPr>
      <t>Non</t>
    </r>
    <r>
      <rPr>
        <sz val="10"/>
        <color theme="1"/>
        <rFont val="Arial"/>
        <family val="2"/>
      </rPr>
      <t>-ESS</t>
    </r>
  </si>
  <si>
    <t>NC Garden ESS</t>
  </si>
  <si>
    <r>
      <t xml:space="preserve">NC Mid-Rise </t>
    </r>
    <r>
      <rPr>
        <b/>
        <sz val="10"/>
        <color theme="1"/>
        <rFont val="Arial"/>
        <family val="2"/>
      </rPr>
      <t>Non</t>
    </r>
    <r>
      <rPr>
        <sz val="10"/>
        <color theme="1"/>
        <rFont val="Arial"/>
        <family val="2"/>
      </rPr>
      <t>-ESS</t>
    </r>
  </si>
  <si>
    <t>NC Mid-Rise ESS</t>
  </si>
  <si>
    <t>NC High-Rise</t>
  </si>
  <si>
    <t>Rehab Garden</t>
  </si>
  <si>
    <t>Rehab Non-Garden</t>
  </si>
  <si>
    <t>Total Blended TDC PU Base Limitation</t>
  </si>
  <si>
    <t>Pro Rata Limits</t>
  </si>
  <si>
    <t>in the TDC PU Limitation process.</t>
  </si>
  <si>
    <t>considered to be community service facilities. As such, these costs are neither considered in eligible basis nor included</t>
  </si>
  <si>
    <t>In which county is the proposed Development to be located?...............................................................................</t>
  </si>
  <si>
    <t>development types, or ESS designations?......................................................................................................</t>
  </si>
  <si>
    <t>The TDC PU Base Limitation for the above defined Development is………………………………………....</t>
  </si>
  <si>
    <t>Blended Characteristic TDC PU Base Limitation</t>
  </si>
  <si>
    <t>2021-2022</t>
  </si>
  <si>
    <t>Alachua</t>
  </si>
  <si>
    <t>Medium</t>
  </si>
  <si>
    <t>Bay</t>
  </si>
  <si>
    <t>Brevard</t>
  </si>
  <si>
    <t>Charlotte</t>
  </si>
  <si>
    <t>Citrus</t>
  </si>
  <si>
    <t>Clay</t>
  </si>
  <si>
    <t>Collier</t>
  </si>
  <si>
    <t>Escambia</t>
  </si>
  <si>
    <t>Flagler</t>
  </si>
  <si>
    <t>Hernando</t>
  </si>
  <si>
    <t>Highlands</t>
  </si>
  <si>
    <t>Indian River</t>
  </si>
  <si>
    <t>Lake</t>
  </si>
  <si>
    <t>Lee</t>
  </si>
  <si>
    <t>Leon</t>
  </si>
  <si>
    <t>Manatee</t>
  </si>
  <si>
    <t>Marion</t>
  </si>
  <si>
    <t>Martin</t>
  </si>
  <si>
    <t>Okaloosa</t>
  </si>
  <si>
    <t>Osceola</t>
  </si>
  <si>
    <t>Pasco</t>
  </si>
  <si>
    <t>Polk</t>
  </si>
  <si>
    <t>Saint Johns</t>
  </si>
  <si>
    <t>Saint Lucie</t>
  </si>
  <si>
    <t>Santa Rosa</t>
  </si>
  <si>
    <t>Sarasota</t>
  </si>
  <si>
    <t>Seminole</t>
  </si>
  <si>
    <t>Sumter</t>
  </si>
  <si>
    <t>Volusia</t>
  </si>
  <si>
    <t>(enter a percentage)</t>
  </si>
  <si>
    <t>Include a pro rata share of any acquisition brokerage fees of Applicant within 'Other'.  Other activities performed by a broker for the Applicant may be considered as consulting fees.  May not include any seller costs.  Rule Chapter 67-48, F.A.C. provides limits.  Land portion is ineligible basis and should be included within 'F. Total Land Costs.'*</t>
  </si>
  <si>
    <t>RFA 2021-204 DEVELOPMENT COST PRO FORMA</t>
  </si>
  <si>
    <t xml:space="preserve">has been deferred must be included in Total Development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</si>
</sst>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164" formatCode="&quot;(&quot;0&quot;)&quot;"/>
    <numFmt numFmtId="165" formatCode="0&quot;.&quot;"/>
    <numFmt numFmtId="166" formatCode="#,##0&quot;.&quot;"/>
    <numFmt numFmtId="167" formatCode="&quot;$&quot;#,##0.00"/>
    <numFmt numFmtId="168" formatCode="0&quot; Units&quot;"/>
    <numFmt numFmtId="169" formatCode="&quot;$&quot;#,##0&quot; Per Development&quot;"/>
    <numFmt numFmtId="170" formatCode="&quot;$&quot;#,##0.00&quot; as a % of TDC&quot;"/>
    <numFmt numFmtId="171" formatCode="&quot;$&quot;#,##0&quot; Per Unit&quot;"/>
    <numFmt numFmtId="172" formatCode="&quot;$&quot;#,##0"/>
    <numFmt numFmtId="173" formatCode="0.0&quot;% low-income set-aside&quot;"/>
  </numFmts>
  <fonts count="63" x14ac:knownFonts="1">
    <font>
      <sz val="10"/>
      <color theme="1"/>
      <name val="Arial"/>
      <family val="2"/>
    </font>
    <font>
      <sz val="10"/>
      <name val="Arial"/>
      <family val="2"/>
    </font>
    <font>
      <u/>
      <sz val="8"/>
      <name val="Arial"/>
      <family val="2"/>
    </font>
    <font>
      <u/>
      <sz val="10"/>
      <name val="Arial"/>
      <family val="2"/>
    </font>
    <font>
      <b/>
      <u/>
      <sz val="10"/>
      <name val="Arial"/>
      <family val="2"/>
    </font>
    <font>
      <u/>
      <sz val="10"/>
      <color theme="1"/>
      <name val="Arial"/>
      <family val="2"/>
    </font>
    <font>
      <strike/>
      <u/>
      <sz val="10"/>
      <name val="Arial"/>
      <family val="2"/>
    </font>
    <font>
      <sz val="9"/>
      <color rgb="FF0000FF"/>
      <name val="Arial"/>
      <family val="2"/>
    </font>
    <font>
      <sz val="9"/>
      <name val="Arial"/>
      <family val="2"/>
    </font>
    <font>
      <b/>
      <sz val="9"/>
      <name val="Arial"/>
      <family val="2"/>
    </font>
    <font>
      <sz val="9"/>
      <color indexed="12"/>
      <name val="Arial"/>
      <family val="2"/>
    </font>
    <font>
      <b/>
      <sz val="8"/>
      <name val="Arial"/>
      <family val="2"/>
    </font>
    <font>
      <strike/>
      <sz val="10"/>
      <name val="Arial"/>
      <family val="2"/>
    </font>
    <font>
      <b/>
      <strike/>
      <sz val="9"/>
      <name val="Arial"/>
      <family val="2"/>
    </font>
    <font>
      <strike/>
      <sz val="9"/>
      <color indexed="12"/>
      <name val="Arial"/>
      <family val="2"/>
    </font>
    <font>
      <strike/>
      <sz val="9"/>
      <name val="Arial"/>
      <family val="2"/>
    </font>
    <font>
      <b/>
      <sz val="9"/>
      <color rgb="FF0000FF"/>
      <name val="Arial"/>
      <family val="2"/>
    </font>
    <font>
      <b/>
      <sz val="10"/>
      <name val="Arial"/>
      <family val="2"/>
    </font>
    <font>
      <sz val="8"/>
      <name val="Arial"/>
      <family val="2"/>
    </font>
    <font>
      <i/>
      <sz val="9"/>
      <name val="Arial"/>
      <family val="2"/>
    </font>
    <font>
      <sz val="9"/>
      <color theme="1"/>
      <name val="Arial"/>
      <family val="2"/>
    </font>
    <font>
      <b/>
      <sz val="9"/>
      <color indexed="10"/>
      <name val="Arial"/>
      <family val="2"/>
    </font>
    <font>
      <b/>
      <i/>
      <sz val="10"/>
      <name val="Arial"/>
      <family val="2"/>
    </font>
    <font>
      <i/>
      <sz val="8"/>
      <name val="Arial"/>
      <family val="2"/>
    </font>
    <font>
      <i/>
      <sz val="10"/>
      <name val="Arial"/>
      <family val="2"/>
    </font>
    <font>
      <sz val="10"/>
      <color rgb="FF0000FF"/>
      <name val="Arial"/>
      <family val="2"/>
    </font>
    <font>
      <strike/>
      <sz val="10"/>
      <color indexed="12"/>
      <name val="Arial"/>
      <family val="2"/>
    </font>
    <font>
      <b/>
      <vertAlign val="superscript"/>
      <sz val="9"/>
      <name val="Arial"/>
      <family val="2"/>
    </font>
    <font>
      <vertAlign val="superscript"/>
      <sz val="9"/>
      <name val="Arial"/>
      <family val="2"/>
    </font>
    <font>
      <b/>
      <sz val="9"/>
      <color theme="1"/>
      <name val="Arial"/>
      <family val="2"/>
    </font>
    <font>
      <b/>
      <vertAlign val="superscript"/>
      <sz val="9"/>
      <color theme="1"/>
      <name val="Arial"/>
      <family val="2"/>
    </font>
    <font>
      <sz val="8"/>
      <color theme="1"/>
      <name val="Arial"/>
      <family val="2"/>
    </font>
    <font>
      <strike/>
      <sz val="10"/>
      <color theme="1"/>
      <name val="Arial"/>
      <family val="2"/>
    </font>
    <font>
      <b/>
      <sz val="10"/>
      <color rgb="FFFF0000"/>
      <name val="Arial"/>
      <family val="2"/>
    </font>
    <font>
      <b/>
      <i/>
      <sz val="10"/>
      <color rgb="FFFF0000"/>
      <name val="Arial"/>
      <family val="2"/>
    </font>
    <font>
      <sz val="10"/>
      <color theme="1"/>
      <name val="Arial"/>
      <family val="2"/>
    </font>
    <font>
      <b/>
      <sz val="10"/>
      <color theme="1"/>
      <name val="Arial"/>
      <family val="2"/>
    </font>
    <font>
      <i/>
      <u/>
      <sz val="10"/>
      <color theme="1"/>
      <name val="Arial"/>
      <family val="2"/>
    </font>
    <font>
      <b/>
      <sz val="10"/>
      <color rgb="FF0000FF"/>
      <name val="Arial"/>
      <family val="2"/>
    </font>
    <font>
      <i/>
      <sz val="9"/>
      <color theme="0" tint="-0.499984740745262"/>
      <name val="Arial"/>
      <family val="2"/>
    </font>
    <font>
      <sz val="10"/>
      <color theme="0" tint="-0.499984740745262"/>
      <name val="Arial"/>
      <family val="2"/>
    </font>
    <font>
      <i/>
      <sz val="8"/>
      <color theme="0" tint="-0.499984740745262"/>
      <name val="Arial"/>
      <family val="2"/>
    </font>
    <font>
      <b/>
      <u/>
      <sz val="10"/>
      <color theme="1"/>
      <name val="Arial"/>
      <family val="2"/>
    </font>
    <font>
      <sz val="9"/>
      <color theme="0" tint="-0.499984740745262"/>
      <name val="Arial"/>
      <family val="2"/>
    </font>
    <font>
      <b/>
      <i/>
      <vertAlign val="superscript"/>
      <sz val="9"/>
      <name val="Arial"/>
      <family val="2"/>
    </font>
    <font>
      <sz val="8"/>
      <color theme="0"/>
      <name val="Arial"/>
      <family val="2"/>
    </font>
    <font>
      <b/>
      <i/>
      <sz val="10"/>
      <color theme="1"/>
      <name val="Arial"/>
      <family val="2"/>
    </font>
    <font>
      <sz val="10"/>
      <color theme="0"/>
      <name val="Arial"/>
      <family val="2"/>
    </font>
    <font>
      <sz val="10"/>
      <color theme="0" tint="-0.249977111117893"/>
      <name val="Arial"/>
      <family val="2"/>
    </font>
    <font>
      <i/>
      <sz val="9"/>
      <color theme="1"/>
      <name val="Arial"/>
      <family val="2"/>
    </font>
    <font>
      <i/>
      <sz val="8"/>
      <color theme="1"/>
      <name val="Arial"/>
      <family val="2"/>
    </font>
    <font>
      <sz val="9"/>
      <color rgb="FF7030A0"/>
      <name val="Arial"/>
      <family val="2"/>
    </font>
    <font>
      <sz val="10"/>
      <color rgb="FF7030A0"/>
      <name val="Arial"/>
      <family val="2"/>
    </font>
    <font>
      <b/>
      <i/>
      <sz val="9"/>
      <color rgb="FFC00000"/>
      <name val="Arial"/>
      <family val="2"/>
    </font>
    <font>
      <i/>
      <sz val="9"/>
      <color rgb="FF7030A0"/>
      <name val="Arial"/>
      <family val="2"/>
    </font>
    <font>
      <i/>
      <sz val="10"/>
      <color theme="1"/>
      <name val="Arial"/>
      <family val="2"/>
    </font>
    <font>
      <i/>
      <sz val="9"/>
      <color theme="0"/>
      <name val="Arial"/>
      <family val="2"/>
    </font>
    <font>
      <i/>
      <sz val="10"/>
      <color rgb="FFFF0000"/>
      <name val="Arial"/>
      <family val="2"/>
    </font>
    <font>
      <b/>
      <sz val="11"/>
      <name val="Arial"/>
      <family val="2"/>
    </font>
    <font>
      <b/>
      <i/>
      <sz val="11"/>
      <name val="Arial"/>
      <family val="2"/>
    </font>
    <font>
      <b/>
      <i/>
      <sz val="10"/>
      <color rgb="FF7030A0"/>
      <name val="Arial"/>
      <family val="2"/>
    </font>
    <font>
      <i/>
      <u/>
      <sz val="10"/>
      <name val="Arial"/>
      <family val="2"/>
    </font>
    <font>
      <b/>
      <sz val="10"/>
      <color theme="0"/>
      <name val="Arial"/>
      <family val="2"/>
    </font>
  </fonts>
  <fills count="10">
    <fill>
      <patternFill patternType="none"/>
    </fill>
    <fill>
      <patternFill patternType="gray125"/>
    </fill>
    <fill>
      <patternFill patternType="solid">
        <fgColor theme="0"/>
        <bgColor indexed="64"/>
      </patternFill>
    </fill>
    <fill>
      <patternFill patternType="solid">
        <fgColor rgb="FFFFE1FF"/>
        <bgColor indexed="64"/>
      </patternFill>
    </fill>
    <fill>
      <patternFill patternType="solid">
        <fgColor theme="1"/>
        <bgColor indexed="64"/>
      </patternFill>
    </fill>
    <fill>
      <patternFill patternType="lightUp"/>
    </fill>
    <fill>
      <patternFill patternType="solid">
        <fgColor rgb="FFFFEBFF"/>
        <bgColor indexed="64"/>
      </patternFill>
    </fill>
    <fill>
      <patternFill patternType="lightUp">
        <fgColor theme="0" tint="-0.24994659260841701"/>
        <bgColor indexed="65"/>
      </patternFill>
    </fill>
    <fill>
      <patternFill patternType="lightUp">
        <fgColor theme="0" tint="-0.499984740745262"/>
        <bgColor indexed="65"/>
      </patternFill>
    </fill>
    <fill>
      <patternFill patternType="lightUp">
        <fgColor auto="1"/>
      </patternFill>
    </fill>
  </fills>
  <borders count="50">
    <border>
      <left/>
      <right/>
      <top/>
      <bottom/>
      <diagonal/>
    </border>
    <border>
      <left/>
      <right/>
      <top/>
      <bottom style="thin">
        <color indexed="8"/>
      </bottom>
      <diagonal/>
    </border>
    <border>
      <left/>
      <right/>
      <top/>
      <bottom style="double">
        <color indexed="8"/>
      </bottom>
      <diagonal/>
    </border>
    <border>
      <left/>
      <right/>
      <top style="medium">
        <color auto="1"/>
      </top>
      <bottom/>
      <diagonal/>
    </border>
    <border>
      <left/>
      <right/>
      <top/>
      <bottom style="thin">
        <color rgb="FF0000FF"/>
      </bottom>
      <diagonal/>
    </border>
    <border>
      <left/>
      <right/>
      <top style="thin">
        <color rgb="FF0000FF"/>
      </top>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style="thin">
        <color rgb="FF0000FF"/>
      </right>
      <top/>
      <bottom style="thin">
        <color rgb="FF0000FF"/>
      </bottom>
      <diagonal/>
    </border>
    <border>
      <left/>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auto="1"/>
      </top>
      <bottom style="thin">
        <color indexed="64"/>
      </bottom>
      <diagonal/>
    </border>
    <border>
      <left/>
      <right/>
      <top/>
      <bottom style="thin">
        <color auto="1"/>
      </bottom>
      <diagonal/>
    </border>
    <border>
      <left/>
      <right/>
      <top style="thin">
        <color rgb="FF0000FF"/>
      </top>
      <bottom style="thin">
        <color rgb="FF0000FF"/>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auto="1"/>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right style="medium">
        <color indexed="64"/>
      </right>
      <top/>
      <bottom style="thin">
        <color indexed="64"/>
      </bottom>
      <diagonal/>
    </border>
  </borders>
  <cellStyleXfs count="2">
    <xf numFmtId="0" fontId="0" fillId="0" borderId="0"/>
    <xf numFmtId="9" fontId="35" fillId="0" borderId="0" applyFont="0" applyFill="0" applyBorder="0" applyAlignment="0" applyProtection="0"/>
  </cellStyleXfs>
  <cellXfs count="428">
    <xf numFmtId="0" fontId="0" fillId="0" borderId="0" xfId="0"/>
    <xf numFmtId="0" fontId="1" fillId="0" borderId="0" xfId="0" applyFont="1" applyProtection="1"/>
    <xf numFmtId="0" fontId="3" fillId="0" borderId="0" xfId="0" applyFont="1" applyProtection="1"/>
    <xf numFmtId="0" fontId="2" fillId="0" borderId="0" xfId="0" applyFont="1" applyAlignment="1" applyProtection="1">
      <alignment horizontal="right"/>
    </xf>
    <xf numFmtId="0" fontId="3" fillId="0" borderId="0" xfId="0" applyFont="1" applyBorder="1" applyProtection="1"/>
    <xf numFmtId="0" fontId="6" fillId="0" borderId="0" xfId="0" applyFont="1" applyBorder="1" applyProtection="1"/>
    <xf numFmtId="0" fontId="4" fillId="0" borderId="0" xfId="0" applyFont="1" applyAlignment="1" applyProtection="1">
      <alignment horizontal="centerContinuous"/>
    </xf>
    <xf numFmtId="40" fontId="1" fillId="0" borderId="0" xfId="0" applyNumberFormat="1" applyFont="1" applyProtection="1"/>
    <xf numFmtId="40" fontId="8" fillId="0" borderId="0" xfId="0" applyNumberFormat="1" applyFont="1" applyProtection="1"/>
    <xf numFmtId="40" fontId="9" fillId="0" borderId="0" xfId="0" applyNumberFormat="1" applyFont="1" applyProtection="1"/>
    <xf numFmtId="40" fontId="9" fillId="0" borderId="0" xfId="0" applyNumberFormat="1" applyFont="1" applyAlignment="1" applyProtection="1">
      <alignment horizontal="right"/>
    </xf>
    <xf numFmtId="0" fontId="9" fillId="0" borderId="0" xfId="0" applyFont="1" applyProtection="1"/>
    <xf numFmtId="40" fontId="11" fillId="0" borderId="0" xfId="0" applyNumberFormat="1" applyFont="1" applyAlignment="1" applyProtection="1">
      <alignment horizontal="center"/>
    </xf>
    <xf numFmtId="40" fontId="1" fillId="0" borderId="0" xfId="0" applyNumberFormat="1" applyFont="1" applyFill="1" applyProtection="1"/>
    <xf numFmtId="40" fontId="8" fillId="0" borderId="0" xfId="0" applyNumberFormat="1" applyFont="1" applyFill="1" applyProtection="1"/>
    <xf numFmtId="40" fontId="9" fillId="0" borderId="0" xfId="0" applyNumberFormat="1" applyFont="1" applyFill="1" applyProtection="1"/>
    <xf numFmtId="40" fontId="9" fillId="0" borderId="0" xfId="0" applyNumberFormat="1" applyFont="1" applyFill="1" applyBorder="1" applyProtection="1"/>
    <xf numFmtId="40" fontId="12" fillId="0" borderId="0" xfId="0" applyNumberFormat="1" applyFont="1" applyBorder="1" applyProtection="1"/>
    <xf numFmtId="40" fontId="15" fillId="0" borderId="0" xfId="0" applyNumberFormat="1" applyFont="1" applyBorder="1" applyProtection="1"/>
    <xf numFmtId="40" fontId="13" fillId="0" borderId="0" xfId="0" applyNumberFormat="1" applyFont="1" applyFill="1" applyBorder="1" applyProtection="1"/>
    <xf numFmtId="40" fontId="12" fillId="0" borderId="0" xfId="0" applyNumberFormat="1" applyFont="1" applyProtection="1"/>
    <xf numFmtId="40" fontId="15" fillId="0" borderId="0" xfId="0" applyNumberFormat="1" applyFont="1" applyProtection="1"/>
    <xf numFmtId="40" fontId="17" fillId="0" borderId="0" xfId="0" applyNumberFormat="1" applyFont="1" applyProtection="1"/>
    <xf numFmtId="0" fontId="17" fillId="0" borderId="0" xfId="0" applyFont="1" applyProtection="1"/>
    <xf numFmtId="0" fontId="18" fillId="0" borderId="0" xfId="0" applyFont="1" applyAlignment="1" applyProtection="1">
      <alignment horizontal="right"/>
    </xf>
    <xf numFmtId="49" fontId="18" fillId="0" borderId="0" xfId="0" applyNumberFormat="1" applyFont="1" applyAlignment="1" applyProtection="1">
      <alignment horizontal="center"/>
    </xf>
    <xf numFmtId="0" fontId="18" fillId="0" borderId="0" xfId="0" applyFont="1" applyProtection="1"/>
    <xf numFmtId="0" fontId="12" fillId="0" borderId="0" xfId="0" applyFont="1" applyProtection="1"/>
    <xf numFmtId="0" fontId="18" fillId="0" borderId="0" xfId="0" quotePrefix="1" applyFont="1" applyAlignment="1" applyProtection="1">
      <alignment horizontal="center"/>
    </xf>
    <xf numFmtId="0" fontId="11" fillId="0" borderId="0" xfId="0" applyFont="1" applyProtection="1"/>
    <xf numFmtId="0" fontId="17" fillId="0" borderId="0" xfId="0" applyFont="1" applyAlignment="1" applyProtection="1">
      <alignment horizontal="right"/>
    </xf>
    <xf numFmtId="0" fontId="11" fillId="0" borderId="0" xfId="0" applyFont="1" applyAlignment="1" applyProtection="1">
      <alignment horizontal="center"/>
    </xf>
    <xf numFmtId="0" fontId="11" fillId="0" borderId="0" xfId="0" applyFont="1" applyAlignment="1" applyProtection="1">
      <alignment horizontal="centerContinuous"/>
    </xf>
    <xf numFmtId="0" fontId="1" fillId="0" borderId="0" xfId="0" applyFont="1" applyAlignment="1" applyProtection="1">
      <alignment horizontal="centerContinuous"/>
    </xf>
    <xf numFmtId="0" fontId="11" fillId="0" borderId="0" xfId="0" applyFont="1" applyAlignment="1" applyProtection="1">
      <alignment horizontal="center" wrapText="1"/>
    </xf>
    <xf numFmtId="0" fontId="11" fillId="0" borderId="0" xfId="0" applyFont="1" applyFill="1" applyAlignment="1" applyProtection="1">
      <alignment horizontal="center" wrapText="1"/>
    </xf>
    <xf numFmtId="0" fontId="8" fillId="0" borderId="0" xfId="0" applyFont="1" applyProtection="1"/>
    <xf numFmtId="0" fontId="19" fillId="0" borderId="0" xfId="0" applyFont="1" applyAlignment="1" applyProtection="1">
      <alignment horizontal="left"/>
    </xf>
    <xf numFmtId="0" fontId="8" fillId="0" borderId="0" xfId="0" applyFont="1" applyFill="1" applyAlignment="1" applyProtection="1">
      <alignment horizontal="left"/>
    </xf>
    <xf numFmtId="0" fontId="9" fillId="0" borderId="0" xfId="0" applyFont="1" applyFill="1" applyAlignment="1" applyProtection="1">
      <alignment horizontal="left"/>
    </xf>
    <xf numFmtId="0" fontId="9" fillId="0" borderId="0" xfId="0" applyFont="1" applyAlignment="1" applyProtection="1">
      <alignment horizontal="right"/>
    </xf>
    <xf numFmtId="0" fontId="9" fillId="0" borderId="0" xfId="0" applyFont="1" applyAlignment="1" applyProtection="1">
      <alignment horizontal="left"/>
    </xf>
    <xf numFmtId="0" fontId="8" fillId="0" borderId="0" xfId="0" applyFont="1" applyFill="1" applyProtection="1"/>
    <xf numFmtId="0" fontId="9" fillId="0" borderId="0" xfId="0" applyFont="1" applyFill="1" applyProtection="1"/>
    <xf numFmtId="0" fontId="8" fillId="0" borderId="0" xfId="0" applyFont="1" applyFill="1" applyAlignment="1" applyProtection="1">
      <alignment horizontal="centerContinuous"/>
    </xf>
    <xf numFmtId="0" fontId="9" fillId="0" borderId="0" xfId="0" applyFont="1" applyAlignment="1" applyProtection="1">
      <alignment horizontal="left" indent="1"/>
    </xf>
    <xf numFmtId="0" fontId="1" fillId="0" borderId="0" xfId="0" applyFont="1" applyAlignment="1" applyProtection="1">
      <alignment horizontal="right"/>
    </xf>
    <xf numFmtId="0" fontId="13" fillId="0" borderId="0" xfId="0" applyFont="1" applyAlignment="1" applyProtection="1">
      <alignment horizontal="right" indent="1"/>
    </xf>
    <xf numFmtId="0" fontId="13" fillId="0" borderId="0" xfId="0" applyFont="1" applyAlignment="1" applyProtection="1">
      <alignment horizontal="left" indent="1"/>
    </xf>
    <xf numFmtId="0" fontId="21"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1" fillId="0" borderId="0" xfId="0" applyFont="1" applyBorder="1" applyProtection="1"/>
    <xf numFmtId="0" fontId="19" fillId="0" borderId="0" xfId="0" applyFont="1" applyProtection="1"/>
    <xf numFmtId="0" fontId="12" fillId="0" borderId="0" xfId="0" applyFont="1" applyBorder="1" applyProtection="1"/>
    <xf numFmtId="0" fontId="18" fillId="0" borderId="0" xfId="0" applyFont="1" applyAlignment="1" applyProtection="1">
      <alignment horizontal="left"/>
    </xf>
    <xf numFmtId="0" fontId="17" fillId="0" borderId="0" xfId="0" applyFont="1" applyAlignment="1" applyProtection="1">
      <alignment horizontal="center"/>
    </xf>
    <xf numFmtId="40" fontId="8" fillId="0" borderId="0" xfId="0" applyNumberFormat="1" applyFont="1" applyFill="1" applyBorder="1" applyProtection="1"/>
    <xf numFmtId="49" fontId="1" fillId="0" borderId="0" xfId="0" applyNumberFormat="1" applyFont="1" applyAlignment="1" applyProtection="1">
      <alignment horizontal="right"/>
    </xf>
    <xf numFmtId="0" fontId="8" fillId="0" borderId="0" xfId="0" applyFont="1" applyAlignment="1" applyProtection="1">
      <alignment horizontal="right"/>
    </xf>
    <xf numFmtId="0" fontId="1" fillId="0" borderId="0" xfId="0" applyFont="1" applyAlignment="1" applyProtection="1">
      <alignment horizontal="left"/>
    </xf>
    <xf numFmtId="0" fontId="17" fillId="0" borderId="3" xfId="0" applyFont="1" applyBorder="1" applyAlignment="1" applyProtection="1">
      <alignment horizontal="left"/>
    </xf>
    <xf numFmtId="0" fontId="1" fillId="0" borderId="3" xfId="0" applyFont="1" applyBorder="1" applyAlignment="1" applyProtection="1">
      <alignment horizontal="centerContinuous"/>
    </xf>
    <xf numFmtId="0" fontId="17" fillId="0" borderId="0" xfId="0" applyFont="1" applyFill="1" applyProtection="1"/>
    <xf numFmtId="0" fontId="25" fillId="0" borderId="0" xfId="0" applyFont="1" applyBorder="1" applyProtection="1"/>
    <xf numFmtId="0" fontId="1" fillId="0" borderId="0" xfId="0" applyFont="1" applyFill="1" applyProtection="1"/>
    <xf numFmtId="40" fontId="9" fillId="0" borderId="1" xfId="0" applyNumberFormat="1" applyFont="1" applyFill="1" applyBorder="1" applyProtection="1"/>
    <xf numFmtId="40" fontId="9" fillId="0" borderId="0" xfId="0" applyNumberFormat="1" applyFont="1" applyFill="1" applyAlignment="1" applyProtection="1">
      <alignment horizontal="right"/>
    </xf>
    <xf numFmtId="0" fontId="11" fillId="0" borderId="0" xfId="0" applyFont="1" applyFill="1" applyAlignment="1" applyProtection="1">
      <alignment horizontal="centerContinuous"/>
    </xf>
    <xf numFmtId="0" fontId="1" fillId="0" borderId="0" xfId="0" applyFont="1" applyFill="1" applyAlignment="1" applyProtection="1">
      <alignment horizontal="centerContinuous"/>
    </xf>
    <xf numFmtId="0" fontId="11" fillId="0" borderId="0" xfId="0" applyFont="1" applyFill="1" applyAlignment="1" applyProtection="1">
      <alignment horizontal="centerContinuous" wrapText="1"/>
    </xf>
    <xf numFmtId="40" fontId="11" fillId="0" borderId="0" xfId="0" applyNumberFormat="1" applyFont="1" applyFill="1" applyAlignment="1" applyProtection="1">
      <alignment horizontal="center"/>
    </xf>
    <xf numFmtId="40" fontId="13" fillId="0" borderId="0" xfId="0" applyNumberFormat="1" applyFont="1" applyFill="1" applyProtection="1"/>
    <xf numFmtId="40" fontId="9" fillId="0" borderId="0" xfId="0" applyNumberFormat="1" applyFont="1" applyFill="1" applyBorder="1" applyAlignment="1" applyProtection="1">
      <alignment horizontal="right"/>
    </xf>
    <xf numFmtId="0" fontId="1" fillId="0" borderId="0" xfId="0" applyFont="1" applyFill="1" applyBorder="1" applyProtection="1"/>
    <xf numFmtId="0" fontId="12" fillId="0" borderId="0" xfId="0" applyFont="1" applyFill="1" applyBorder="1" applyProtection="1"/>
    <xf numFmtId="0" fontId="17" fillId="0" borderId="0" xfId="0" applyFont="1" applyFill="1" applyAlignment="1" applyProtection="1">
      <alignment horizontal="center"/>
    </xf>
    <xf numFmtId="0" fontId="1" fillId="0" borderId="3" xfId="0" applyFont="1" applyFill="1" applyBorder="1" applyAlignment="1" applyProtection="1">
      <alignment horizontal="centerContinuous"/>
    </xf>
    <xf numFmtId="0" fontId="17" fillId="0" borderId="3" xfId="0" applyFont="1" applyFill="1" applyBorder="1" applyAlignment="1" applyProtection="1">
      <alignment horizontal="centerContinuous"/>
    </xf>
    <xf numFmtId="0" fontId="17" fillId="0" borderId="0" xfId="0" applyFont="1" applyFill="1" applyAlignment="1" applyProtection="1">
      <alignment horizontal="centerContinuous"/>
    </xf>
    <xf numFmtId="40" fontId="9" fillId="0" borderId="2" xfId="0" applyNumberFormat="1" applyFont="1" applyFill="1" applyBorder="1" applyProtection="1"/>
    <xf numFmtId="40" fontId="7" fillId="0" borderId="4" xfId="0" applyNumberFormat="1" applyFont="1" applyBorder="1" applyProtection="1">
      <protection locked="0"/>
    </xf>
    <xf numFmtId="40" fontId="7" fillId="0" borderId="4" xfId="0" applyNumberFormat="1" applyFont="1" applyFill="1" applyBorder="1" applyProtection="1">
      <protection locked="0"/>
    </xf>
    <xf numFmtId="40" fontId="16" fillId="0" borderId="4" xfId="0" applyNumberFormat="1" applyFont="1" applyFill="1" applyBorder="1" applyProtection="1">
      <protection locked="0"/>
    </xf>
    <xf numFmtId="0" fontId="0" fillId="0" borderId="3" xfId="0" applyBorder="1" applyProtection="1"/>
    <xf numFmtId="0" fontId="0" fillId="0" borderId="0" xfId="0" applyFont="1" applyProtection="1"/>
    <xf numFmtId="0" fontId="5" fillId="0" borderId="0" xfId="0" applyFont="1" applyProtection="1"/>
    <xf numFmtId="0" fontId="0" fillId="0" borderId="0" xfId="0" applyProtection="1"/>
    <xf numFmtId="0" fontId="0" fillId="0" borderId="0" xfId="0" applyFont="1" applyFill="1" applyProtection="1"/>
    <xf numFmtId="40" fontId="0" fillId="0" borderId="0" xfId="0" applyNumberFormat="1" applyFont="1" applyFill="1" applyProtection="1"/>
    <xf numFmtId="40" fontId="0" fillId="0" borderId="0" xfId="0" applyNumberFormat="1" applyFont="1" applyProtection="1"/>
    <xf numFmtId="0" fontId="0" fillId="0" borderId="3" xfId="0" applyFont="1" applyBorder="1" applyProtection="1"/>
    <xf numFmtId="0" fontId="0" fillId="0" borderId="3" xfId="0" applyFont="1" applyFill="1" applyBorder="1" applyProtection="1"/>
    <xf numFmtId="0" fontId="5" fillId="0" borderId="3" xfId="0" applyFont="1" applyBorder="1" applyProtection="1"/>
    <xf numFmtId="0" fontId="20" fillId="0" borderId="0" xfId="0" applyFont="1" applyFill="1" applyProtection="1"/>
    <xf numFmtId="0" fontId="20" fillId="0" borderId="0" xfId="0" applyFont="1" applyProtection="1"/>
    <xf numFmtId="40" fontId="0" fillId="0" borderId="0" xfId="0" applyNumberFormat="1" applyFont="1" applyFill="1" applyBorder="1" applyProtection="1"/>
    <xf numFmtId="0" fontId="0" fillId="0" borderId="0" xfId="0" applyFont="1" applyFill="1" applyBorder="1" applyProtection="1"/>
    <xf numFmtId="40" fontId="10" fillId="0" borderId="0" xfId="0" applyNumberFormat="1" applyFont="1" applyFill="1" applyBorder="1" applyProtection="1"/>
    <xf numFmtId="40" fontId="14" fillId="0" borderId="0" xfId="0" applyNumberFormat="1" applyFont="1" applyFill="1" applyBorder="1" applyProtection="1"/>
    <xf numFmtId="0" fontId="29" fillId="0" borderId="0" xfId="0" applyFont="1" applyAlignment="1" applyProtection="1">
      <alignment horizontal="right"/>
    </xf>
    <xf numFmtId="0" fontId="29" fillId="0" borderId="0" xfId="0" applyFont="1" applyProtection="1"/>
    <xf numFmtId="49" fontId="26" fillId="0" borderId="0" xfId="0" applyNumberFormat="1" applyFont="1" applyBorder="1" applyAlignment="1" applyProtection="1">
      <alignment horizontal="left"/>
    </xf>
    <xf numFmtId="40" fontId="10" fillId="0" borderId="0" xfId="0" applyNumberFormat="1" applyFont="1" applyBorder="1" applyProtection="1"/>
    <xf numFmtId="0" fontId="10" fillId="0" borderId="0" xfId="0" applyFont="1" applyFill="1" applyBorder="1" applyAlignment="1" applyProtection="1">
      <alignment horizontal="center"/>
    </xf>
    <xf numFmtId="40" fontId="10" fillId="0" borderId="0" xfId="0" applyNumberFormat="1" applyFont="1" applyProtection="1"/>
    <xf numFmtId="40" fontId="7" fillId="0" borderId="0" xfId="0" applyNumberFormat="1" applyFont="1" applyBorder="1" applyProtection="1"/>
    <xf numFmtId="49" fontId="11" fillId="0" borderId="0" xfId="0" applyNumberFormat="1" applyFont="1" applyAlignment="1" applyProtection="1">
      <alignment horizontal="center"/>
    </xf>
    <xf numFmtId="164" fontId="18" fillId="0" borderId="0" xfId="0" applyNumberFormat="1" applyFont="1" applyAlignment="1" applyProtection="1">
      <alignment horizontal="center"/>
    </xf>
    <xf numFmtId="165" fontId="1" fillId="0" borderId="0" xfId="0" applyNumberFormat="1" applyFont="1" applyAlignment="1" applyProtection="1">
      <alignment horizontal="right"/>
    </xf>
    <xf numFmtId="166" fontId="1" fillId="0" borderId="0" xfId="0" applyNumberFormat="1" applyFont="1" applyAlignment="1" applyProtection="1">
      <alignment horizontal="right"/>
    </xf>
    <xf numFmtId="166" fontId="17" fillId="0" borderId="0" xfId="0" applyNumberFormat="1" applyFont="1" applyAlignment="1" applyProtection="1">
      <alignment horizontal="right"/>
    </xf>
    <xf numFmtId="40" fontId="7" fillId="0" borderId="0" xfId="0" applyNumberFormat="1" applyFont="1" applyFill="1" applyBorder="1" applyProtection="1"/>
    <xf numFmtId="164" fontId="31" fillId="0" borderId="0" xfId="0" applyNumberFormat="1" applyFont="1" applyAlignment="1" applyProtection="1">
      <alignment horizontal="center"/>
    </xf>
    <xf numFmtId="0" fontId="31" fillId="0" borderId="0" xfId="0" applyFont="1" applyProtection="1"/>
    <xf numFmtId="0" fontId="31" fillId="0" borderId="0" xfId="0" applyFont="1" applyAlignment="1" applyProtection="1">
      <alignment horizontal="center"/>
    </xf>
    <xf numFmtId="49" fontId="31" fillId="0" borderId="0" xfId="0" applyNumberFormat="1" applyFont="1" applyAlignment="1" applyProtection="1">
      <alignment horizontal="center"/>
    </xf>
    <xf numFmtId="0" fontId="32" fillId="0" borderId="0" xfId="0" applyFont="1" applyProtection="1"/>
    <xf numFmtId="0" fontId="31" fillId="0" borderId="0" xfId="0" quotePrefix="1" applyFont="1" applyAlignment="1" applyProtection="1">
      <alignment horizontal="center"/>
    </xf>
    <xf numFmtId="0" fontId="9" fillId="0" borderId="0" xfId="0" applyFont="1" applyAlignment="1" applyProtection="1">
      <alignment horizontal="right" indent="1"/>
    </xf>
    <xf numFmtId="40" fontId="17" fillId="0" borderId="0" xfId="0" applyNumberFormat="1" applyFont="1" applyBorder="1" applyProtection="1"/>
    <xf numFmtId="40" fontId="9" fillId="0" borderId="0" xfId="0" applyNumberFormat="1" applyFont="1" applyBorder="1" applyProtection="1"/>
    <xf numFmtId="40" fontId="1" fillId="0" borderId="0" xfId="0" applyNumberFormat="1" applyFont="1" applyFill="1" applyBorder="1" applyProtection="1"/>
    <xf numFmtId="40" fontId="8" fillId="0" borderId="1" xfId="0" applyNumberFormat="1" applyFont="1" applyFill="1" applyBorder="1" applyProtection="1"/>
    <xf numFmtId="0" fontId="33" fillId="0" borderId="0" xfId="0" applyFont="1" applyAlignment="1" applyProtection="1">
      <alignment horizontal="center" vertical="center"/>
    </xf>
    <xf numFmtId="0" fontId="33" fillId="3" borderId="0" xfId="0" applyFont="1" applyFill="1" applyAlignment="1" applyProtection="1">
      <alignment horizontal="center" vertical="center"/>
    </xf>
    <xf numFmtId="0" fontId="0" fillId="0" borderId="0" xfId="0" applyFont="1" applyAlignment="1" applyProtection="1">
      <alignment horizontal="right"/>
    </xf>
    <xf numFmtId="0" fontId="0" fillId="0" borderId="0" xfId="0" applyBorder="1" applyProtection="1"/>
    <xf numFmtId="10" fontId="0" fillId="2" borderId="16" xfId="0" applyNumberFormat="1" applyFill="1" applyBorder="1" applyAlignment="1" applyProtection="1">
      <alignment horizontal="right" indent="1"/>
    </xf>
    <xf numFmtId="0" fontId="0" fillId="2" borderId="14" xfId="0" quotePrefix="1" applyFill="1" applyBorder="1" applyProtection="1"/>
    <xf numFmtId="0" fontId="0" fillId="2" borderId="14" xfId="0" applyFill="1" applyBorder="1" applyProtection="1"/>
    <xf numFmtId="167" fontId="36" fillId="2" borderId="16" xfId="0" applyNumberFormat="1" applyFont="1" applyFill="1" applyBorder="1" applyAlignment="1" applyProtection="1">
      <alignment horizontal="right" indent="1"/>
    </xf>
    <xf numFmtId="0" fontId="0" fillId="2" borderId="12" xfId="0" applyFill="1" applyBorder="1" applyAlignment="1" applyProtection="1">
      <alignment horizontal="right" indent="1"/>
    </xf>
    <xf numFmtId="0" fontId="0" fillId="2" borderId="0" xfId="0" applyFill="1" applyBorder="1" applyProtection="1"/>
    <xf numFmtId="0" fontId="34" fillId="2" borderId="13" xfId="0" applyFont="1" applyFill="1" applyBorder="1" applyProtection="1"/>
    <xf numFmtId="0" fontId="0" fillId="2" borderId="13" xfId="0" applyFill="1" applyBorder="1" applyProtection="1"/>
    <xf numFmtId="0" fontId="0" fillId="0" borderId="0" xfId="0" quotePrefix="1" applyProtection="1"/>
    <xf numFmtId="0" fontId="37" fillId="2" borderId="0" xfId="0" applyFont="1" applyFill="1" applyProtection="1"/>
    <xf numFmtId="0" fontId="0" fillId="2" borderId="0" xfId="0" applyFill="1" applyProtection="1"/>
    <xf numFmtId="0" fontId="0" fillId="2" borderId="13" xfId="0" applyFill="1" applyBorder="1" applyAlignment="1" applyProtection="1">
      <alignment horizontal="right" indent="1"/>
    </xf>
    <xf numFmtId="0" fontId="0" fillId="2" borderId="0" xfId="0" quotePrefix="1" applyFill="1" applyBorder="1" applyProtection="1"/>
    <xf numFmtId="167" fontId="36" fillId="2" borderId="17" xfId="0" applyNumberFormat="1" applyFont="1" applyFill="1" applyBorder="1" applyAlignment="1" applyProtection="1">
      <alignment horizontal="right" indent="1"/>
    </xf>
    <xf numFmtId="10" fontId="1" fillId="2" borderId="14" xfId="0" applyNumberFormat="1" applyFont="1" applyFill="1" applyBorder="1" applyAlignment="1" applyProtection="1">
      <alignment horizontal="right" indent="1"/>
    </xf>
    <xf numFmtId="0" fontId="1" fillId="2" borderId="14" xfId="0" quotePrefix="1" applyFont="1" applyFill="1" applyBorder="1" applyProtection="1"/>
    <xf numFmtId="0" fontId="33" fillId="0" borderId="0" xfId="0" applyFont="1" applyProtection="1"/>
    <xf numFmtId="0" fontId="0" fillId="0" borderId="0" xfId="0" applyFont="1" applyBorder="1" applyAlignment="1" applyProtection="1"/>
    <xf numFmtId="165" fontId="0" fillId="0" borderId="0" xfId="0" applyNumberFormat="1" applyFont="1" applyProtection="1"/>
    <xf numFmtId="0" fontId="43" fillId="0" borderId="0" xfId="0" applyFont="1" applyAlignment="1" applyProtection="1">
      <alignment horizontal="center" vertical="center"/>
    </xf>
    <xf numFmtId="0" fontId="42" fillId="0" borderId="0" xfId="0" applyFont="1" applyProtection="1"/>
    <xf numFmtId="9" fontId="0" fillId="0" borderId="0" xfId="0" applyNumberFormat="1" applyFont="1" applyProtection="1"/>
    <xf numFmtId="0" fontId="0" fillId="0" borderId="0" xfId="0" applyFont="1" applyBorder="1" applyAlignment="1" applyProtection="1">
      <alignment horizontal="left" vertical="center"/>
    </xf>
    <xf numFmtId="6" fontId="0" fillId="0" borderId="0" xfId="0" applyNumberFormat="1" applyFont="1" applyProtection="1"/>
    <xf numFmtId="0" fontId="0" fillId="0" borderId="0" xfId="0" applyFont="1" applyFill="1" applyBorder="1" applyAlignment="1" applyProtection="1">
      <alignment horizontal="left" vertical="center"/>
    </xf>
    <xf numFmtId="0" fontId="18" fillId="0" borderId="0" xfId="0" applyFont="1" applyFill="1" applyProtection="1"/>
    <xf numFmtId="40" fontId="7" fillId="4" borderId="4" xfId="0" applyNumberFormat="1" applyFont="1" applyFill="1" applyBorder="1" applyProtection="1">
      <protection locked="0"/>
    </xf>
    <xf numFmtId="8" fontId="0" fillId="0" borderId="0" xfId="0" applyNumberFormat="1" applyBorder="1" applyProtection="1"/>
    <xf numFmtId="0" fontId="18" fillId="0" borderId="0" xfId="0" applyFont="1" applyFill="1" applyBorder="1" applyAlignment="1" applyProtection="1">
      <alignment horizontal="left" vertical="center" wrapText="1"/>
    </xf>
    <xf numFmtId="0" fontId="0" fillId="2" borderId="0" xfId="0" applyFill="1" applyBorder="1" applyAlignment="1" applyProtection="1">
      <alignment horizontal="right" indent="1"/>
    </xf>
    <xf numFmtId="40" fontId="9" fillId="4" borderId="1" xfId="0" applyNumberFormat="1" applyFont="1" applyFill="1" applyBorder="1" applyProtection="1"/>
    <xf numFmtId="40" fontId="9" fillId="4" borderId="17" xfId="0" applyNumberFormat="1" applyFont="1" applyFill="1" applyBorder="1" applyProtection="1"/>
    <xf numFmtId="0" fontId="11" fillId="0" borderId="0" xfId="0" applyNumberFormat="1" applyFont="1" applyAlignment="1" applyProtection="1">
      <alignment horizontal="center"/>
    </xf>
    <xf numFmtId="0" fontId="1" fillId="0" borderId="0" xfId="0" applyFont="1" applyFill="1" applyAlignment="1" applyProtection="1">
      <alignment horizontal="right"/>
    </xf>
    <xf numFmtId="0" fontId="5" fillId="0" borderId="0" xfId="0" applyFont="1" applyFill="1" applyProtection="1"/>
    <xf numFmtId="6" fontId="47" fillId="0" borderId="0" xfId="0" applyNumberFormat="1" applyFont="1" applyProtection="1"/>
    <xf numFmtId="6" fontId="47" fillId="0" borderId="0" xfId="0" applyNumberFormat="1" applyFont="1" applyAlignment="1" applyProtection="1">
      <alignment horizontal="right"/>
    </xf>
    <xf numFmtId="0" fontId="31" fillId="6" borderId="0" xfId="0" applyFont="1" applyFill="1" applyProtection="1"/>
    <xf numFmtId="0" fontId="0" fillId="6" borderId="0" xfId="0" applyFont="1" applyFill="1" applyProtection="1"/>
    <xf numFmtId="0" fontId="46" fillId="0" borderId="0" xfId="0" applyFont="1" applyBorder="1" applyProtection="1"/>
    <xf numFmtId="6" fontId="1" fillId="0" borderId="0" xfId="0" applyNumberFormat="1" applyFont="1" applyBorder="1" applyAlignment="1" applyProtection="1">
      <alignment horizontal="right"/>
    </xf>
    <xf numFmtId="0" fontId="47" fillId="0" borderId="0" xfId="0" applyFont="1" applyBorder="1" applyProtection="1"/>
    <xf numFmtId="0" fontId="48" fillId="0" borderId="0" xfId="0" applyFont="1" applyProtection="1"/>
    <xf numFmtId="9" fontId="48" fillId="0" borderId="0" xfId="1" applyFont="1" applyProtection="1"/>
    <xf numFmtId="0" fontId="37" fillId="0" borderId="0" xfId="0" applyFont="1" applyAlignment="1" applyProtection="1">
      <alignment horizontal="right"/>
    </xf>
    <xf numFmtId="0" fontId="40" fillId="0" borderId="0" xfId="0" applyFont="1" applyAlignment="1" applyProtection="1">
      <alignment horizontal="center" vertical="center"/>
    </xf>
    <xf numFmtId="0" fontId="0" fillId="0" borderId="0" xfId="0" applyFont="1" applyBorder="1" applyAlignment="1" applyProtection="1">
      <alignment horizontal="center"/>
    </xf>
    <xf numFmtId="0" fontId="0" fillId="0" borderId="24" xfId="0" applyBorder="1" applyAlignment="1">
      <alignment horizontal="center" wrapText="1"/>
    </xf>
    <xf numFmtId="0" fontId="0" fillId="0" borderId="0" xfId="0" applyFont="1" applyAlignment="1" applyProtection="1">
      <alignment horizontal="center" vertical="center"/>
    </xf>
    <xf numFmtId="38" fontId="25" fillId="0" borderId="28" xfId="0" applyNumberFormat="1" applyFont="1" applyBorder="1" applyAlignment="1" applyProtection="1">
      <alignment horizontal="center" vertical="center"/>
      <protection locked="0"/>
    </xf>
    <xf numFmtId="38" fontId="25" fillId="0" borderId="12" xfId="0" applyNumberFormat="1" applyFont="1" applyBorder="1" applyAlignment="1" applyProtection="1">
      <alignment horizontal="center" vertical="center"/>
      <protection locked="0"/>
    </xf>
    <xf numFmtId="0" fontId="0" fillId="0" borderId="0" xfId="0" applyFont="1" applyAlignment="1" applyProtection="1">
      <alignment horizontal="right" vertical="center"/>
    </xf>
    <xf numFmtId="38" fontId="0" fillId="0" borderId="24" xfId="0" applyNumberFormat="1" applyFont="1" applyBorder="1" applyAlignment="1" applyProtection="1">
      <alignment horizontal="center" vertical="center"/>
    </xf>
    <xf numFmtId="38" fontId="0" fillId="0" borderId="29" xfId="0" applyNumberFormat="1" applyFont="1" applyBorder="1" applyAlignment="1" applyProtection="1">
      <alignment horizontal="center" vertical="center"/>
    </xf>
    <xf numFmtId="9" fontId="0" fillId="0" borderId="13" xfId="0" applyNumberFormat="1" applyFont="1" applyBorder="1" applyAlignment="1" applyProtection="1">
      <alignment horizontal="center" vertical="center"/>
    </xf>
    <xf numFmtId="0" fontId="0" fillId="0" borderId="13" xfId="0" applyFont="1" applyBorder="1" applyProtection="1"/>
    <xf numFmtId="9" fontId="0" fillId="0" borderId="15" xfId="0" applyNumberFormat="1" applyFont="1" applyBorder="1" applyAlignment="1" applyProtection="1">
      <alignment horizontal="center" vertical="center"/>
    </xf>
    <xf numFmtId="0" fontId="0" fillId="0" borderId="15" xfId="0" applyFont="1" applyBorder="1" applyProtection="1"/>
    <xf numFmtId="10" fontId="0" fillId="0" borderId="13" xfId="0" applyNumberFormat="1" applyFont="1" applyBorder="1" applyAlignment="1" applyProtection="1">
      <alignment horizontal="center" vertical="center"/>
    </xf>
    <xf numFmtId="10" fontId="0" fillId="0" borderId="15" xfId="0" applyNumberFormat="1" applyFont="1" applyBorder="1" applyAlignment="1" applyProtection="1">
      <alignment horizontal="center" vertical="center"/>
    </xf>
    <xf numFmtId="0" fontId="49" fillId="0" borderId="0" xfId="0" applyFont="1" applyAlignment="1" applyProtection="1">
      <alignment horizontal="center" vertical="center" wrapText="1"/>
    </xf>
    <xf numFmtId="10" fontId="0" fillId="0" borderId="24" xfId="0" applyNumberFormat="1" applyFont="1" applyBorder="1" applyAlignment="1" applyProtection="1">
      <alignment horizontal="center" vertical="center"/>
    </xf>
    <xf numFmtId="10" fontId="0" fillId="0" borderId="29" xfId="0" applyNumberFormat="1" applyFont="1" applyBorder="1" applyAlignment="1" applyProtection="1">
      <alignment horizontal="center" vertical="center"/>
    </xf>
    <xf numFmtId="0" fontId="0" fillId="0" borderId="13" xfId="0" applyFont="1" applyBorder="1" applyAlignment="1" applyProtection="1">
      <alignment horizontal="right" vertical="center"/>
    </xf>
    <xf numFmtId="0" fontId="0" fillId="0" borderId="13" xfId="0" applyFont="1" applyBorder="1" applyAlignment="1" applyProtection="1">
      <alignment horizontal="right"/>
    </xf>
    <xf numFmtId="0" fontId="0" fillId="0" borderId="31" xfId="0" applyFont="1" applyBorder="1" applyProtection="1"/>
    <xf numFmtId="10" fontId="0" fillId="0" borderId="32" xfId="1" applyNumberFormat="1" applyFont="1" applyBorder="1" applyAlignment="1" applyProtection="1">
      <alignment horizontal="center" vertical="center"/>
    </xf>
    <xf numFmtId="0" fontId="20" fillId="0" borderId="0" xfId="0" applyFont="1" applyAlignment="1" applyProtection="1">
      <alignment horizontal="left" vertical="center"/>
    </xf>
    <xf numFmtId="0" fontId="50" fillId="0" borderId="0" xfId="0" applyFont="1" applyAlignment="1" applyProtection="1">
      <alignment wrapText="1"/>
    </xf>
    <xf numFmtId="0" fontId="49" fillId="0" borderId="0" xfId="0" applyFont="1" applyAlignment="1" applyProtection="1">
      <alignment horizontal="right" vertical="center"/>
    </xf>
    <xf numFmtId="0" fontId="52" fillId="0" borderId="0" xfId="0" applyFont="1" applyProtection="1"/>
    <xf numFmtId="9" fontId="52" fillId="0" borderId="0" xfId="0" applyNumberFormat="1" applyFont="1" applyProtection="1"/>
    <xf numFmtId="0" fontId="39" fillId="0" borderId="0" xfId="0" applyFont="1" applyProtection="1"/>
    <xf numFmtId="0" fontId="40" fillId="0" borderId="0" xfId="0" applyFont="1" applyBorder="1" applyProtection="1"/>
    <xf numFmtId="0" fontId="40" fillId="0" borderId="14" xfId="0" applyFont="1" applyBorder="1" applyProtection="1"/>
    <xf numFmtId="0" fontId="34" fillId="2" borderId="0" xfId="0" applyFont="1" applyFill="1" applyBorder="1" applyProtection="1"/>
    <xf numFmtId="0" fontId="0" fillId="0" borderId="0" xfId="0" quotePrefix="1" applyFont="1" applyProtection="1"/>
    <xf numFmtId="0" fontId="5" fillId="0" borderId="0" xfId="0" applyFont="1" applyAlignment="1" applyProtection="1">
      <alignment horizontal="right"/>
    </xf>
    <xf numFmtId="0" fontId="53" fillId="0" borderId="0" xfId="0" applyFont="1" applyAlignment="1" applyProtection="1">
      <alignment vertical="center"/>
    </xf>
    <xf numFmtId="0" fontId="0" fillId="7" borderId="0" xfId="0" applyFill="1" applyProtection="1"/>
    <xf numFmtId="6" fontId="0" fillId="0" borderId="0" xfId="0" applyNumberFormat="1" applyFont="1" applyBorder="1" applyAlignment="1" applyProtection="1">
      <alignment horizontal="right"/>
    </xf>
    <xf numFmtId="0" fontId="0" fillId="0" borderId="0" xfId="0" applyFont="1" applyBorder="1" applyProtection="1"/>
    <xf numFmtId="0" fontId="33" fillId="0" borderId="0" xfId="0" applyFont="1" applyBorder="1" applyAlignment="1" applyProtection="1">
      <alignment horizontal="center" vertical="center"/>
    </xf>
    <xf numFmtId="0" fontId="33" fillId="0" borderId="0" xfId="0" applyFont="1" applyFill="1" applyBorder="1" applyAlignment="1" applyProtection="1">
      <alignment horizontal="center" vertical="center"/>
    </xf>
    <xf numFmtId="0" fontId="0" fillId="0" borderId="0" xfId="0" quotePrefix="1" applyFont="1" applyBorder="1" applyProtection="1"/>
    <xf numFmtId="0" fontId="0" fillId="7" borderId="0" xfId="0" applyFont="1" applyFill="1" applyProtection="1"/>
    <xf numFmtId="6" fontId="1" fillId="7" borderId="0" xfId="0" applyNumberFormat="1" applyFont="1" applyFill="1" applyProtection="1"/>
    <xf numFmtId="0" fontId="48" fillId="0" borderId="0" xfId="0" quotePrefix="1" applyFont="1" applyProtection="1"/>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wrapText="1"/>
    </xf>
    <xf numFmtId="0" fontId="36" fillId="0" borderId="28" xfId="0" quotePrefix="1" applyFont="1" applyBorder="1" applyAlignment="1" applyProtection="1">
      <alignment horizontal="center"/>
    </xf>
    <xf numFmtId="8" fontId="0" fillId="0" borderId="0" xfId="0" quotePrefix="1" applyNumberFormat="1" applyFont="1" applyBorder="1" applyAlignment="1" applyProtection="1">
      <alignment horizontal="center"/>
    </xf>
    <xf numFmtId="0" fontId="1" fillId="0" borderId="0" xfId="0" applyFont="1" applyFill="1" applyBorder="1" applyAlignment="1" applyProtection="1">
      <alignment horizontal="left" vertical="center"/>
    </xf>
    <xf numFmtId="0" fontId="0" fillId="0" borderId="0" xfId="0" quotePrefix="1" applyFont="1" applyBorder="1" applyAlignment="1" applyProtection="1"/>
    <xf numFmtId="10" fontId="1" fillId="2" borderId="17" xfId="0" applyNumberFormat="1" applyFont="1" applyFill="1" applyBorder="1" applyAlignment="1" applyProtection="1">
      <alignment horizontal="center"/>
    </xf>
    <xf numFmtId="9" fontId="1" fillId="0" borderId="0" xfId="1" applyFont="1" applyProtection="1"/>
    <xf numFmtId="0" fontId="55" fillId="0" borderId="0" xfId="0" quotePrefix="1" applyFont="1" applyBorder="1" applyProtection="1"/>
    <xf numFmtId="0" fontId="55" fillId="0" borderId="0" xfId="0" applyFont="1" applyBorder="1" applyProtection="1"/>
    <xf numFmtId="0" fontId="24" fillId="0" borderId="0" xfId="0" quotePrefix="1" applyFont="1" applyBorder="1" applyProtection="1"/>
    <xf numFmtId="9" fontId="25" fillId="0" borderId="4" xfId="0" applyNumberFormat="1" applyFont="1" applyBorder="1" applyAlignment="1" applyProtection="1">
      <alignment horizontal="center"/>
    </xf>
    <xf numFmtId="6" fontId="25" fillId="8" borderId="18" xfId="0" applyNumberFormat="1" applyFont="1" applyFill="1" applyBorder="1" applyAlignment="1" applyProtection="1">
      <alignment horizontal="center"/>
    </xf>
    <xf numFmtId="6" fontId="48" fillId="0" borderId="0" xfId="0" applyNumberFormat="1" applyFont="1" applyProtection="1"/>
    <xf numFmtId="0" fontId="0" fillId="0" borderId="0" xfId="0" quotePrefix="1" applyFont="1" applyAlignment="1" applyProtection="1">
      <alignment vertical="top" wrapText="1"/>
    </xf>
    <xf numFmtId="0" fontId="0" fillId="0" borderId="24" xfId="0" quotePrefix="1" applyFont="1" applyBorder="1" applyAlignment="1" applyProtection="1">
      <alignment vertical="top" wrapText="1"/>
    </xf>
    <xf numFmtId="40" fontId="47" fillId="0" borderId="0" xfId="0" applyNumberFormat="1" applyFont="1" applyProtection="1"/>
    <xf numFmtId="40" fontId="7" fillId="4" borderId="4" xfId="0" applyNumberFormat="1" applyFont="1" applyFill="1" applyBorder="1" applyProtection="1"/>
    <xf numFmtId="0" fontId="0" fillId="0" borderId="0" xfId="0" applyFont="1" applyBorder="1" applyAlignment="1" applyProtection="1">
      <alignment horizontal="center"/>
    </xf>
    <xf numFmtId="0" fontId="49" fillId="0" borderId="0" xfId="0" applyFont="1" applyProtection="1"/>
    <xf numFmtId="0" fontId="39" fillId="0" borderId="0" xfId="0" applyFont="1"/>
    <xf numFmtId="0" fontId="39" fillId="0" borderId="0" xfId="0" applyFont="1" applyAlignment="1">
      <alignment horizontal="center" vertical="center"/>
    </xf>
    <xf numFmtId="0" fontId="0" fillId="0" borderId="0" xfId="0" applyFont="1" applyBorder="1" applyAlignment="1" applyProtection="1">
      <alignment horizontal="center"/>
    </xf>
    <xf numFmtId="0" fontId="31" fillId="0" borderId="0" xfId="0" applyFont="1" applyFill="1"/>
    <xf numFmtId="0" fontId="31" fillId="0" borderId="0" xfId="0" applyFont="1" applyFill="1" applyProtection="1"/>
    <xf numFmtId="0" fontId="0" fillId="0" borderId="0" xfId="0" applyFill="1" applyProtection="1"/>
    <xf numFmtId="0" fontId="37" fillId="0" borderId="0" xfId="0" applyFont="1" applyFill="1" applyAlignment="1" applyProtection="1">
      <alignment horizontal="right"/>
    </xf>
    <xf numFmtId="40" fontId="47" fillId="0" borderId="0" xfId="0" applyNumberFormat="1" applyFont="1" applyFill="1" applyProtection="1"/>
    <xf numFmtId="10" fontId="1" fillId="0" borderId="16" xfId="0" applyNumberFormat="1" applyFont="1" applyFill="1" applyBorder="1" applyAlignment="1" applyProtection="1">
      <alignment horizontal="center"/>
    </xf>
    <xf numFmtId="0" fontId="0" fillId="0" borderId="14" xfId="0" quotePrefix="1" applyFill="1" applyBorder="1" applyProtection="1"/>
    <xf numFmtId="0" fontId="0" fillId="0" borderId="3" xfId="0" applyFill="1" applyBorder="1" applyProtection="1"/>
    <xf numFmtId="0" fontId="38" fillId="0" borderId="0" xfId="0" applyFont="1" applyFill="1" applyProtection="1"/>
    <xf numFmtId="0" fontId="48" fillId="0" borderId="0" xfId="0" applyFont="1" applyFill="1" applyBorder="1" applyAlignment="1" applyProtection="1">
      <alignment horizontal="left" vertical="center"/>
    </xf>
    <xf numFmtId="0" fontId="48" fillId="0" borderId="0" xfId="0" applyFont="1" applyBorder="1" applyAlignment="1" applyProtection="1">
      <alignment horizontal="left"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37" fillId="0" borderId="0" xfId="0" applyFont="1" applyAlignment="1">
      <alignment horizontal="right" vertical="center"/>
    </xf>
    <xf numFmtId="0" fontId="17" fillId="0" borderId="0" xfId="0" applyFont="1" applyAlignment="1">
      <alignment horizontal="right" vertical="center"/>
    </xf>
    <xf numFmtId="0" fontId="0" fillId="0" borderId="0" xfId="0" applyAlignment="1">
      <alignment horizontal="center" vertical="center"/>
    </xf>
    <xf numFmtId="0" fontId="37" fillId="0" borderId="0" xfId="0" applyFont="1" applyAlignment="1">
      <alignment horizontal="center" vertical="center"/>
    </xf>
    <xf numFmtId="0" fontId="17" fillId="0" borderId="0" xfId="0" applyFont="1" applyAlignment="1">
      <alignment horizontal="right" vertical="center" wrapText="1"/>
    </xf>
    <xf numFmtId="0" fontId="0" fillId="0" borderId="0" xfId="0" applyBorder="1" applyAlignment="1">
      <alignment vertical="center"/>
    </xf>
    <xf numFmtId="0" fontId="58" fillId="0" borderId="37" xfId="0" applyFont="1" applyBorder="1" applyAlignment="1">
      <alignment vertical="center"/>
    </xf>
    <xf numFmtId="0" fontId="17" fillId="0" borderId="0" xfId="0" applyFont="1" applyBorder="1" applyAlignment="1">
      <alignment vertical="center" wrapText="1"/>
    </xf>
    <xf numFmtId="0" fontId="0" fillId="0" borderId="0" xfId="0" applyBorder="1"/>
    <xf numFmtId="0" fontId="36" fillId="0" borderId="37" xfId="0" applyFont="1" applyBorder="1" applyAlignment="1">
      <alignment vertical="center" wrapText="1"/>
    </xf>
    <xf numFmtId="0" fontId="0" fillId="0" borderId="0" xfId="0" applyFill="1"/>
    <xf numFmtId="0" fontId="37" fillId="0" borderId="0" xfId="0" applyFont="1" applyFill="1" applyAlignment="1">
      <alignment horizontal="right"/>
    </xf>
    <xf numFmtId="0" fontId="0" fillId="0" borderId="46" xfId="0" applyFont="1" applyBorder="1" applyProtection="1"/>
    <xf numFmtId="0" fontId="0" fillId="0" borderId="0" xfId="0" applyFill="1" applyBorder="1"/>
    <xf numFmtId="0" fontId="36" fillId="0" borderId="0" xfId="0" applyFont="1" applyFill="1" applyBorder="1" applyAlignment="1">
      <alignment vertical="center" wrapText="1"/>
    </xf>
    <xf numFmtId="0" fontId="36" fillId="0" borderId="0" xfId="0" applyFont="1" applyFill="1" applyBorder="1" applyAlignment="1">
      <alignment horizontal="right" vertical="center" wrapText="1"/>
    </xf>
    <xf numFmtId="0" fontId="36" fillId="0" borderId="0" xfId="0" applyFont="1" applyFill="1" applyBorder="1" applyAlignment="1">
      <alignment horizontal="center" vertical="center"/>
    </xf>
    <xf numFmtId="172" fontId="36" fillId="0" borderId="0" xfId="0" applyNumberFormat="1" applyFont="1" applyFill="1" applyBorder="1" applyAlignment="1">
      <alignment horizontal="center" vertical="center" wrapText="1"/>
    </xf>
    <xf numFmtId="0" fontId="57" fillId="0" borderId="0" xfId="0" applyFont="1" applyFill="1" applyAlignment="1">
      <alignment horizontal="left" vertical="center"/>
    </xf>
    <xf numFmtId="0" fontId="46" fillId="0" borderId="0" xfId="0" applyFont="1" applyAlignment="1" applyProtection="1">
      <alignment horizontal="center"/>
    </xf>
    <xf numFmtId="0" fontId="22" fillId="0" borderId="0" xfId="0" applyFont="1" applyBorder="1" applyAlignment="1">
      <alignment horizontal="center"/>
    </xf>
    <xf numFmtId="0" fontId="59" fillId="0" borderId="0" xfId="0" applyFont="1" applyBorder="1" applyAlignment="1">
      <alignment horizontal="center" vertical="center"/>
    </xf>
    <xf numFmtId="0" fontId="22" fillId="0" borderId="0" xfId="0" applyFont="1" applyBorder="1" applyAlignment="1">
      <alignment horizontal="center" vertical="center" wrapText="1"/>
    </xf>
    <xf numFmtId="0" fontId="46" fillId="0" borderId="0" xfId="0" applyFont="1" applyBorder="1" applyAlignment="1">
      <alignment horizontal="center" vertical="center"/>
    </xf>
    <xf numFmtId="0" fontId="46" fillId="0" borderId="0" xfId="0" applyFont="1" applyBorder="1" applyAlignment="1">
      <alignment horizontal="center" vertical="center" wrapText="1"/>
    </xf>
    <xf numFmtId="0" fontId="46" fillId="0" borderId="0" xfId="0" applyFont="1" applyFill="1" applyBorder="1" applyAlignment="1">
      <alignment horizontal="center" vertical="center" wrapText="1"/>
    </xf>
    <xf numFmtId="168" fontId="25" fillId="0" borderId="5" xfId="0" applyNumberFormat="1" applyFont="1" applyBorder="1" applyAlignment="1" applyProtection="1">
      <alignment horizontal="center" vertical="center"/>
    </xf>
    <xf numFmtId="0" fontId="61" fillId="0" borderId="0" xfId="0" applyFont="1" applyFill="1" applyAlignment="1" applyProtection="1">
      <alignment horizontal="right"/>
    </xf>
    <xf numFmtId="6" fontId="1" fillId="0" borderId="0" xfId="0" applyNumberFormat="1" applyFont="1" applyFill="1" applyProtection="1"/>
    <xf numFmtId="6" fontId="1" fillId="0" borderId="46" xfId="0" applyNumberFormat="1" applyFont="1" applyFill="1" applyBorder="1" applyProtection="1"/>
    <xf numFmtId="0" fontId="33" fillId="0" borderId="0" xfId="0" applyFont="1" applyFill="1" applyProtection="1"/>
    <xf numFmtId="0" fontId="61" fillId="0" borderId="0" xfId="0" applyFont="1" applyFill="1" applyAlignment="1" applyProtection="1">
      <alignment horizontal="left"/>
    </xf>
    <xf numFmtId="0" fontId="62" fillId="0" borderId="0" xfId="0" applyFont="1" applyAlignment="1" applyProtection="1">
      <alignment horizontal="center" vertical="center"/>
    </xf>
    <xf numFmtId="0" fontId="31" fillId="0" borderId="0" xfId="0" quotePrefix="1" applyFont="1" applyFill="1" applyAlignment="1" applyProtection="1">
      <alignment horizontal="center"/>
    </xf>
    <xf numFmtId="0" fontId="31" fillId="0" borderId="0" xfId="0" quotePrefix="1" applyFont="1" applyProtection="1"/>
    <xf numFmtId="1" fontId="25" fillId="0" borderId="18" xfId="0" applyNumberFormat="1" applyFont="1" applyBorder="1" applyAlignment="1" applyProtection="1">
      <alignment horizontal="center" vertical="center"/>
      <protection locked="0"/>
    </xf>
    <xf numFmtId="0" fontId="22" fillId="0" borderId="0" xfId="0" applyFont="1" applyAlignment="1" applyProtection="1">
      <alignment horizontal="center"/>
    </xf>
    <xf numFmtId="0" fontId="55" fillId="0" borderId="0" xfId="0" applyFont="1" applyAlignment="1" applyProtection="1">
      <alignment horizontal="left" vertical="center"/>
    </xf>
    <xf numFmtId="168" fontId="25" fillId="0" borderId="18" xfId="0" applyNumberFormat="1" applyFont="1" applyBorder="1" applyAlignment="1" applyProtection="1">
      <alignment horizontal="center" vertical="center"/>
    </xf>
    <xf numFmtId="0" fontId="1"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Font="1" applyBorder="1" applyAlignment="1" applyProtection="1">
      <alignment horizontal="center"/>
    </xf>
    <xf numFmtId="0" fontId="39" fillId="0" borderId="0" xfId="0" applyFont="1" applyAlignment="1" applyProtection="1">
      <alignment horizontal="left" vertical="top" wrapText="1"/>
    </xf>
    <xf numFmtId="0" fontId="36" fillId="0" borderId="0" xfId="0" applyFont="1" applyProtection="1"/>
    <xf numFmtId="0" fontId="0" fillId="0" borderId="0" xfId="0" applyFont="1" applyFill="1" applyAlignment="1" applyProtection="1">
      <alignment horizontal="center"/>
    </xf>
    <xf numFmtId="0" fontId="1" fillId="0" borderId="0" xfId="0" applyFont="1" applyFill="1" applyAlignment="1" applyProtection="1">
      <alignment horizontal="left" vertical="center"/>
    </xf>
    <xf numFmtId="0" fontId="25" fillId="0" borderId="0" xfId="0" applyFont="1" applyFill="1" applyBorder="1" applyAlignment="1" applyProtection="1">
      <alignment horizontal="center" vertical="center"/>
    </xf>
    <xf numFmtId="0" fontId="48" fillId="0" borderId="0" xfId="0" applyFont="1" applyFill="1" applyAlignment="1" applyProtection="1">
      <alignment horizontal="left" vertical="center"/>
    </xf>
    <xf numFmtId="173" fontId="47" fillId="0" borderId="0" xfId="1" applyNumberFormat="1" applyFont="1" applyFill="1" applyAlignment="1" applyProtection="1">
      <alignment horizontal="center"/>
    </xf>
    <xf numFmtId="0" fontId="57" fillId="0" borderId="0" xfId="0" applyFont="1" applyAlignment="1">
      <alignment horizontal="left" vertical="center"/>
    </xf>
    <xf numFmtId="0" fontId="36" fillId="0" borderId="45" xfId="0" applyFont="1" applyFill="1" applyBorder="1" applyAlignment="1" applyProtection="1">
      <alignment horizontal="right" vertical="center" wrapText="1"/>
    </xf>
    <xf numFmtId="0" fontId="36" fillId="0" borderId="46" xfId="0" applyFont="1" applyFill="1" applyBorder="1" applyAlignment="1" applyProtection="1">
      <alignment horizontal="right" vertical="center" wrapText="1"/>
    </xf>
    <xf numFmtId="0" fontId="0" fillId="0" borderId="36" xfId="0" applyBorder="1" applyAlignment="1" applyProtection="1">
      <alignment horizontal="right" vertical="center"/>
    </xf>
    <xf numFmtId="0" fontId="0" fillId="0" borderId="0" xfId="0" applyBorder="1" applyAlignment="1" applyProtection="1">
      <alignment horizontal="right" vertical="center"/>
    </xf>
    <xf numFmtId="0" fontId="36" fillId="0" borderId="47" xfId="0" applyFont="1" applyFill="1" applyBorder="1" applyAlignment="1" applyProtection="1">
      <alignment horizontal="center" vertical="center" wrapText="1"/>
    </xf>
    <xf numFmtId="0" fontId="36" fillId="0" borderId="48" xfId="0" applyFont="1" applyFill="1" applyBorder="1" applyAlignment="1" applyProtection="1">
      <alignment horizontal="center" vertical="center" wrapText="1"/>
    </xf>
    <xf numFmtId="0" fontId="36" fillId="0" borderId="46" xfId="0" applyFont="1" applyFill="1" applyBorder="1" applyAlignment="1" applyProtection="1">
      <alignment horizontal="center" vertical="center" wrapText="1"/>
    </xf>
    <xf numFmtId="0" fontId="25" fillId="0" borderId="26"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36" fillId="0" borderId="49" xfId="0" applyFont="1" applyFill="1" applyBorder="1" applyAlignment="1" applyProtection="1">
      <alignment horizontal="center" vertical="center" wrapText="1"/>
    </xf>
    <xf numFmtId="0" fontId="0" fillId="0" borderId="38" xfId="0" applyBorder="1" applyAlignment="1" applyProtection="1">
      <alignment horizontal="right" vertical="center"/>
    </xf>
    <xf numFmtId="0" fontId="0" fillId="0" borderId="39" xfId="0" applyBorder="1" applyAlignment="1" applyProtection="1">
      <alignment horizontal="right" vertical="center"/>
    </xf>
    <xf numFmtId="0" fontId="36" fillId="0" borderId="43" xfId="0" applyFont="1" applyBorder="1" applyAlignment="1" applyProtection="1">
      <alignment horizontal="right" vertical="center" wrapText="1"/>
    </xf>
    <xf numFmtId="0" fontId="36" fillId="0" borderId="24" xfId="0" applyFont="1" applyBorder="1" applyAlignment="1" applyProtection="1">
      <alignment horizontal="right" vertical="center" wrapText="1"/>
    </xf>
    <xf numFmtId="172" fontId="0" fillId="0" borderId="26" xfId="0" applyNumberFormat="1" applyBorder="1" applyAlignment="1" applyProtection="1">
      <alignment horizontal="center" vertical="center"/>
    </xf>
    <xf numFmtId="172" fontId="0" fillId="0" borderId="0" xfId="0" applyNumberFormat="1" applyBorder="1" applyAlignment="1" applyProtection="1">
      <alignment horizontal="center" vertical="center"/>
    </xf>
    <xf numFmtId="172" fontId="0" fillId="0" borderId="37" xfId="0" applyNumberFormat="1" applyBorder="1" applyAlignment="1" applyProtection="1">
      <alignment horizontal="center" vertical="center"/>
    </xf>
    <xf numFmtId="172" fontId="0" fillId="0" borderId="26" xfId="0" applyNumberFormat="1" applyBorder="1" applyAlignment="1" applyProtection="1">
      <alignment horizontal="center" vertical="center" wrapText="1"/>
    </xf>
    <xf numFmtId="172" fontId="0" fillId="0" borderId="0" xfId="0" applyNumberFormat="1" applyBorder="1" applyAlignment="1" applyProtection="1">
      <alignment horizontal="center" vertical="center" wrapText="1"/>
    </xf>
    <xf numFmtId="172" fontId="0" fillId="0" borderId="37" xfId="0" applyNumberFormat="1" applyBorder="1" applyAlignment="1" applyProtection="1">
      <alignment horizontal="center" vertical="center" wrapText="1"/>
    </xf>
    <xf numFmtId="172" fontId="0" fillId="0" borderId="40" xfId="0" applyNumberFormat="1" applyBorder="1" applyAlignment="1" applyProtection="1">
      <alignment horizontal="center" vertical="center" wrapText="1"/>
    </xf>
    <xf numFmtId="172" fontId="0" fillId="0" borderId="39" xfId="0" applyNumberFormat="1" applyBorder="1" applyAlignment="1" applyProtection="1">
      <alignment horizontal="center" vertical="center" wrapText="1"/>
    </xf>
    <xf numFmtId="172" fontId="0" fillId="0" borderId="42" xfId="0" applyNumberFormat="1" applyBorder="1" applyAlignment="1" applyProtection="1">
      <alignment horizontal="center" vertical="center" wrapText="1"/>
    </xf>
    <xf numFmtId="172" fontId="36" fillId="0" borderId="23" xfId="0" applyNumberFormat="1" applyFont="1" applyBorder="1" applyAlignment="1" applyProtection="1">
      <alignment horizontal="center" vertical="center" wrapText="1"/>
    </xf>
    <xf numFmtId="172" fontId="36" fillId="0" borderId="24" xfId="0" applyNumberFormat="1" applyFont="1" applyBorder="1" applyAlignment="1" applyProtection="1">
      <alignment horizontal="center" vertical="center" wrapText="1"/>
    </xf>
    <xf numFmtId="172" fontId="36" fillId="0" borderId="44" xfId="0" applyNumberFormat="1" applyFont="1" applyBorder="1" applyAlignment="1" applyProtection="1">
      <alignment horizontal="center" vertical="center" wrapText="1"/>
    </xf>
    <xf numFmtId="0" fontId="39" fillId="0" borderId="14" xfId="0" applyFont="1" applyBorder="1" applyAlignment="1" applyProtection="1">
      <alignment horizontal="left" vertical="center" wrapText="1"/>
    </xf>
    <xf numFmtId="0" fontId="39" fillId="0" borderId="13" xfId="0" applyFont="1" applyBorder="1" applyAlignment="1" applyProtection="1">
      <alignment horizontal="left" vertical="center" wrapText="1"/>
    </xf>
    <xf numFmtId="0" fontId="39" fillId="0" borderId="15" xfId="0" applyFont="1" applyBorder="1" applyAlignment="1" applyProtection="1">
      <alignment horizontal="left" vertical="center" wrapText="1"/>
    </xf>
    <xf numFmtId="0" fontId="41" fillId="0" borderId="15" xfId="0" applyFont="1" applyBorder="1" applyAlignment="1" applyProtection="1">
      <alignment horizontal="left" vertical="center" wrapText="1"/>
    </xf>
    <xf numFmtId="0" fontId="36" fillId="0" borderId="21" xfId="0" applyFont="1" applyBorder="1" applyAlignment="1" applyProtection="1">
      <alignment horizontal="center" vertical="top" wrapText="1"/>
    </xf>
    <xf numFmtId="0" fontId="36" fillId="0" borderId="20" xfId="0" applyFont="1" applyBorder="1" applyAlignment="1" applyProtection="1">
      <alignment horizontal="center" vertical="top" wrapText="1"/>
    </xf>
    <xf numFmtId="0" fontId="36" fillId="0" borderId="22" xfId="0" applyFont="1" applyBorder="1" applyAlignment="1" applyProtection="1">
      <alignment horizontal="center" vertical="top" wrapText="1"/>
    </xf>
    <xf numFmtId="0" fontId="36" fillId="0" borderId="26" xfId="0" applyFont="1" applyBorder="1" applyAlignment="1" applyProtection="1">
      <alignment horizontal="center" vertical="top" wrapText="1"/>
    </xf>
    <xf numFmtId="0" fontId="36" fillId="0" borderId="0" xfId="0" applyFont="1" applyBorder="1" applyAlignment="1" applyProtection="1">
      <alignment horizontal="center" vertical="top" wrapText="1"/>
    </xf>
    <xf numFmtId="0" fontId="36" fillId="0" borderId="27" xfId="0" applyFont="1" applyBorder="1" applyAlignment="1" applyProtection="1">
      <alignment horizontal="center" vertical="top" wrapText="1"/>
    </xf>
    <xf numFmtId="0" fontId="36" fillId="0" borderId="23" xfId="0" applyFont="1" applyBorder="1" applyAlignment="1" applyProtection="1">
      <alignment horizontal="center" vertical="top" wrapText="1"/>
    </xf>
    <xf numFmtId="0" fontId="36" fillId="0" borderId="24" xfId="0" applyFont="1" applyBorder="1" applyAlignment="1" applyProtection="1">
      <alignment horizontal="center" vertical="top" wrapText="1"/>
    </xf>
    <xf numFmtId="0" fontId="36" fillId="0" borderId="25" xfId="0" applyFont="1" applyBorder="1" applyAlignment="1" applyProtection="1">
      <alignment horizontal="center" vertical="top" wrapText="1"/>
    </xf>
    <xf numFmtId="0" fontId="39" fillId="0" borderId="1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13" xfId="0" applyFont="1" applyBorder="1" applyAlignment="1" applyProtection="1">
      <alignment horizontal="left" vertical="top" wrapText="1"/>
    </xf>
    <xf numFmtId="0" fontId="33" fillId="2" borderId="14" xfId="0" applyFont="1" applyFill="1" applyBorder="1" applyAlignment="1" applyProtection="1">
      <alignment horizontal="left" vertical="top" wrapText="1"/>
    </xf>
    <xf numFmtId="0" fontId="33" fillId="2" borderId="0" xfId="0" applyFont="1" applyFill="1" applyBorder="1" applyAlignment="1" applyProtection="1">
      <alignment horizontal="left" vertical="top" wrapText="1"/>
    </xf>
    <xf numFmtId="0" fontId="56" fillId="0" borderId="15" xfId="0" applyFont="1" applyBorder="1" applyAlignment="1" applyProtection="1">
      <alignment horizontal="left" vertical="center" wrapText="1"/>
    </xf>
    <xf numFmtId="0" fontId="7" fillId="0" borderId="4" xfId="0" applyFont="1" applyFill="1" applyBorder="1" applyAlignment="1" applyProtection="1">
      <alignment horizontal="left"/>
      <protection locked="0"/>
    </xf>
    <xf numFmtId="169" fontId="51" fillId="0" borderId="0" xfId="0" applyNumberFormat="1" applyFont="1" applyBorder="1" applyAlignment="1" applyProtection="1">
      <alignment horizontal="center"/>
    </xf>
    <xf numFmtId="171" fontId="51" fillId="0" borderId="0" xfId="0" applyNumberFormat="1" applyFont="1" applyBorder="1" applyAlignment="1" applyProtection="1">
      <alignment horizontal="center"/>
    </xf>
    <xf numFmtId="170" fontId="51" fillId="0" borderId="0" xfId="0" applyNumberFormat="1" applyFont="1" applyBorder="1" applyAlignment="1" applyProtection="1">
      <alignment horizontal="center"/>
    </xf>
    <xf numFmtId="0" fontId="36" fillId="0" borderId="21" xfId="0" applyFont="1" applyBorder="1" applyAlignment="1" applyProtection="1">
      <alignment horizontal="center" vertical="center" wrapText="1"/>
    </xf>
    <xf numFmtId="0" fontId="36" fillId="0" borderId="20" xfId="0" applyFont="1" applyBorder="1" applyAlignment="1" applyProtection="1">
      <alignment horizontal="center" vertical="center" wrapText="1"/>
    </xf>
    <xf numFmtId="0" fontId="36" fillId="0" borderId="22" xfId="0" applyFont="1" applyBorder="1" applyAlignment="1" applyProtection="1">
      <alignment horizontal="center" vertical="center" wrapText="1"/>
    </xf>
    <xf numFmtId="0" fontId="36" fillId="0" borderId="26"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27" xfId="0" applyFont="1" applyBorder="1" applyAlignment="1" applyProtection="1">
      <alignment horizontal="center" vertical="center" wrapText="1"/>
    </xf>
    <xf numFmtId="0" fontId="36" fillId="0" borderId="23" xfId="0" applyFont="1" applyBorder="1" applyAlignment="1" applyProtection="1">
      <alignment horizontal="center" vertical="center" wrapText="1"/>
    </xf>
    <xf numFmtId="0" fontId="36" fillId="0" borderId="24" xfId="0" applyFont="1" applyBorder="1" applyAlignment="1" applyProtection="1">
      <alignment horizontal="center" vertical="center" wrapText="1"/>
    </xf>
    <xf numFmtId="0" fontId="36" fillId="0" borderId="25" xfId="0" applyFont="1" applyBorder="1" applyAlignment="1" applyProtection="1">
      <alignment horizontal="center" vertical="center" wrapText="1"/>
    </xf>
    <xf numFmtId="0" fontId="56" fillId="0" borderId="15" xfId="0" applyFont="1" applyFill="1" applyBorder="1" applyAlignment="1" applyProtection="1">
      <alignment horizontal="left" vertical="center" wrapText="1"/>
    </xf>
    <xf numFmtId="0" fontId="25" fillId="0" borderId="4" xfId="0" applyFont="1" applyBorder="1" applyAlignment="1" applyProtection="1">
      <alignment horizontal="center" vertical="center"/>
    </xf>
    <xf numFmtId="0" fontId="0" fillId="0" borderId="0" xfId="0" applyFont="1" applyBorder="1" applyAlignment="1" applyProtection="1">
      <alignment horizontal="center"/>
    </xf>
    <xf numFmtId="0" fontId="25" fillId="0" borderId="4" xfId="0" applyFont="1" applyBorder="1" applyAlignment="1" applyProtection="1">
      <alignment horizontal="center"/>
      <protection locked="0"/>
    </xf>
    <xf numFmtId="0" fontId="29" fillId="0" borderId="24" xfId="0" applyFont="1" applyBorder="1" applyAlignment="1" applyProtection="1">
      <alignment horizontal="center"/>
    </xf>
    <xf numFmtId="0" fontId="39" fillId="0" borderId="0" xfId="0" applyFont="1" applyBorder="1" applyAlignment="1" applyProtection="1">
      <alignment horizontal="left" vertical="center" wrapText="1"/>
    </xf>
    <xf numFmtId="0" fontId="25" fillId="5" borderId="4" xfId="0" applyFont="1" applyFill="1" applyBorder="1" applyAlignment="1" applyProtection="1">
      <alignment horizontal="center"/>
    </xf>
    <xf numFmtId="0" fontId="0" fillId="0" borderId="0" xfId="0" applyAlignment="1" applyProtection="1">
      <alignment horizontal="center"/>
    </xf>
    <xf numFmtId="0" fontId="0" fillId="0" borderId="28" xfId="0" applyFont="1" applyBorder="1" applyAlignment="1" applyProtection="1">
      <alignment horizontal="center"/>
    </xf>
    <xf numFmtId="0" fontId="43" fillId="0" borderId="0" xfId="0" applyFont="1" applyAlignment="1" applyProtection="1">
      <alignment horizontal="center" vertical="center" wrapText="1"/>
    </xf>
    <xf numFmtId="0" fontId="50" fillId="0" borderId="0" xfId="0" applyFont="1" applyAlignment="1" applyProtection="1">
      <alignment horizontal="left" wrapText="1"/>
    </xf>
    <xf numFmtId="0" fontId="0" fillId="0" borderId="5" xfId="0" applyFont="1" applyBorder="1" applyAlignment="1" applyProtection="1">
      <alignment horizontal="center"/>
    </xf>
    <xf numFmtId="8" fontId="1" fillId="0" borderId="17" xfId="0" applyNumberFormat="1" applyFont="1" applyBorder="1" applyAlignment="1" applyProtection="1">
      <alignment horizontal="right" indent="1"/>
    </xf>
    <xf numFmtId="8" fontId="1" fillId="0" borderId="17" xfId="0" applyNumberFormat="1" applyFont="1" applyFill="1" applyBorder="1" applyAlignment="1" applyProtection="1">
      <alignment horizontal="right" indent="1"/>
    </xf>
    <xf numFmtId="0" fontId="25" fillId="0" borderId="4" xfId="0" applyFont="1" applyBorder="1" applyAlignment="1" applyProtection="1">
      <alignment horizontal="center"/>
    </xf>
    <xf numFmtId="0" fontId="0" fillId="0" borderId="17" xfId="0" applyFont="1" applyBorder="1" applyAlignment="1" applyProtection="1">
      <alignment horizontal="center"/>
    </xf>
    <xf numFmtId="0" fontId="18" fillId="0" borderId="0" xfId="0" applyFont="1" applyBorder="1" applyAlignment="1">
      <alignment horizontal="center" vertical="center" wrapText="1"/>
    </xf>
    <xf numFmtId="173" fontId="45" fillId="0" borderId="0" xfId="1" applyNumberFormat="1" applyFont="1" applyFill="1" applyAlignment="1" applyProtection="1">
      <alignment horizontal="center"/>
      <protection locked="0"/>
    </xf>
    <xf numFmtId="49" fontId="25" fillId="0" borderId="6" xfId="0" applyNumberFormat="1" applyFont="1" applyBorder="1" applyAlignment="1" applyProtection="1">
      <alignment horizontal="left" vertical="top" wrapText="1"/>
      <protection locked="0"/>
    </xf>
    <xf numFmtId="49" fontId="25" fillId="0" borderId="5" xfId="0" applyNumberFormat="1" applyFont="1" applyBorder="1" applyAlignment="1" applyProtection="1">
      <alignment horizontal="left" vertical="top" wrapText="1"/>
      <protection locked="0"/>
    </xf>
    <xf numFmtId="49" fontId="25" fillId="0" borderId="7" xfId="0" applyNumberFormat="1" applyFont="1" applyBorder="1" applyAlignment="1" applyProtection="1">
      <alignment horizontal="left" vertical="top" wrapText="1"/>
      <protection locked="0"/>
    </xf>
    <xf numFmtId="49" fontId="25" fillId="0" borderId="8" xfId="0" applyNumberFormat="1" applyFont="1" applyBorder="1" applyAlignment="1" applyProtection="1">
      <alignment horizontal="left" vertical="top" wrapText="1"/>
      <protection locked="0"/>
    </xf>
    <xf numFmtId="49" fontId="25" fillId="0" borderId="0" xfId="0" applyNumberFormat="1" applyFont="1" applyBorder="1" applyAlignment="1" applyProtection="1">
      <alignment horizontal="left" vertical="top" wrapText="1"/>
      <protection locked="0"/>
    </xf>
    <xf numFmtId="49" fontId="25" fillId="0" borderId="9" xfId="0" applyNumberFormat="1" applyFont="1" applyBorder="1" applyAlignment="1" applyProtection="1">
      <alignment horizontal="left" vertical="top" wrapText="1"/>
      <protection locked="0"/>
    </xf>
    <xf numFmtId="49" fontId="25" fillId="0" borderId="10" xfId="0" applyNumberFormat="1" applyFont="1" applyBorder="1" applyAlignment="1" applyProtection="1">
      <alignment horizontal="left" vertical="top" wrapText="1"/>
      <protection locked="0"/>
    </xf>
    <xf numFmtId="49" fontId="25" fillId="0" borderId="4" xfId="0" applyNumberFormat="1" applyFont="1" applyBorder="1" applyAlignment="1" applyProtection="1">
      <alignment horizontal="left" vertical="top" wrapText="1"/>
      <protection locked="0"/>
    </xf>
    <xf numFmtId="49" fontId="25" fillId="0" borderId="11" xfId="0" applyNumberFormat="1" applyFont="1" applyBorder="1" applyAlignment="1" applyProtection="1">
      <alignment horizontal="left" vertical="top" wrapText="1"/>
      <protection locked="0"/>
    </xf>
    <xf numFmtId="0" fontId="25" fillId="0" borderId="4" xfId="0" applyFont="1" applyBorder="1" applyAlignment="1" applyProtection="1">
      <alignment horizontal="left"/>
      <protection locked="0"/>
    </xf>
    <xf numFmtId="0" fontId="0" fillId="0" borderId="30" xfId="0" applyFont="1" applyBorder="1" applyAlignment="1" applyProtection="1">
      <alignment horizontal="right" vertical="center" wrapText="1"/>
    </xf>
    <xf numFmtId="0" fontId="0" fillId="0" borderId="31" xfId="0" applyFont="1" applyBorder="1" applyAlignment="1" applyProtection="1">
      <alignment horizontal="right" vertical="center" wrapText="1"/>
    </xf>
    <xf numFmtId="0" fontId="31" fillId="0" borderId="0" xfId="0" applyFont="1" applyAlignment="1" applyProtection="1">
      <alignment horizontal="center" vertical="center" wrapText="1"/>
    </xf>
    <xf numFmtId="0" fontId="25" fillId="0" borderId="4" xfId="0" applyFont="1" applyFill="1" applyBorder="1" applyAlignment="1" applyProtection="1">
      <alignment horizontal="center"/>
      <protection locked="0"/>
    </xf>
    <xf numFmtId="49" fontId="25" fillId="0" borderId="5" xfId="0" applyNumberFormat="1" applyFont="1" applyBorder="1" applyAlignment="1" applyProtection="1">
      <alignment horizontal="left" vertical="top"/>
      <protection locked="0"/>
    </xf>
    <xf numFmtId="49" fontId="25" fillId="0" borderId="7" xfId="0" applyNumberFormat="1" applyFont="1" applyBorder="1" applyAlignment="1" applyProtection="1">
      <alignment horizontal="left" vertical="top"/>
      <protection locked="0"/>
    </xf>
    <xf numFmtId="49" fontId="25" fillId="0" borderId="8" xfId="0" applyNumberFormat="1" applyFont="1" applyBorder="1" applyAlignment="1" applyProtection="1">
      <alignment horizontal="left" vertical="top"/>
      <protection locked="0"/>
    </xf>
    <xf numFmtId="49" fontId="25" fillId="0" borderId="0" xfId="0" applyNumberFormat="1" applyFont="1" applyBorder="1" applyAlignment="1" applyProtection="1">
      <alignment horizontal="left" vertical="top"/>
      <protection locked="0"/>
    </xf>
    <xf numFmtId="49" fontId="25" fillId="0" borderId="9" xfId="0" applyNumberFormat="1" applyFont="1" applyBorder="1" applyAlignment="1" applyProtection="1">
      <alignment horizontal="left" vertical="top"/>
      <protection locked="0"/>
    </xf>
    <xf numFmtId="49" fontId="25" fillId="0" borderId="10" xfId="0" applyNumberFormat="1" applyFont="1" applyBorder="1" applyAlignment="1" applyProtection="1">
      <alignment horizontal="left" vertical="top"/>
      <protection locked="0"/>
    </xf>
    <xf numFmtId="49" fontId="25" fillId="0" borderId="4" xfId="0" applyNumberFormat="1" applyFont="1" applyBorder="1" applyAlignment="1" applyProtection="1">
      <alignment horizontal="left" vertical="top"/>
      <protection locked="0"/>
    </xf>
    <xf numFmtId="49" fontId="25" fillId="0" borderId="11" xfId="0" applyNumberFormat="1" applyFont="1" applyBorder="1" applyAlignment="1" applyProtection="1">
      <alignment horizontal="left" vertical="top"/>
      <protection locked="0"/>
    </xf>
    <xf numFmtId="0" fontId="17" fillId="0" borderId="0" xfId="0" applyFont="1" applyFill="1" applyAlignment="1" applyProtection="1">
      <alignment horizontal="center"/>
    </xf>
    <xf numFmtId="0" fontId="45" fillId="0" borderId="0" xfId="0" applyFont="1" applyAlignment="1" applyProtection="1">
      <alignment horizontal="center"/>
      <protection locked="0"/>
    </xf>
    <xf numFmtId="0" fontId="25" fillId="9" borderId="4" xfId="0" applyFont="1" applyFill="1" applyBorder="1" applyAlignment="1" applyProtection="1">
      <alignment horizontal="center"/>
    </xf>
    <xf numFmtId="0" fontId="60" fillId="0" borderId="0" xfId="0" applyFont="1" applyAlignment="1" applyProtection="1">
      <alignment horizontal="left" vertical="center" wrapText="1"/>
    </xf>
    <xf numFmtId="172" fontId="0" fillId="0" borderId="40" xfId="0" applyNumberFormat="1" applyBorder="1" applyAlignment="1" applyProtection="1">
      <alignment horizontal="center" vertical="center"/>
    </xf>
    <xf numFmtId="172" fontId="0" fillId="0" borderId="39" xfId="0" applyNumberFormat="1" applyBorder="1" applyAlignment="1" applyProtection="1">
      <alignment horizontal="center" vertical="center"/>
    </xf>
    <xf numFmtId="172" fontId="36" fillId="8" borderId="23" xfId="0" applyNumberFormat="1" applyFont="1" applyFill="1" applyBorder="1" applyAlignment="1" applyProtection="1">
      <alignment horizontal="center" vertical="center" wrapText="1"/>
    </xf>
    <xf numFmtId="172" fontId="36" fillId="8" borderId="24" xfId="0" applyNumberFormat="1" applyFont="1" applyFill="1" applyBorder="1" applyAlignment="1" applyProtection="1">
      <alignment horizontal="center" vertical="center" wrapText="1"/>
    </xf>
    <xf numFmtId="0" fontId="58" fillId="0" borderId="33" xfId="0" applyFont="1" applyFill="1" applyBorder="1" applyAlignment="1" applyProtection="1">
      <alignment horizontal="center" vertical="center"/>
    </xf>
    <xf numFmtId="0" fontId="58" fillId="0" borderId="34" xfId="0" applyFont="1" applyFill="1" applyBorder="1" applyAlignment="1" applyProtection="1">
      <alignment horizontal="center" vertical="center"/>
    </xf>
    <xf numFmtId="0" fontId="58" fillId="0" borderId="35" xfId="0" applyFont="1" applyFill="1" applyBorder="1" applyAlignment="1" applyProtection="1">
      <alignment horizontal="center" vertical="center"/>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36" fillId="0" borderId="23" xfId="0" applyFont="1" applyBorder="1" applyAlignment="1" applyProtection="1">
      <alignment horizontal="center" vertical="center"/>
    </xf>
    <xf numFmtId="0" fontId="36" fillId="0" borderId="25" xfId="0" applyFont="1" applyBorder="1" applyAlignment="1" applyProtection="1">
      <alignment horizontal="center" vertical="center"/>
    </xf>
    <xf numFmtId="172" fontId="0" fillId="0" borderId="26" xfId="0" quotePrefix="1" applyNumberFormat="1" applyBorder="1" applyAlignment="1" applyProtection="1">
      <alignment horizontal="center" vertical="center"/>
    </xf>
    <xf numFmtId="172" fontId="0" fillId="0" borderId="0" xfId="0" quotePrefix="1" applyNumberFormat="1"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Font="1" applyAlignment="1" applyProtection="1">
      <alignment horizontal="left" vertical="top" wrapText="1"/>
    </xf>
    <xf numFmtId="0" fontId="0" fillId="0" borderId="0" xfId="0" quotePrefix="1" applyFont="1" applyAlignment="1" applyProtection="1">
      <alignment horizontal="center" vertical="center" wrapText="1"/>
    </xf>
    <xf numFmtId="0" fontId="39" fillId="0" borderId="0" xfId="0" applyFont="1" applyAlignment="1" applyProtection="1">
      <alignment horizontal="left" vertical="top" wrapText="1"/>
    </xf>
    <xf numFmtId="0" fontId="25" fillId="0" borderId="4" xfId="0" applyFont="1" applyFill="1" applyBorder="1" applyAlignment="1" applyProtection="1">
      <alignment horizontal="center" shrinkToFit="1"/>
      <protection locked="0"/>
    </xf>
    <xf numFmtId="6" fontId="0" fillId="0" borderId="28" xfId="0" applyNumberFormat="1" applyFont="1" applyBorder="1" applyAlignment="1" applyProtection="1">
      <alignment horizontal="center"/>
    </xf>
    <xf numFmtId="8" fontId="0" fillId="0" borderId="19" xfId="0" quotePrefix="1" applyNumberFormat="1" applyFont="1" applyBorder="1" applyAlignment="1" applyProtection="1">
      <alignment horizontal="right" indent="1"/>
    </xf>
  </cellXfs>
  <cellStyles count="2">
    <cellStyle name="Normal" xfId="0" builtinId="0"/>
    <cellStyle name="Percent" xfId="1" builtinId="5"/>
  </cellStyles>
  <dxfs count="116">
    <dxf>
      <font>
        <color theme="0"/>
      </font>
      <fill>
        <patternFill patternType="lightUp">
          <fgColor theme="0" tint="-0.499984740745262"/>
        </patternFill>
      </fill>
    </dxf>
    <dxf>
      <font>
        <color rgb="FFFF0000"/>
      </font>
      <fill>
        <patternFill>
          <bgColor rgb="FFFFEBFF"/>
        </patternFill>
      </fill>
    </dxf>
    <dxf>
      <font>
        <color rgb="FFFF0000"/>
      </font>
      <fill>
        <patternFill>
          <bgColor rgb="FFFFEBFF"/>
        </patternFill>
      </fill>
    </dxf>
    <dxf>
      <font>
        <b val="0"/>
        <i val="0"/>
        <color rgb="FFFF0000"/>
      </font>
      <fill>
        <patternFill>
          <bgColor rgb="FFFFEBFF"/>
        </patternFill>
      </fill>
    </dxf>
    <dxf>
      <fill>
        <patternFill>
          <bgColor rgb="FFFFEBFF"/>
        </patternFill>
      </fill>
    </dxf>
    <dxf>
      <font>
        <color rgb="FFFF0000"/>
      </font>
      <fill>
        <patternFill>
          <bgColor rgb="FFFFEBFF"/>
        </patternFill>
      </fill>
    </dxf>
    <dxf>
      <font>
        <color rgb="FFFF0000"/>
      </font>
      <fill>
        <patternFill>
          <bgColor rgb="FFFFEBFF"/>
        </patternFill>
      </fill>
    </dxf>
    <dxf>
      <fill>
        <patternFill patternType="lightUp">
          <fgColor theme="0" tint="-0.499984740745262"/>
        </patternFill>
      </fill>
    </dxf>
    <dxf>
      <font>
        <b val="0"/>
        <i val="0"/>
        <color rgb="FFFF0000"/>
      </font>
      <fill>
        <patternFill>
          <bgColor rgb="FFFFEBFF"/>
        </patternFill>
      </fill>
    </dxf>
    <dxf>
      <fill>
        <patternFill patternType="lightUp">
          <fgColor theme="0" tint="-0.499984740745262"/>
        </patternFill>
      </fill>
    </dxf>
    <dxf>
      <font>
        <color rgb="FFE6E6E6"/>
      </font>
      <fill>
        <patternFill patternType="lightUp">
          <fgColor theme="0" tint="-0.499984740745262"/>
        </patternFill>
      </fill>
      <border>
        <bottom style="thin">
          <color auto="1"/>
        </bottom>
        <vertical/>
        <horizontal/>
      </border>
    </dxf>
    <dxf>
      <fill>
        <patternFill patternType="lightUp">
          <fgColor theme="0" tint="-0.499984740745262"/>
        </patternFill>
      </fill>
    </dxf>
    <dxf>
      <font>
        <color theme="0"/>
      </font>
    </dxf>
    <dxf>
      <fill>
        <patternFill patternType="lightUp">
          <fgColor theme="0" tint="-0.499984740745262"/>
        </patternFill>
      </fill>
    </dxf>
    <dxf>
      <font>
        <color rgb="FFC00000"/>
      </font>
      <fill>
        <patternFill>
          <bgColor rgb="FFFFEBFF"/>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rgb="FFC00000"/>
      </font>
      <fill>
        <patternFill>
          <bgColor rgb="FFFFEBFF"/>
        </patternFill>
      </fill>
    </dxf>
    <dxf>
      <font>
        <color rgb="FFC00000"/>
      </font>
      <fill>
        <patternFill>
          <bgColor rgb="FFFFEBFF"/>
        </patternFill>
      </fill>
    </dxf>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ill>
        <patternFill>
          <bgColor rgb="FFFFEBFF"/>
        </patternFill>
      </fill>
    </dxf>
    <dxf>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C00000"/>
      </font>
      <fill>
        <patternFill>
          <bgColor rgb="FFFFCC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color rgb="FFC00000"/>
      </font>
      <fill>
        <patternFill>
          <bgColor rgb="FFFFE6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color theme="6" tint="-0.499984740745262"/>
      </font>
      <fill>
        <patternFill>
          <bgColor rgb="FFDDFFDD"/>
        </patternFill>
      </fill>
    </dxf>
    <dxf>
      <font>
        <b val="0"/>
        <i/>
        <color rgb="FFFF0000"/>
      </font>
    </dxf>
    <dxf>
      <fill>
        <patternFill>
          <bgColor rgb="FFCCFFCC"/>
        </patternFill>
      </fill>
    </dxf>
    <dxf>
      <font>
        <b/>
        <i val="0"/>
        <color rgb="FFFF0000"/>
      </font>
    </dxf>
    <dxf>
      <font>
        <b/>
        <i val="0"/>
        <color rgb="FF00B050"/>
      </font>
      <fill>
        <patternFill patternType="none">
          <bgColor auto="1"/>
        </patternFill>
      </fill>
    </dxf>
    <dxf>
      <font>
        <b/>
        <i val="0"/>
        <color rgb="FF00B050"/>
      </font>
      <fill>
        <patternFill patternType="none">
          <bgColor auto="1"/>
        </patternFill>
      </fill>
    </dxf>
    <dxf>
      <font>
        <b/>
        <i val="0"/>
        <color rgb="FFFF0000"/>
      </font>
    </dxf>
    <dxf>
      <font>
        <b val="0"/>
        <i/>
        <color rgb="FFFF0000"/>
      </font>
    </dxf>
    <dxf>
      <font>
        <b/>
        <i/>
        <color rgb="FFFF0000"/>
      </font>
      <fill>
        <patternFill>
          <bgColor rgb="FFFFEBFF"/>
        </patternFill>
      </fill>
    </dxf>
    <dxf>
      <font>
        <b/>
        <i/>
        <color rgb="FFFF0000"/>
      </font>
      <fill>
        <patternFill>
          <bgColor rgb="FFFFEBFF"/>
        </patternFill>
      </fill>
    </dxf>
    <dxf>
      <fill>
        <patternFill patternType="none">
          <bgColor auto="1"/>
        </patternFill>
      </fill>
    </dxf>
    <dxf>
      <font>
        <b/>
        <i/>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dxf>
    <dxf>
      <font>
        <b/>
        <i val="0"/>
        <color rgb="FFFF0000"/>
      </font>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FFEBFF"/>
        </patternFill>
      </fill>
    </dxf>
    <dxf>
      <fill>
        <patternFill>
          <bgColor rgb="FFC8FFC8"/>
        </patternFill>
      </fill>
    </dxf>
  </dxfs>
  <tableStyles count="0" defaultTableStyle="TableStyleMedium9" defaultPivotStyle="PivotStyleLight16"/>
  <colors>
    <mruColors>
      <color rgb="FF0000FF"/>
      <color rgb="FFFFEBFF"/>
      <color rgb="FFE6E6E6"/>
      <color rgb="FF81DEFF"/>
      <color rgb="FFFFCCFF"/>
      <color rgb="FFFFE6FF"/>
      <color rgb="FFDDFFDD"/>
      <color rgb="FF89E0FF"/>
      <color rgb="FFCCFFCC"/>
      <color rgb="FFFFC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48"/>
  <sheetViews>
    <sheetView tabSelected="1" topLeftCell="A9" zoomScale="112" zoomScaleNormal="112" zoomScaleSheetLayoutView="100" zoomScalePageLayoutView="120" workbookViewId="0">
      <selection activeCell="K36" sqref="K36"/>
    </sheetView>
  </sheetViews>
  <sheetFormatPr defaultColWidth="9.33203125" defaultRowHeight="13.2" x14ac:dyDescent="0.25"/>
  <cols>
    <col min="1" max="1" width="1.5546875" style="88" customWidth="1"/>
    <col min="2" max="2" width="3.5546875" style="88" customWidth="1"/>
    <col min="3" max="3" width="3.44140625" style="88" customWidth="1"/>
    <col min="4" max="4" width="2.5546875" style="88" customWidth="1"/>
    <col min="5" max="5" width="10.88671875" style="88" customWidth="1"/>
    <col min="6" max="6" width="19.5546875" style="88" customWidth="1"/>
    <col min="7" max="7" width="3.5546875" style="88" customWidth="1"/>
    <col min="8" max="8" width="15.5546875" style="88" customWidth="1"/>
    <col min="9" max="9" width="2.5546875" style="88" customWidth="1"/>
    <col min="10" max="10" width="3.5546875" style="88" customWidth="1"/>
    <col min="11" max="11" width="15.5546875" style="88" customWidth="1"/>
    <col min="12" max="12" width="2.5546875" style="88" customWidth="1"/>
    <col min="13" max="13" width="3.5546875" style="88" customWidth="1"/>
    <col min="14" max="14" width="16.5546875" style="88" customWidth="1"/>
    <col min="15" max="15" width="1.5546875" style="88" customWidth="1"/>
    <col min="16" max="16" width="5.44140625" style="88" customWidth="1"/>
    <col min="17" max="17" width="19" style="88" customWidth="1"/>
    <col min="18" max="18" width="9.33203125" style="88"/>
    <col min="19" max="20" width="11.6640625" style="88" customWidth="1"/>
    <col min="21" max="21" width="14" style="88" customWidth="1"/>
    <col min="22" max="22" width="20.5546875" style="88" customWidth="1"/>
    <col min="23" max="23" width="10.44140625" style="88" customWidth="1"/>
    <col min="24" max="16384" width="9.33203125" style="88"/>
  </cols>
  <sheetData>
    <row r="1" spans="1:16" ht="3.75" customHeight="1" x14ac:dyDescent="0.25">
      <c r="A1" s="85"/>
      <c r="B1" s="248"/>
      <c r="C1" s="248"/>
      <c r="D1" s="248"/>
      <c r="E1" s="248"/>
      <c r="F1" s="248"/>
      <c r="G1" s="248"/>
      <c r="H1" s="248"/>
      <c r="I1" s="248"/>
      <c r="J1" s="248"/>
      <c r="K1" s="248"/>
      <c r="L1" s="85"/>
      <c r="M1" s="85"/>
      <c r="N1" s="85"/>
      <c r="O1" s="85"/>
      <c r="P1" s="85"/>
    </row>
    <row r="2" spans="1:16" x14ac:dyDescent="0.25">
      <c r="A2" s="1"/>
      <c r="B2" s="249" t="s">
        <v>444</v>
      </c>
      <c r="C2" s="89"/>
      <c r="D2" s="66"/>
      <c r="E2" s="66"/>
      <c r="F2" s="66"/>
      <c r="G2" s="66"/>
      <c r="H2" s="66"/>
      <c r="I2" s="66"/>
      <c r="J2" s="66"/>
      <c r="K2" s="66"/>
      <c r="L2" s="1"/>
      <c r="M2" s="1"/>
      <c r="N2" s="1"/>
      <c r="O2" s="87"/>
      <c r="P2" s="3" t="s">
        <v>244</v>
      </c>
    </row>
    <row r="3" spans="1:16" x14ac:dyDescent="0.25">
      <c r="A3" s="1"/>
      <c r="B3" s="23"/>
      <c r="C3" s="23"/>
      <c r="D3" s="1"/>
      <c r="E3" s="1"/>
      <c r="F3" s="1"/>
      <c r="G3" s="1"/>
      <c r="H3" s="1"/>
      <c r="I3" s="1"/>
      <c r="J3" s="1"/>
      <c r="K3" s="1"/>
      <c r="L3" s="1"/>
      <c r="M3" s="1"/>
      <c r="N3" s="1"/>
      <c r="O3" s="87"/>
      <c r="P3" s="87"/>
    </row>
    <row r="4" spans="1:16" x14ac:dyDescent="0.25">
      <c r="A4" s="1"/>
      <c r="B4" s="1"/>
      <c r="C4" s="1"/>
      <c r="D4" s="24" t="s">
        <v>0</v>
      </c>
      <c r="E4" s="114">
        <v>1</v>
      </c>
      <c r="F4" s="115" t="s">
        <v>368</v>
      </c>
      <c r="G4" s="86"/>
      <c r="H4" s="86"/>
      <c r="I4" s="86"/>
      <c r="J4" s="86"/>
      <c r="K4" s="86"/>
      <c r="L4" s="86"/>
      <c r="M4" s="86"/>
      <c r="N4" s="86"/>
      <c r="O4" s="87"/>
      <c r="P4" s="87"/>
    </row>
    <row r="5" spans="1:16" x14ac:dyDescent="0.25">
      <c r="A5" s="1"/>
      <c r="B5" s="1"/>
      <c r="C5" s="26"/>
      <c r="D5" s="26"/>
      <c r="E5" s="116"/>
      <c r="F5" s="115" t="s">
        <v>445</v>
      </c>
      <c r="G5" s="86"/>
      <c r="H5" s="86"/>
      <c r="I5" s="86"/>
      <c r="J5" s="86"/>
      <c r="K5" s="86"/>
      <c r="L5" s="86"/>
      <c r="M5" s="86"/>
      <c r="N5" s="86"/>
      <c r="O5" s="87"/>
      <c r="P5" s="87"/>
    </row>
    <row r="6" spans="1:16" hidden="1" x14ac:dyDescent="0.25">
      <c r="A6" s="1"/>
      <c r="B6" s="1"/>
      <c r="C6" s="26"/>
      <c r="D6" s="26"/>
      <c r="E6" s="116"/>
      <c r="F6" s="166" t="s">
        <v>390</v>
      </c>
      <c r="G6" s="167"/>
      <c r="H6" s="167"/>
      <c r="I6" s="167"/>
      <c r="J6" s="167"/>
      <c r="K6" s="167"/>
      <c r="L6" s="167"/>
      <c r="M6" s="167"/>
      <c r="N6" s="167"/>
      <c r="O6" s="87"/>
      <c r="P6" s="87"/>
    </row>
    <row r="7" spans="1:16" hidden="1" x14ac:dyDescent="0.25">
      <c r="A7" s="1"/>
      <c r="B7" s="1"/>
      <c r="C7" s="26"/>
      <c r="D7" s="26"/>
      <c r="E7" s="116"/>
      <c r="F7" s="166" t="s">
        <v>207</v>
      </c>
      <c r="G7" s="167"/>
      <c r="H7" s="167"/>
      <c r="I7" s="167"/>
      <c r="J7" s="167"/>
      <c r="K7" s="167"/>
      <c r="L7" s="167"/>
      <c r="M7" s="167"/>
      <c r="N7" s="167"/>
      <c r="O7" s="87"/>
      <c r="P7" s="87"/>
    </row>
    <row r="8" spans="1:16" x14ac:dyDescent="0.25">
      <c r="A8" s="1"/>
      <c r="B8" s="1"/>
      <c r="C8" s="26"/>
      <c r="D8" s="26"/>
      <c r="E8" s="114">
        <f>MAX(E$4:E7)+1</f>
        <v>2</v>
      </c>
      <c r="F8" s="115" t="s">
        <v>332</v>
      </c>
      <c r="G8" s="86"/>
      <c r="H8" s="86"/>
      <c r="I8" s="86"/>
      <c r="J8" s="86"/>
      <c r="K8" s="86"/>
      <c r="L8" s="86"/>
      <c r="M8" s="86"/>
      <c r="N8" s="86"/>
      <c r="O8" s="87"/>
      <c r="P8" s="87"/>
    </row>
    <row r="9" spans="1:16" x14ac:dyDescent="0.25">
      <c r="A9" s="1"/>
      <c r="B9" s="1"/>
      <c r="C9" s="26"/>
      <c r="D9" s="26"/>
      <c r="E9" s="114"/>
      <c r="F9" s="115" t="s">
        <v>233</v>
      </c>
      <c r="G9" s="86"/>
      <c r="H9" s="86"/>
      <c r="I9" s="86"/>
      <c r="J9" s="86"/>
      <c r="K9" s="86"/>
      <c r="L9" s="86"/>
      <c r="M9" s="86"/>
      <c r="N9" s="86"/>
      <c r="O9" s="87"/>
      <c r="P9" s="87"/>
    </row>
    <row r="10" spans="1:16" hidden="1" x14ac:dyDescent="0.25">
      <c r="A10" s="1"/>
      <c r="B10" s="1"/>
      <c r="C10" s="26"/>
      <c r="D10" s="26"/>
      <c r="E10" s="114"/>
      <c r="F10" s="166" t="s">
        <v>219</v>
      </c>
      <c r="G10" s="86"/>
      <c r="H10" s="86"/>
      <c r="I10" s="86"/>
      <c r="J10" s="86"/>
      <c r="K10" s="86"/>
      <c r="L10" s="86"/>
      <c r="M10" s="86"/>
      <c r="N10" s="86"/>
      <c r="O10" s="87"/>
      <c r="P10" s="87"/>
    </row>
    <row r="11" spans="1:16" x14ac:dyDescent="0.25">
      <c r="A11" s="1"/>
      <c r="B11" s="1"/>
      <c r="C11" s="1"/>
      <c r="D11" s="1"/>
      <c r="E11" s="114">
        <f>MAX(E$4:E8)+1</f>
        <v>3</v>
      </c>
      <c r="F11" s="115" t="s">
        <v>104</v>
      </c>
      <c r="G11" s="86"/>
      <c r="H11" s="86"/>
      <c r="I11" s="86"/>
      <c r="J11" s="86"/>
      <c r="K11" s="86"/>
      <c r="L11" s="86"/>
      <c r="M11" s="86"/>
      <c r="N11" s="86"/>
      <c r="O11" s="87"/>
      <c r="P11" s="87"/>
    </row>
    <row r="12" spans="1:16" x14ac:dyDescent="0.25">
      <c r="A12" s="1"/>
      <c r="B12" s="1"/>
      <c r="C12" s="1"/>
      <c r="D12" s="1"/>
      <c r="E12" s="117"/>
      <c r="F12" s="115" t="s">
        <v>204</v>
      </c>
      <c r="G12" s="86"/>
      <c r="H12" s="86"/>
      <c r="I12" s="86"/>
      <c r="J12" s="86"/>
      <c r="K12" s="86"/>
      <c r="L12" s="86"/>
      <c r="M12" s="86"/>
      <c r="N12" s="86"/>
      <c r="O12" s="87"/>
      <c r="P12" s="87"/>
    </row>
    <row r="13" spans="1:16" x14ac:dyDescent="0.25">
      <c r="A13" s="1"/>
      <c r="B13" s="1"/>
      <c r="C13" s="1"/>
      <c r="D13" s="1"/>
      <c r="E13" s="117"/>
      <c r="F13" s="115" t="s">
        <v>205</v>
      </c>
      <c r="G13" s="86"/>
      <c r="H13" s="86"/>
      <c r="I13" s="86"/>
      <c r="J13" s="86"/>
      <c r="K13" s="86"/>
      <c r="L13" s="86"/>
      <c r="M13" s="86"/>
      <c r="N13" s="86"/>
      <c r="O13" s="87"/>
      <c r="P13" s="87"/>
    </row>
    <row r="14" spans="1:16" x14ac:dyDescent="0.25">
      <c r="A14" s="1"/>
      <c r="B14" s="1"/>
      <c r="C14" s="1"/>
      <c r="D14" s="1"/>
      <c r="E14" s="114">
        <f>MAX(E$4:E13)+1</f>
        <v>4</v>
      </c>
      <c r="F14" s="115" t="s">
        <v>155</v>
      </c>
      <c r="G14" s="86"/>
      <c r="H14" s="86"/>
      <c r="I14" s="86"/>
      <c r="J14" s="86"/>
      <c r="K14" s="86"/>
      <c r="L14" s="86"/>
      <c r="M14" s="86"/>
      <c r="N14" s="86"/>
      <c r="O14" s="87"/>
      <c r="P14" s="87"/>
    </row>
    <row r="15" spans="1:16" x14ac:dyDescent="0.25">
      <c r="A15" s="1"/>
      <c r="B15" s="1"/>
      <c r="C15" s="1"/>
      <c r="D15" s="1"/>
      <c r="E15" s="117"/>
      <c r="F15" s="115" t="s">
        <v>154</v>
      </c>
      <c r="G15" s="118"/>
      <c r="H15" s="118"/>
      <c r="I15" s="118"/>
      <c r="J15" s="118"/>
      <c r="K15" s="118"/>
      <c r="L15" s="118"/>
      <c r="M15" s="118"/>
      <c r="N15" s="118"/>
      <c r="O15" s="87"/>
      <c r="P15" s="87"/>
    </row>
    <row r="16" spans="1:16" x14ac:dyDescent="0.25">
      <c r="A16" s="1"/>
      <c r="B16" s="1"/>
      <c r="C16" s="1"/>
      <c r="D16" s="1"/>
      <c r="E16" s="117"/>
      <c r="F16" s="115" t="s">
        <v>391</v>
      </c>
      <c r="G16" s="118"/>
      <c r="H16" s="118"/>
      <c r="I16" s="118"/>
      <c r="J16" s="118"/>
      <c r="K16" s="118"/>
      <c r="L16" s="118"/>
      <c r="M16" s="118"/>
      <c r="N16" s="118"/>
      <c r="O16" s="87"/>
      <c r="P16" s="87"/>
    </row>
    <row r="17" spans="1:19" x14ac:dyDescent="0.25">
      <c r="A17" s="1"/>
      <c r="B17" s="1"/>
      <c r="C17" s="1"/>
      <c r="D17" s="1"/>
      <c r="E17" s="119"/>
      <c r="F17" s="115" t="s">
        <v>281</v>
      </c>
      <c r="G17" s="86"/>
      <c r="H17" s="86"/>
      <c r="I17" s="86"/>
      <c r="J17" s="86"/>
      <c r="K17" s="86"/>
      <c r="L17" s="86"/>
      <c r="M17" s="86"/>
      <c r="N17" s="86"/>
      <c r="O17" s="87"/>
      <c r="P17" s="87"/>
    </row>
    <row r="18" spans="1:19" x14ac:dyDescent="0.25">
      <c r="A18" s="1"/>
      <c r="B18" s="1"/>
      <c r="C18" s="1"/>
      <c r="D18" s="1"/>
      <c r="E18" s="28"/>
      <c r="F18" s="26" t="s">
        <v>372</v>
      </c>
      <c r="G18" s="1"/>
      <c r="H18" s="1"/>
      <c r="I18" s="1"/>
      <c r="J18" s="1"/>
      <c r="K18" s="1"/>
      <c r="L18" s="1"/>
      <c r="M18" s="1"/>
      <c r="N18" s="1"/>
      <c r="O18" s="87"/>
      <c r="P18" s="87"/>
      <c r="S18" s="128"/>
    </row>
    <row r="19" spans="1:19" x14ac:dyDescent="0.25">
      <c r="A19" s="1"/>
      <c r="B19" s="1"/>
      <c r="C19" s="1"/>
      <c r="D19" s="1"/>
      <c r="E19" s="114">
        <f>MAX(E$4:E17)+1</f>
        <v>5</v>
      </c>
      <c r="F19" s="154" t="s">
        <v>156</v>
      </c>
      <c r="G19" s="1"/>
      <c r="H19" s="1"/>
      <c r="I19" s="1"/>
      <c r="J19" s="1"/>
      <c r="K19" s="1"/>
      <c r="L19" s="1"/>
      <c r="M19" s="1"/>
      <c r="N19" s="1"/>
      <c r="O19" s="87"/>
      <c r="P19" s="87"/>
    </row>
    <row r="20" spans="1:19" x14ac:dyDescent="0.25">
      <c r="A20" s="1"/>
      <c r="B20" s="1"/>
      <c r="C20" s="1"/>
      <c r="D20" s="1"/>
      <c r="E20" s="28"/>
      <c r="F20" s="26" t="s">
        <v>231</v>
      </c>
      <c r="G20" s="1"/>
      <c r="H20" s="1"/>
      <c r="I20" s="1"/>
      <c r="J20" s="1"/>
      <c r="K20" s="1"/>
      <c r="L20" s="1"/>
      <c r="M20" s="1"/>
      <c r="N20" s="1"/>
      <c r="O20" s="87"/>
      <c r="P20" s="87"/>
    </row>
    <row r="21" spans="1:19" x14ac:dyDescent="0.25">
      <c r="A21" s="1"/>
      <c r="B21" s="1"/>
      <c r="C21" s="1"/>
      <c r="D21" s="1"/>
      <c r="E21" s="28"/>
      <c r="F21" s="26" t="s">
        <v>211</v>
      </c>
      <c r="G21" s="1"/>
      <c r="H21" s="1"/>
      <c r="I21" s="1"/>
      <c r="J21" s="1"/>
      <c r="K21" s="1"/>
      <c r="L21" s="1"/>
      <c r="M21" s="1"/>
      <c r="N21" s="1"/>
      <c r="O21" s="87"/>
      <c r="P21" s="87"/>
    </row>
    <row r="22" spans="1:19" x14ac:dyDescent="0.25">
      <c r="A22" s="1"/>
      <c r="B22" s="1"/>
      <c r="C22" s="1"/>
      <c r="D22" s="1"/>
      <c r="E22" s="109"/>
      <c r="F22" s="26" t="s">
        <v>212</v>
      </c>
      <c r="G22" s="1"/>
      <c r="H22" s="1"/>
      <c r="I22" s="1"/>
      <c r="J22" s="1"/>
      <c r="K22" s="1"/>
      <c r="L22" s="1"/>
      <c r="M22" s="1"/>
      <c r="N22" s="1"/>
      <c r="O22" s="87"/>
      <c r="P22" s="87"/>
    </row>
    <row r="23" spans="1:19" x14ac:dyDescent="0.25">
      <c r="A23" s="1"/>
      <c r="B23" s="1"/>
      <c r="C23" s="1"/>
      <c r="D23" s="1"/>
      <c r="E23" s="25"/>
      <c r="F23" s="26" t="s">
        <v>213</v>
      </c>
      <c r="G23" s="1"/>
      <c r="H23" s="1"/>
      <c r="I23" s="1"/>
      <c r="J23" s="1"/>
      <c r="K23" s="1"/>
      <c r="L23" s="1"/>
      <c r="M23" s="1"/>
      <c r="N23" s="1"/>
      <c r="O23" s="87"/>
      <c r="P23" s="87"/>
      <c r="R23" s="128"/>
    </row>
    <row r="24" spans="1:19" x14ac:dyDescent="0.25">
      <c r="A24" s="1"/>
      <c r="B24" s="1"/>
      <c r="C24" s="1"/>
      <c r="D24" s="1"/>
      <c r="E24" s="114">
        <f>MAX(E$4:E22)+1</f>
        <v>6</v>
      </c>
      <c r="F24" s="26" t="s">
        <v>379</v>
      </c>
      <c r="G24" s="1"/>
      <c r="H24" s="1"/>
      <c r="I24" s="1"/>
      <c r="J24" s="1"/>
      <c r="K24" s="1"/>
      <c r="L24" s="1"/>
      <c r="M24" s="1"/>
      <c r="N24" s="1"/>
      <c r="O24" s="87"/>
      <c r="P24" s="87"/>
      <c r="R24" s="128"/>
    </row>
    <row r="25" spans="1:19" x14ac:dyDescent="0.25">
      <c r="A25" s="1"/>
      <c r="B25" s="1"/>
      <c r="C25" s="1"/>
      <c r="D25" s="1"/>
      <c r="E25" s="25"/>
      <c r="F25" s="26" t="s">
        <v>406</v>
      </c>
      <c r="G25" s="1"/>
      <c r="H25" s="1"/>
      <c r="I25" s="1"/>
      <c r="J25" s="1"/>
      <c r="K25" s="1"/>
      <c r="L25" s="1"/>
      <c r="M25" s="1"/>
      <c r="N25" s="1"/>
      <c r="O25" s="87"/>
      <c r="P25" s="87"/>
      <c r="R25" s="128"/>
    </row>
    <row r="26" spans="1:19" x14ac:dyDescent="0.25">
      <c r="A26" s="1"/>
      <c r="B26" s="1"/>
      <c r="C26" s="1"/>
      <c r="D26" s="1"/>
      <c r="E26" s="25"/>
      <c r="F26" s="26" t="s">
        <v>405</v>
      </c>
      <c r="G26" s="1"/>
      <c r="H26" s="1"/>
      <c r="I26" s="1"/>
      <c r="J26" s="1"/>
      <c r="K26" s="1"/>
      <c r="L26" s="1"/>
      <c r="M26" s="1"/>
      <c r="N26" s="1"/>
      <c r="O26" s="87"/>
      <c r="P26" s="87"/>
      <c r="R26" s="128"/>
    </row>
    <row r="27" spans="1:19" x14ac:dyDescent="0.25">
      <c r="A27" s="1"/>
      <c r="B27" s="1"/>
      <c r="C27" s="1"/>
      <c r="D27" s="1"/>
      <c r="E27" s="114">
        <f>MAX(E$4:E26)+1</f>
        <v>7</v>
      </c>
      <c r="F27" s="26" t="s">
        <v>214</v>
      </c>
      <c r="G27" s="1"/>
      <c r="H27" s="1"/>
      <c r="I27" s="1"/>
      <c r="J27" s="1"/>
      <c r="K27" s="1"/>
      <c r="L27" s="1"/>
      <c r="M27" s="1"/>
      <c r="N27" s="1"/>
      <c r="O27" s="87"/>
      <c r="P27" s="87"/>
    </row>
    <row r="28" spans="1:19" x14ac:dyDescent="0.25">
      <c r="A28" s="1"/>
      <c r="B28" s="1"/>
      <c r="C28" s="1"/>
      <c r="D28" s="1"/>
      <c r="E28" s="25"/>
      <c r="F28" s="26" t="s">
        <v>279</v>
      </c>
      <c r="G28" s="1"/>
      <c r="H28" s="1"/>
      <c r="I28" s="1"/>
      <c r="J28" s="1"/>
      <c r="K28" s="1"/>
      <c r="L28" s="1"/>
      <c r="M28" s="1"/>
      <c r="N28" s="1"/>
      <c r="O28" s="87"/>
      <c r="P28" s="87"/>
    </row>
    <row r="29" spans="1:19" x14ac:dyDescent="0.25">
      <c r="A29" s="1"/>
      <c r="B29" s="1"/>
      <c r="C29" s="1"/>
      <c r="D29" s="1"/>
      <c r="E29" s="86"/>
      <c r="F29" s="26" t="s">
        <v>280</v>
      </c>
      <c r="G29" s="1"/>
      <c r="H29" s="1"/>
      <c r="I29" s="1"/>
      <c r="J29" s="1"/>
      <c r="K29" s="1"/>
      <c r="L29" s="1"/>
      <c r="M29" s="1"/>
      <c r="N29" s="1"/>
      <c r="O29" s="87"/>
      <c r="P29" s="87"/>
    </row>
    <row r="30" spans="1:19" x14ac:dyDescent="0.25">
      <c r="A30" s="1"/>
      <c r="B30" s="1"/>
      <c r="C30" s="1"/>
      <c r="D30" s="1"/>
      <c r="E30" s="86"/>
      <c r="F30" s="26" t="s">
        <v>369</v>
      </c>
      <c r="G30" s="1"/>
      <c r="H30" s="1"/>
      <c r="I30" s="1"/>
      <c r="J30" s="1"/>
      <c r="K30" s="1"/>
      <c r="L30" s="1"/>
      <c r="M30" s="1"/>
      <c r="N30" s="1"/>
      <c r="O30" s="87"/>
      <c r="P30" s="87"/>
    </row>
    <row r="31" spans="1:19" x14ac:dyDescent="0.25">
      <c r="A31" s="1"/>
      <c r="B31" s="1"/>
      <c r="C31" s="1"/>
      <c r="D31" s="1"/>
      <c r="E31" s="25"/>
      <c r="F31" s="86"/>
      <c r="G31" s="1"/>
      <c r="H31" s="1"/>
      <c r="I31" s="1"/>
      <c r="J31" s="1"/>
      <c r="K31" s="1"/>
      <c r="L31" s="1"/>
      <c r="M31" s="1"/>
      <c r="N31" s="1"/>
      <c r="O31" s="87"/>
      <c r="P31" s="87"/>
    </row>
    <row r="32" spans="1:19" x14ac:dyDescent="0.25">
      <c r="A32" s="1"/>
      <c r="B32" s="1"/>
      <c r="C32" s="29" t="s">
        <v>14</v>
      </c>
      <c r="D32" s="1"/>
      <c r="E32" s="25"/>
      <c r="F32" s="1"/>
      <c r="G32" s="1"/>
      <c r="H32" s="1"/>
      <c r="I32" s="1"/>
      <c r="J32" s="1"/>
      <c r="K32" s="1"/>
      <c r="L32" s="1"/>
      <c r="M32" s="1"/>
      <c r="N32" s="1"/>
      <c r="O32" s="87"/>
      <c r="P32" s="87"/>
    </row>
    <row r="33" spans="1:26" x14ac:dyDescent="0.25">
      <c r="A33" s="1"/>
      <c r="B33" s="1"/>
      <c r="C33" s="29" t="s">
        <v>15</v>
      </c>
      <c r="D33" s="1"/>
      <c r="E33" s="25"/>
      <c r="F33" s="26"/>
      <c r="G33" s="1"/>
      <c r="H33" s="1"/>
      <c r="I33" s="1"/>
      <c r="J33" s="1"/>
      <c r="K33" s="1"/>
      <c r="L33" s="1"/>
      <c r="M33" s="1"/>
      <c r="N33" s="1"/>
      <c r="O33" s="87"/>
      <c r="P33" s="87"/>
    </row>
    <row r="34" spans="1:26" x14ac:dyDescent="0.25">
      <c r="A34" s="1"/>
      <c r="B34" s="30"/>
      <c r="C34" s="86"/>
      <c r="D34" s="1"/>
      <c r="E34" s="1"/>
      <c r="F34" s="1"/>
      <c r="G34" s="1"/>
      <c r="H34" s="1"/>
      <c r="I34" s="1"/>
      <c r="J34" s="1"/>
      <c r="K34" s="1"/>
      <c r="L34" s="1"/>
      <c r="M34" s="1"/>
      <c r="N34" s="1"/>
      <c r="O34" s="87"/>
      <c r="P34" s="87"/>
    </row>
    <row r="35" spans="1:26" x14ac:dyDescent="0.25">
      <c r="A35" s="1"/>
      <c r="B35" s="30"/>
      <c r="C35" s="86"/>
      <c r="D35" s="1"/>
      <c r="E35" s="1"/>
      <c r="G35" s="1"/>
      <c r="I35" s="46" t="s">
        <v>115</v>
      </c>
      <c r="J35" s="1"/>
      <c r="K35" s="365" t="s">
        <v>118</v>
      </c>
      <c r="L35" s="365"/>
      <c r="M35" s="365"/>
      <c r="N35" s="365"/>
      <c r="O35" s="87"/>
      <c r="P35" s="125" t="str">
        <f>IF(K35=F500,"**","")</f>
        <v/>
      </c>
      <c r="R35" s="126" t="s">
        <v>158</v>
      </c>
      <c r="S35" s="88" t="s">
        <v>159</v>
      </c>
    </row>
    <row r="36" spans="1:26" x14ac:dyDescent="0.25">
      <c r="A36" s="1"/>
      <c r="B36" s="30"/>
      <c r="C36" s="86"/>
      <c r="D36" s="1"/>
      <c r="E36" s="1"/>
      <c r="G36" s="1"/>
      <c r="I36" s="127" t="s">
        <v>196</v>
      </c>
      <c r="J36" s="1"/>
      <c r="K36" s="291" t="s">
        <v>197</v>
      </c>
      <c r="L36" s="302"/>
      <c r="M36" s="302"/>
      <c r="N36" s="282"/>
      <c r="O36" s="87"/>
      <c r="P36" s="125" t="str">
        <f>IF(N(K36)=0,"**","")</f>
        <v>**</v>
      </c>
    </row>
    <row r="37" spans="1:26" ht="15" customHeight="1" x14ac:dyDescent="0.25">
      <c r="A37" s="1"/>
      <c r="B37" s="30"/>
      <c r="C37" s="86"/>
      <c r="D37" s="1"/>
      <c r="E37" s="1"/>
      <c r="F37" s="1"/>
      <c r="G37" s="380" t="str">
        <f>IF(SUM(I42:I198)+SUM(L42:L198)&gt;0,"The "&amp;TEXT(SUM(I42:I198)+SUM(L42:L198),"0")&amp;" highlighted cell"&amp;IF(SUM(I42:I198)+SUM(L42:L198)&gt;1,"s","")&amp;" should be corrected to have a whole number","")</f>
        <v/>
      </c>
      <c r="H37" s="380"/>
      <c r="I37" s="380"/>
      <c r="J37" s="380"/>
      <c r="K37" s="380"/>
      <c r="L37" s="380"/>
      <c r="M37" s="380"/>
      <c r="N37" s="380"/>
      <c r="Q37" s="355" t="s">
        <v>228</v>
      </c>
      <c r="R37" s="356"/>
      <c r="S37" s="356"/>
      <c r="T37" s="356"/>
      <c r="U37" s="356"/>
      <c r="V37" s="356"/>
      <c r="W37" s="356"/>
      <c r="X37" s="356"/>
      <c r="Y37" s="356"/>
      <c r="Z37" s="357"/>
    </row>
    <row r="38" spans="1:26" ht="12.75" customHeight="1" x14ac:dyDescent="0.25">
      <c r="A38" s="1"/>
      <c r="B38" s="1"/>
      <c r="C38" s="1"/>
      <c r="D38" s="1"/>
      <c r="E38" s="1"/>
      <c r="F38" s="1"/>
      <c r="G38" s="1"/>
      <c r="H38" s="161">
        <v>1</v>
      </c>
      <c r="I38" s="1"/>
      <c r="J38" s="1"/>
      <c r="K38" s="161">
        <v>2</v>
      </c>
      <c r="L38" s="1"/>
      <c r="M38" s="32"/>
      <c r="N38" s="108">
        <v>3</v>
      </c>
      <c r="O38" s="87"/>
      <c r="P38" s="87"/>
      <c r="Q38" s="358"/>
      <c r="R38" s="359"/>
      <c r="S38" s="359"/>
      <c r="T38" s="359"/>
      <c r="U38" s="359"/>
      <c r="V38" s="359"/>
      <c r="W38" s="359"/>
      <c r="X38" s="359"/>
      <c r="Y38" s="359"/>
      <c r="Z38" s="360"/>
    </row>
    <row r="39" spans="1:26" ht="23.7" customHeight="1" thickBot="1" x14ac:dyDescent="0.3">
      <c r="A39" s="1"/>
      <c r="B39" s="1"/>
      <c r="C39" s="1"/>
      <c r="D39" s="1"/>
      <c r="E39" s="1"/>
      <c r="F39" s="1"/>
      <c r="G39" s="1"/>
      <c r="H39" s="217" t="s">
        <v>370</v>
      </c>
      <c r="I39" s="218"/>
      <c r="J39" s="218"/>
      <c r="K39" s="219" t="s">
        <v>108</v>
      </c>
      <c r="L39" s="219"/>
      <c r="M39" s="219"/>
      <c r="N39" s="219" t="s">
        <v>109</v>
      </c>
      <c r="O39" s="87"/>
      <c r="P39" s="87"/>
      <c r="Q39" s="361"/>
      <c r="R39" s="362"/>
      <c r="S39" s="362"/>
      <c r="T39" s="362"/>
      <c r="U39" s="362"/>
      <c r="V39" s="362"/>
      <c r="W39" s="362"/>
      <c r="X39" s="362"/>
      <c r="Y39" s="362"/>
      <c r="Z39" s="363"/>
    </row>
    <row r="40" spans="1:26" x14ac:dyDescent="0.25">
      <c r="A40" s="1"/>
      <c r="B40" s="23" t="s">
        <v>82</v>
      </c>
      <c r="C40" s="1"/>
      <c r="D40" s="1"/>
      <c r="E40" s="1"/>
      <c r="F40" s="1"/>
      <c r="G40" s="1"/>
      <c r="H40" s="1"/>
      <c r="I40" s="1"/>
      <c r="J40" s="1"/>
      <c r="K40" s="66"/>
      <c r="L40" s="66"/>
      <c r="M40" s="66"/>
      <c r="N40" s="66"/>
      <c r="O40" s="87"/>
      <c r="P40" s="87"/>
    </row>
    <row r="41" spans="1:26" x14ac:dyDescent="0.25">
      <c r="A41" s="1"/>
      <c r="B41" s="36"/>
      <c r="C41" s="37" t="s">
        <v>17</v>
      </c>
      <c r="D41" s="1"/>
      <c r="E41" s="1"/>
      <c r="F41" s="1"/>
      <c r="G41" s="1"/>
      <c r="H41" s="1"/>
      <c r="I41" s="1"/>
      <c r="J41" s="1"/>
      <c r="K41" s="66"/>
      <c r="L41" s="66"/>
      <c r="M41" s="66"/>
      <c r="N41" s="66"/>
      <c r="O41" s="87"/>
      <c r="P41" s="87"/>
      <c r="Q41" s="145"/>
    </row>
    <row r="42" spans="1:26" x14ac:dyDescent="0.25">
      <c r="A42" s="1"/>
      <c r="B42" s="36"/>
      <c r="C42" s="86"/>
      <c r="D42" s="38" t="s">
        <v>2</v>
      </c>
      <c r="E42" s="1"/>
      <c r="F42" s="1"/>
      <c r="G42" s="1"/>
      <c r="H42" s="82"/>
      <c r="I42" s="234" t="str">
        <f>IF(N(H42)&lt;&gt;ROUNDDOWN(N(H42),0),1,"")</f>
        <v/>
      </c>
      <c r="J42" s="8"/>
      <c r="K42" s="83"/>
      <c r="L42" s="234" t="str">
        <f>IF(N(K42)&lt;&gt;ROUNDDOWN(N(K42),0),1,"")</f>
        <v/>
      </c>
      <c r="M42" s="13"/>
      <c r="N42" s="67" t="str">
        <f ca="1">IF(AND(CELL("type",H42)="v",CELL("type",K42)="v")=TRUE,IF(H42+K42=0,"",H42+K42),IF(AND(CELL("type",H42)="v",CELL("type",K42)&lt;&gt;"v")=TRUE,H42,IF(AND(CELL("type",H42)&lt;&gt;"v",CELL("type",K42)="v")=TRUE,K42,"")))</f>
        <v/>
      </c>
      <c r="O42" s="87"/>
      <c r="P42" s="87"/>
    </row>
    <row r="43" spans="1:26" x14ac:dyDescent="0.25">
      <c r="B43" s="86"/>
      <c r="C43" s="86"/>
      <c r="D43" s="89"/>
      <c r="E43" s="86"/>
      <c r="F43" s="86"/>
      <c r="G43" s="86"/>
      <c r="H43" s="7"/>
      <c r="I43" s="234"/>
      <c r="J43" s="7"/>
      <c r="K43" s="13"/>
      <c r="L43" s="234"/>
      <c r="M43" s="90"/>
      <c r="N43" s="90"/>
      <c r="O43" s="87"/>
      <c r="P43" s="87"/>
    </row>
    <row r="44" spans="1:26" x14ac:dyDescent="0.25">
      <c r="A44" s="1"/>
      <c r="B44" s="36"/>
      <c r="C44" s="86"/>
      <c r="D44" s="38" t="s">
        <v>3</v>
      </c>
      <c r="E44" s="1"/>
      <c r="F44" s="1"/>
      <c r="G44" s="1"/>
      <c r="H44" s="82"/>
      <c r="I44" s="234" t="str">
        <f>IF(N(H44)&lt;&gt;ROUNDDOWN(N(H44),0),1,"")</f>
        <v/>
      </c>
      <c r="J44" s="8"/>
      <c r="K44" s="83"/>
      <c r="L44" s="234" t="str">
        <f>IF(N(K44)&lt;&gt;ROUNDDOWN(N(K44),0),1,"")</f>
        <v/>
      </c>
      <c r="M44" s="13"/>
      <c r="N44" s="67" t="str">
        <f ca="1">IF(AND(CELL("type",H44)="v",CELL("type",K44)="v")=TRUE,IF(H44+K44=0,"",H44+K44),IF(AND(CELL("type",H44)="v",CELL("type",K44)&lt;&gt;"v")=TRUE,H44,IF(AND(CELL("type",H44)&lt;&gt;"v",CELL("type",K44)="v")=TRUE,K44,"")))</f>
        <v/>
      </c>
      <c r="O44" s="87"/>
      <c r="P44" s="87"/>
      <c r="Q44" s="364" t="s">
        <v>335</v>
      </c>
      <c r="R44" s="364"/>
      <c r="S44" s="364"/>
      <c r="T44" s="364"/>
      <c r="U44" s="364"/>
      <c r="V44" s="364"/>
      <c r="W44" s="364"/>
      <c r="X44" s="364"/>
      <c r="Y44" s="364"/>
      <c r="Z44" s="364"/>
    </row>
    <row r="45" spans="1:26" x14ac:dyDescent="0.25">
      <c r="B45" s="36"/>
      <c r="C45" s="86"/>
      <c r="D45" s="89"/>
      <c r="E45" s="86"/>
      <c r="F45" s="86"/>
      <c r="G45" s="86"/>
      <c r="H45" s="7"/>
      <c r="I45" s="234"/>
      <c r="J45" s="7"/>
      <c r="K45" s="13"/>
      <c r="L45" s="234"/>
      <c r="M45" s="90"/>
      <c r="N45" s="90"/>
      <c r="O45" s="87"/>
      <c r="P45" s="87"/>
      <c r="Q45" s="364"/>
      <c r="R45" s="364"/>
      <c r="S45" s="364"/>
      <c r="T45" s="364"/>
      <c r="U45" s="364"/>
      <c r="V45" s="364"/>
      <c r="W45" s="364"/>
      <c r="X45" s="364"/>
      <c r="Y45" s="364"/>
      <c r="Z45" s="364"/>
    </row>
    <row r="46" spans="1:26" ht="13.8" x14ac:dyDescent="0.25">
      <c r="B46" s="36"/>
      <c r="C46" s="86"/>
      <c r="D46" s="38" t="s">
        <v>380</v>
      </c>
      <c r="E46" s="89"/>
      <c r="F46" s="89"/>
      <c r="G46" s="89"/>
      <c r="H46" s="235"/>
      <c r="I46" s="245" t="str">
        <f>IF(N(H46)&lt;&gt;ROUNDDOWN(N(H46),0),1,"")</f>
        <v/>
      </c>
      <c r="J46" s="14"/>
      <c r="K46" s="83"/>
      <c r="L46" s="245" t="str">
        <f>IF(N(K46)&lt;&gt;ROUNDDOWN(N(K46),0),1,"")</f>
        <v/>
      </c>
      <c r="M46" s="13"/>
      <c r="N46" s="67" t="str">
        <f ca="1">IF(AND(CELL("type",H46)="v",CELL("type",K46)="v")=TRUE,IF(H46+K46=0,"",H46+K46),IF(AND(CELL("type",H46)="v",CELL("type",K46)&lt;&gt;"v")=TRUE,H46,IF(AND(CELL("type",H46)&lt;&gt;"v",CELL("type",K46)="v")=TRUE,K46,"")))</f>
        <v/>
      </c>
      <c r="O46" s="87"/>
      <c r="P46" s="87"/>
      <c r="Q46" s="364" t="s">
        <v>375</v>
      </c>
      <c r="R46" s="364"/>
      <c r="S46" s="364"/>
      <c r="T46" s="364"/>
      <c r="U46" s="364"/>
      <c r="V46" s="364"/>
      <c r="W46" s="364"/>
      <c r="X46" s="364"/>
      <c r="Y46" s="364"/>
      <c r="Z46" s="364"/>
    </row>
    <row r="47" spans="1:26" x14ac:dyDescent="0.25">
      <c r="B47" s="36"/>
      <c r="C47" s="86"/>
      <c r="D47" s="89"/>
      <c r="E47" s="86"/>
      <c r="F47" s="86"/>
      <c r="G47" s="86"/>
      <c r="H47" s="7"/>
      <c r="I47" s="234"/>
      <c r="J47" s="7"/>
      <c r="K47" s="13"/>
      <c r="L47" s="234"/>
      <c r="M47" s="90"/>
      <c r="N47" s="90"/>
      <c r="O47" s="87"/>
      <c r="P47" s="87"/>
      <c r="Q47" s="364"/>
      <c r="R47" s="364"/>
      <c r="S47" s="364"/>
      <c r="T47" s="364"/>
      <c r="U47" s="364"/>
      <c r="V47" s="364"/>
      <c r="W47" s="364"/>
      <c r="X47" s="364"/>
      <c r="Y47" s="364"/>
      <c r="Z47" s="364"/>
    </row>
    <row r="48" spans="1:26" x14ac:dyDescent="0.25">
      <c r="A48" s="1"/>
      <c r="B48" s="36"/>
      <c r="C48" s="86"/>
      <c r="D48" s="38" t="s">
        <v>4</v>
      </c>
      <c r="E48" s="1"/>
      <c r="F48" s="1"/>
      <c r="G48" s="1"/>
      <c r="H48" s="82"/>
      <c r="I48" s="234" t="str">
        <f>IF(N(H48)&lt;&gt;ROUNDDOWN(N(H48),0),1,"")</f>
        <v/>
      </c>
      <c r="J48" s="8"/>
      <c r="K48" s="83"/>
      <c r="L48" s="234" t="str">
        <f>IF(N(K48)&lt;&gt;ROUNDDOWN(N(K48),0),1,"")</f>
        <v/>
      </c>
      <c r="M48" s="13"/>
      <c r="N48" s="67" t="str">
        <f ca="1">IF(AND(CELL("type",H48)="v",CELL("type",K48)="v")=TRUE,IF(H48+K48=0,"",H48+K48),IF(AND(CELL("type",H48)="v",CELL("type",K48)&lt;&gt;"v")=TRUE,H48,IF(AND(CELL("type",H48)&lt;&gt;"v",CELL("type",K48)="v")=TRUE,K48,"")))</f>
        <v/>
      </c>
      <c r="O48" s="87"/>
      <c r="P48" s="87"/>
    </row>
    <row r="49" spans="1:26" x14ac:dyDescent="0.25">
      <c r="B49" s="36"/>
      <c r="C49" s="86"/>
      <c r="D49" s="89"/>
      <c r="E49" s="86"/>
      <c r="F49" s="86"/>
      <c r="G49" s="86"/>
      <c r="H49" s="7"/>
      <c r="I49" s="234"/>
      <c r="J49" s="7"/>
      <c r="K49" s="13"/>
      <c r="L49" s="234"/>
      <c r="M49" s="90"/>
      <c r="N49" s="90"/>
      <c r="O49" s="87"/>
      <c r="P49" s="87"/>
    </row>
    <row r="50" spans="1:26" ht="12.75" customHeight="1" x14ac:dyDescent="0.25">
      <c r="A50" s="1"/>
      <c r="B50" s="36"/>
      <c r="C50" s="86"/>
      <c r="D50" s="39" t="s">
        <v>11</v>
      </c>
      <c r="E50" s="1"/>
      <c r="F50" s="1"/>
      <c r="G50" s="1"/>
      <c r="H50" s="82"/>
      <c r="I50" s="234" t="str">
        <f>IF(N(H50)&lt;&gt;ROUNDDOWN(N(H50),0),1,"")</f>
        <v/>
      </c>
      <c r="J50" s="8"/>
      <c r="K50" s="83"/>
      <c r="L50" s="234" t="str">
        <f>IF(N(K50)&lt;&gt;ROUNDDOWN(N(K50),0),1,"")</f>
        <v/>
      </c>
      <c r="M50" s="13"/>
      <c r="N50" s="67" t="str">
        <f ca="1">IF(AND(CELL("type",H50)="v",CELL("type",K50)="v")=TRUE,IF(H50+K50=0,"",H50+K50),IF(AND(CELL("type",H50)="v",CELL("type",K50)&lt;&gt;"v")=TRUE,H50,IF(AND(CELL("type",H50)&lt;&gt;"v",CELL("type",K50)="v")=TRUE,K50,"")))</f>
        <v/>
      </c>
      <c r="O50" s="87"/>
      <c r="P50" s="87"/>
      <c r="Q50" s="128"/>
      <c r="R50" s="128"/>
      <c r="S50" s="128"/>
      <c r="T50" s="128"/>
      <c r="U50" s="128"/>
      <c r="V50" s="128"/>
      <c r="W50" s="128"/>
      <c r="X50" s="128"/>
      <c r="Y50" s="128"/>
      <c r="Z50" s="128"/>
    </row>
    <row r="51" spans="1:26" x14ac:dyDescent="0.25">
      <c r="B51" s="36"/>
      <c r="C51" s="86"/>
      <c r="D51" s="89"/>
      <c r="E51" s="86"/>
      <c r="F51" s="86"/>
      <c r="G51" s="86"/>
      <c r="H51" s="7"/>
      <c r="I51" s="234"/>
      <c r="J51" s="7"/>
      <c r="K51" s="13"/>
      <c r="L51" s="234"/>
      <c r="M51" s="90"/>
      <c r="N51" s="90"/>
      <c r="O51" s="87"/>
      <c r="P51" s="87"/>
      <c r="Q51" s="128"/>
      <c r="R51" s="128"/>
      <c r="S51" s="128"/>
      <c r="T51" s="128"/>
      <c r="U51" s="128"/>
      <c r="V51" s="128"/>
      <c r="W51" s="128"/>
      <c r="X51" s="128"/>
      <c r="Y51" s="128"/>
      <c r="Z51" s="128"/>
    </row>
    <row r="52" spans="1:26" x14ac:dyDescent="0.25">
      <c r="A52" s="1"/>
      <c r="B52" s="36"/>
      <c r="C52" s="86"/>
      <c r="D52" s="38" t="s">
        <v>5</v>
      </c>
      <c r="E52" s="1"/>
      <c r="F52" s="1"/>
      <c r="G52" s="1"/>
      <c r="H52" s="82"/>
      <c r="I52" s="234" t="str">
        <f>IF(N(H52)&lt;&gt;ROUNDDOWN(N(H52),0),1,"")</f>
        <v/>
      </c>
      <c r="J52" s="8"/>
      <c r="K52" s="83"/>
      <c r="L52" s="234" t="str">
        <f>IF(N(K52)&lt;&gt;ROUNDDOWN(N(K52),0),1,"")</f>
        <v/>
      </c>
      <c r="M52" s="13"/>
      <c r="N52" s="67" t="str">
        <f ca="1">IF(AND(CELL("type",H52)="v",CELL("type",K52)="v")=TRUE,IF(H52+K52=0,"",H52+K52),IF(AND(CELL("type",H52)="v",CELL("type",K52)&lt;&gt;"v")=TRUE,H52,IF(AND(CELL("type",H52)&lt;&gt;"v",CELL("type",K52)="v")=TRUE,K52,"")))</f>
        <v/>
      </c>
      <c r="O52" s="87"/>
      <c r="P52" s="87"/>
      <c r="Q52" s="128"/>
      <c r="R52" s="128"/>
      <c r="S52" s="128"/>
      <c r="T52" s="128"/>
      <c r="U52" s="128"/>
      <c r="V52" s="128"/>
      <c r="W52" s="128"/>
      <c r="X52" s="128"/>
      <c r="Y52" s="128"/>
      <c r="Z52" s="128"/>
    </row>
    <row r="53" spans="1:26" x14ac:dyDescent="0.25">
      <c r="B53" s="36"/>
      <c r="C53" s="86"/>
      <c r="D53" s="89"/>
      <c r="E53" s="86"/>
      <c r="F53" s="86"/>
      <c r="G53" s="86"/>
      <c r="H53" s="7"/>
      <c r="I53" s="234"/>
      <c r="J53" s="7"/>
      <c r="K53" s="13"/>
      <c r="L53" s="234"/>
      <c r="M53" s="90"/>
      <c r="N53" s="90"/>
      <c r="O53" s="87"/>
      <c r="P53" s="87"/>
      <c r="Q53" s="128"/>
      <c r="R53" s="128"/>
      <c r="S53" s="128"/>
      <c r="T53" s="128"/>
      <c r="U53" s="128"/>
      <c r="V53" s="128"/>
      <c r="W53" s="128"/>
      <c r="X53" s="128"/>
      <c r="Y53" s="128"/>
      <c r="Z53" s="128"/>
    </row>
    <row r="54" spans="1:26" x14ac:dyDescent="0.25">
      <c r="A54" s="1"/>
      <c r="B54" s="36"/>
      <c r="C54" s="86"/>
      <c r="D54" s="38" t="s">
        <v>6</v>
      </c>
      <c r="E54" s="1"/>
      <c r="F54" s="1"/>
      <c r="G54" s="1"/>
      <c r="H54" s="82"/>
      <c r="I54" s="234" t="str">
        <f>IF(N(H54)&lt;&gt;ROUNDDOWN(N(H54),0),1,"")</f>
        <v/>
      </c>
      <c r="J54" s="8"/>
      <c r="K54" s="83"/>
      <c r="L54" s="234" t="str">
        <f>IF(N(K54)&lt;&gt;ROUNDDOWN(N(K54),0),1,"")</f>
        <v/>
      </c>
      <c r="M54" s="13"/>
      <c r="N54" s="67" t="str">
        <f ca="1">IF(AND(CELL("type",H54)="v",CELL("type",K54)="v")=TRUE,IF(H54+K54=0,"",H54+K54),IF(AND(CELL("type",H54)="v",CELL("type",K54)&lt;&gt;"v")=TRUE,H54,IF(AND(CELL("type",H54)&lt;&gt;"v",CELL("type",K54)="v")=TRUE,K54,"")))</f>
        <v/>
      </c>
      <c r="O54" s="87"/>
      <c r="P54" s="87"/>
    </row>
    <row r="55" spans="1:26" x14ac:dyDescent="0.25">
      <c r="B55" s="36"/>
      <c r="C55" s="86"/>
      <c r="D55" s="89"/>
      <c r="E55" s="86"/>
      <c r="F55" s="86"/>
      <c r="G55" s="86"/>
      <c r="H55" s="7"/>
      <c r="I55" s="234"/>
      <c r="J55" s="7"/>
      <c r="K55" s="13"/>
      <c r="L55" s="234"/>
      <c r="M55" s="90"/>
      <c r="N55" s="90"/>
      <c r="O55" s="87"/>
      <c r="P55" s="87"/>
    </row>
    <row r="56" spans="1:26" x14ac:dyDescent="0.25">
      <c r="A56" s="1"/>
      <c r="B56" s="36"/>
      <c r="C56" s="86"/>
      <c r="D56" s="38" t="s">
        <v>7</v>
      </c>
      <c r="E56" s="1"/>
      <c r="F56" s="1"/>
      <c r="G56" s="1"/>
      <c r="H56" s="82"/>
      <c r="I56" s="234" t="str">
        <f>IF(N(H56)&lt;&gt;ROUNDDOWN(N(H56),0),1,"")</f>
        <v/>
      </c>
      <c r="J56" s="8"/>
      <c r="K56" s="83"/>
      <c r="L56" s="234" t="str">
        <f>IF(N(K56)&lt;&gt;ROUNDDOWN(N(K56),0),1,"")</f>
        <v/>
      </c>
      <c r="M56" s="13"/>
      <c r="N56" s="67" t="str">
        <f ca="1">IF(AND(CELL("type",H56)="v",CELL("type",K56)="v")=TRUE,IF(H56+K56=0,"",H56+K56),IF(AND(CELL("type",H56)="v",CELL("type",K56)&lt;&gt;"v")=TRUE,H56,IF(AND(CELL("type",H56)&lt;&gt;"v",CELL("type",K56)="v")=TRUE,K56,"")))</f>
        <v/>
      </c>
      <c r="O56" s="87"/>
      <c r="P56" s="87"/>
    </row>
    <row r="57" spans="1:26" x14ac:dyDescent="0.25">
      <c r="B57" s="36"/>
      <c r="C57" s="86"/>
      <c r="D57" s="89"/>
      <c r="E57" s="86"/>
      <c r="F57" s="86"/>
      <c r="G57" s="86"/>
      <c r="H57" s="7"/>
      <c r="I57" s="234"/>
      <c r="J57" s="7"/>
      <c r="K57" s="13"/>
      <c r="L57" s="234"/>
      <c r="M57" s="90"/>
      <c r="N57" s="90"/>
      <c r="O57" s="87"/>
      <c r="P57" s="87"/>
    </row>
    <row r="58" spans="1:26" x14ac:dyDescent="0.25">
      <c r="B58" s="36"/>
      <c r="C58" s="86"/>
      <c r="D58" s="95" t="s">
        <v>10</v>
      </c>
      <c r="E58" s="86"/>
      <c r="F58" s="86"/>
      <c r="G58" s="86"/>
      <c r="H58" s="82"/>
      <c r="I58" s="234" t="str">
        <f>IF(N(H58)&lt;&gt;ROUNDDOWN(N(H58),0),1,"")</f>
        <v/>
      </c>
      <c r="J58" s="8"/>
      <c r="K58" s="83"/>
      <c r="L58" s="234" t="str">
        <f>IF(N(K58)&lt;&gt;ROUNDDOWN(N(K58),0),1,"")</f>
        <v/>
      </c>
      <c r="M58" s="13"/>
      <c r="N58" s="67" t="str">
        <f ca="1">IF(AND(CELL("type",H58)="v",CELL("type",K58)="v")=TRUE,IF(H58+K58=0,"",H58+K58),IF(AND(CELL("type",H58)="v",CELL("type",K58)&lt;&gt;"v")=TRUE,H58,IF(AND(CELL("type",H58)&lt;&gt;"v",CELL("type",K58)="v")=TRUE,K58,"")))</f>
        <v/>
      </c>
      <c r="O58" s="87"/>
      <c r="P58" s="87"/>
      <c r="Q58" s="334" t="s">
        <v>382</v>
      </c>
      <c r="R58" s="334"/>
      <c r="S58" s="334"/>
      <c r="T58" s="334"/>
      <c r="U58" s="334"/>
      <c r="V58" s="334"/>
      <c r="W58" s="334"/>
      <c r="X58" s="334"/>
      <c r="Y58" s="334"/>
      <c r="Z58" s="334"/>
    </row>
    <row r="59" spans="1:26" x14ac:dyDescent="0.25">
      <c r="B59" s="36"/>
      <c r="C59" s="86"/>
      <c r="D59" s="89"/>
      <c r="E59" s="86"/>
      <c r="F59" s="86"/>
      <c r="G59" s="86"/>
      <c r="H59" s="7"/>
      <c r="I59" s="234"/>
      <c r="J59" s="7"/>
      <c r="K59" s="13"/>
      <c r="L59" s="234"/>
      <c r="M59" s="90"/>
      <c r="N59" s="90"/>
      <c r="O59" s="87"/>
      <c r="P59" s="87"/>
      <c r="Q59" s="332"/>
      <c r="R59" s="332"/>
      <c r="S59" s="332"/>
      <c r="T59" s="332"/>
      <c r="U59" s="332"/>
      <c r="V59" s="332"/>
      <c r="W59" s="332"/>
      <c r="X59" s="332"/>
      <c r="Y59" s="332"/>
      <c r="Z59" s="332"/>
    </row>
    <row r="60" spans="1:26" ht="12.75" customHeight="1" x14ac:dyDescent="0.25">
      <c r="A60" s="1"/>
      <c r="B60" s="36"/>
      <c r="C60" s="86"/>
      <c r="D60" s="39" t="s">
        <v>8</v>
      </c>
      <c r="E60" s="1"/>
      <c r="F60" s="1"/>
      <c r="G60" s="1"/>
      <c r="H60" s="83"/>
      <c r="I60" s="234" t="str">
        <f>IF(N(H60)&lt;&gt;ROUNDDOWN(N(H60),0),1,"")</f>
        <v/>
      </c>
      <c r="J60" s="8"/>
      <c r="K60" s="83"/>
      <c r="L60" s="234" t="str">
        <f>IF(N(K60)&lt;&gt;ROUNDDOWN(N(K60),0),1,"")</f>
        <v/>
      </c>
      <c r="M60" s="13"/>
      <c r="N60" s="67" t="str">
        <f ca="1">IF(AND(CELL("type",H60)="v",CELL("type",K60)="v")=TRUE,IF(H60+K60=0,"",H60+K60),IF(AND(CELL("type",H60)="v",CELL("type",K60)&lt;&gt;"v")=TRUE,H60,IF(AND(CELL("type",H60)&lt;&gt;"v",CELL("type",K60)="v")=TRUE,K60,"")))</f>
        <v/>
      </c>
      <c r="O60" s="87"/>
      <c r="P60" s="87"/>
      <c r="Q60" s="334" t="s">
        <v>383</v>
      </c>
      <c r="R60" s="334"/>
      <c r="S60" s="334"/>
      <c r="T60" s="334"/>
      <c r="U60" s="334"/>
      <c r="V60" s="334"/>
      <c r="W60" s="334"/>
      <c r="X60" s="334"/>
      <c r="Y60" s="334"/>
      <c r="Z60" s="334"/>
    </row>
    <row r="61" spans="1:26" x14ac:dyDescent="0.25">
      <c r="B61" s="36"/>
      <c r="C61" s="86"/>
      <c r="D61" s="86"/>
      <c r="E61" s="86"/>
      <c r="F61" s="86"/>
      <c r="G61" s="86"/>
      <c r="H61" s="13"/>
      <c r="I61" s="234"/>
      <c r="J61" s="7"/>
      <c r="K61" s="13"/>
      <c r="L61" s="234"/>
      <c r="M61" s="90"/>
      <c r="N61" s="90"/>
      <c r="O61" s="87"/>
      <c r="P61" s="87"/>
      <c r="Q61" s="334"/>
      <c r="R61" s="334"/>
      <c r="S61" s="334"/>
      <c r="T61" s="334"/>
      <c r="U61" s="334"/>
      <c r="V61" s="334"/>
      <c r="W61" s="334"/>
      <c r="X61" s="334"/>
      <c r="Y61" s="334"/>
      <c r="Z61" s="334"/>
    </row>
    <row r="62" spans="1:26" x14ac:dyDescent="0.25">
      <c r="A62" s="1"/>
      <c r="B62" s="40" t="s">
        <v>12</v>
      </c>
      <c r="C62" s="41" t="s">
        <v>1</v>
      </c>
      <c r="D62" s="1"/>
      <c r="E62" s="1"/>
      <c r="F62" s="1"/>
      <c r="G62" s="40" t="s">
        <v>9</v>
      </c>
      <c r="H62" s="67" t="str">
        <f>IF(SUM(H42:H61)=0,"",SUM(H42:H61))</f>
        <v/>
      </c>
      <c r="I62" s="234"/>
      <c r="J62" s="10" t="s">
        <v>9</v>
      </c>
      <c r="K62" s="67" t="str">
        <f>IF(SUM(K42:K61)=0,"",SUM(K42:K61))</f>
        <v/>
      </c>
      <c r="L62" s="234"/>
      <c r="M62" s="68" t="s">
        <v>9</v>
      </c>
      <c r="N62" s="67" t="str">
        <f ca="1">IF(AND(CELL("type",H62)="v",CELL("type",K62)="v")=TRUE,IF(H62+K62=0,"",H62+K62),IF(AND(CELL("type",H62)="v",CELL("type",K62)&lt;&gt;"v")=TRUE,H62,IF(AND(CELL("type",H62)&lt;&gt;"v",CELL("type",K62)="v")=TRUE,K62,"")))</f>
        <v/>
      </c>
      <c r="O62" s="87"/>
      <c r="P62" s="87"/>
    </row>
    <row r="63" spans="1:26" x14ac:dyDescent="0.25">
      <c r="B63" s="86"/>
      <c r="C63" s="86"/>
      <c r="D63" s="86"/>
      <c r="E63" s="86"/>
      <c r="F63" s="86"/>
      <c r="G63" s="86"/>
      <c r="H63" s="90"/>
      <c r="I63" s="234"/>
      <c r="J63" s="91"/>
      <c r="K63" s="90"/>
      <c r="L63" s="234"/>
      <c r="M63" s="90"/>
      <c r="N63" s="90"/>
      <c r="O63" s="87"/>
      <c r="P63" s="87"/>
      <c r="V63" s="128"/>
    </row>
    <row r="64" spans="1:26" ht="13.8" x14ac:dyDescent="0.25">
      <c r="B64" s="40" t="s">
        <v>13</v>
      </c>
      <c r="C64" s="41" t="s">
        <v>216</v>
      </c>
      <c r="D64" s="1"/>
      <c r="E64" s="1"/>
      <c r="F64" s="1"/>
      <c r="G64" s="1"/>
      <c r="H64" s="13"/>
      <c r="I64" s="234"/>
      <c r="J64" s="7"/>
      <c r="K64" s="13"/>
      <c r="L64" s="234"/>
      <c r="M64" s="90"/>
      <c r="N64" s="90"/>
      <c r="O64" s="87"/>
      <c r="P64" s="87"/>
      <c r="Q64" s="129">
        <v>0.14000000000000001</v>
      </c>
      <c r="R64" s="130" t="s">
        <v>148</v>
      </c>
      <c r="S64" s="131"/>
      <c r="T64" s="131"/>
      <c r="U64" s="131"/>
      <c r="V64" s="132">
        <f ca="1">IF(ISERROR(ROUNDDOWN(N(N62)*N(Q64),0)),0,ROUNDDOWN(N(N62)*N(Q64),0))</f>
        <v>0</v>
      </c>
      <c r="W64" s="130" t="s">
        <v>149</v>
      </c>
      <c r="X64" s="131"/>
      <c r="Y64" s="131"/>
      <c r="Z64" s="131"/>
    </row>
    <row r="65" spans="1:27" x14ac:dyDescent="0.25">
      <c r="B65" s="40"/>
      <c r="C65" s="41" t="str">
        <f>"(Max. "&amp;TEXT(Q64,"0%")&amp;" of A1.1., column 3)"</f>
        <v>(Max. 14% of A1.1., column 3)</v>
      </c>
      <c r="D65" s="1"/>
      <c r="E65" s="1"/>
      <c r="F65" s="1"/>
      <c r="G65" s="40" t="s">
        <v>9</v>
      </c>
      <c r="H65" s="84"/>
      <c r="I65" s="234" t="str">
        <f>IF(N(H65)&lt;&gt;ROUNDDOWN(N(H65),0),1,"")</f>
        <v/>
      </c>
      <c r="J65" s="10" t="s">
        <v>9</v>
      </c>
      <c r="K65" s="84"/>
      <c r="L65" s="234" t="str">
        <f>IF(N(K65)&lt;&gt;ROUNDDOWN(N(K65),0),1,"")</f>
        <v/>
      </c>
      <c r="M65" s="68" t="s">
        <v>9</v>
      </c>
      <c r="N65" s="67" t="str">
        <f ca="1">IF(AND(CELL("type",H65)="v",CELL("type",K65)="v")=TRUE,IF(H65+K65=0,"",H65+K65),IF(AND(CELL("type",H65)="v",CELL("type",K65)&lt;&gt;"v")=TRUE,H65,IF(AND(CELL("type",H65)&lt;&gt;"v",CELL("type",K65)="v")=TRUE,K65,"")))</f>
        <v/>
      </c>
      <c r="O65" s="87"/>
      <c r="P65" s="125" t="str">
        <f ca="1">IF(Q65="No","**","")</f>
        <v/>
      </c>
      <c r="Q65" s="133" t="str">
        <f ca="1">IF(OR(AND(N(N65)=0,N(N62)&gt;0),N(N65)&gt;V64),"No","Yes")</f>
        <v>Yes</v>
      </c>
      <c r="R65" s="134" t="s">
        <v>119</v>
      </c>
      <c r="S65" s="134"/>
      <c r="T65" s="134"/>
      <c r="U65" s="134"/>
      <c r="V65" s="134"/>
      <c r="W65" s="134"/>
      <c r="X65" s="134"/>
      <c r="Y65" s="134"/>
      <c r="Z65" s="134"/>
    </row>
    <row r="66" spans="1:27" x14ac:dyDescent="0.25">
      <c r="B66" s="86"/>
      <c r="C66" s="86"/>
      <c r="D66" s="86"/>
      <c r="E66" s="86"/>
      <c r="F66" s="86"/>
      <c r="G66" s="86"/>
      <c r="H66" s="90"/>
      <c r="I66" s="234"/>
      <c r="J66" s="91"/>
      <c r="K66" s="90"/>
      <c r="L66" s="234"/>
      <c r="M66" s="90"/>
      <c r="N66" s="90"/>
      <c r="O66" s="87"/>
      <c r="P66" s="87"/>
      <c r="Q66" s="135" t="str">
        <f ca="1">IF(Q65="No",IF(N(N65)=0,"The GC Fee must be disclosed.  If it is not, the RFA requires the scorer to add the maximum GC Fee ("&amp;TEXT(ROUNDDOWN(N(N62)*Q64,0),"$#,##0.00")&amp;").","")&amp;IF(N(N65)&gt;V64,"The amount entered for 'General Contractor Fee' is too high by "&amp;TEXT(N(N65)-N(V64),"$#,##0.00")&amp;".  ",""),"")</f>
        <v/>
      </c>
      <c r="R66" s="136"/>
      <c r="S66" s="136"/>
      <c r="T66" s="136"/>
      <c r="U66" s="136"/>
      <c r="V66" s="136"/>
      <c r="W66" s="136"/>
      <c r="X66" s="136"/>
      <c r="Y66" s="136"/>
      <c r="Z66" s="136"/>
    </row>
    <row r="67" spans="1:27" x14ac:dyDescent="0.25">
      <c r="B67" s="40" t="s">
        <v>30</v>
      </c>
      <c r="C67" s="11" t="s">
        <v>56</v>
      </c>
      <c r="D67" s="1"/>
      <c r="E67" s="1"/>
      <c r="F67" s="1"/>
      <c r="G67" s="86"/>
      <c r="H67" s="90"/>
      <c r="I67" s="234"/>
      <c r="J67" s="91"/>
      <c r="K67" s="90"/>
      <c r="L67" s="234"/>
      <c r="M67" s="90"/>
      <c r="N67" s="90"/>
      <c r="O67" s="87"/>
      <c r="P67" s="87"/>
    </row>
    <row r="68" spans="1:27" x14ac:dyDescent="0.25">
      <c r="B68" s="40"/>
      <c r="C68" s="11"/>
      <c r="D68" s="11" t="s">
        <v>57</v>
      </c>
      <c r="E68" s="1"/>
      <c r="F68" s="1"/>
      <c r="G68" s="40" t="s">
        <v>9</v>
      </c>
      <c r="H68" s="67" t="str">
        <f>IF(SUM(H62:H67)=0,"",SUM(H62:H67))</f>
        <v/>
      </c>
      <c r="I68" s="234"/>
      <c r="J68" s="10" t="s">
        <v>9</v>
      </c>
      <c r="K68" s="67" t="str">
        <f>IF(SUM(K62:K67)=0,"",SUM(K62:K67))</f>
        <v/>
      </c>
      <c r="L68" s="234"/>
      <c r="M68" s="68" t="s">
        <v>9</v>
      </c>
      <c r="N68" s="67" t="str">
        <f ca="1">IF(AND(CELL("type",H68)="v",CELL("type",K68)="v")=TRUE,IF(H68+K68=0,"",H68+K68),IF(AND(CELL("type",H68)="v",CELL("type",K68)&lt;&gt;"v")=TRUE,H68,IF(AND(CELL("type",H68)&lt;&gt;"v",CELL("type",K68)="v")=TRUE,K68,"")))</f>
        <v/>
      </c>
      <c r="O68" s="87"/>
      <c r="P68" s="87"/>
      <c r="Q68" s="156"/>
      <c r="R68" s="137"/>
      <c r="V68" s="128"/>
    </row>
    <row r="69" spans="1:27" x14ac:dyDescent="0.25">
      <c r="B69" s="86"/>
      <c r="C69" s="86"/>
      <c r="D69" s="86"/>
      <c r="E69" s="86"/>
      <c r="F69" s="86"/>
      <c r="G69" s="86"/>
      <c r="H69" s="90"/>
      <c r="I69" s="234"/>
      <c r="J69" s="91"/>
      <c r="K69" s="90"/>
      <c r="L69" s="234"/>
      <c r="M69" s="90"/>
      <c r="N69" s="90"/>
      <c r="O69" s="87"/>
      <c r="P69" s="87"/>
      <c r="Q69" s="129">
        <f>IF(K35=F500,"TBD",IF(OR(K35="New Construction (w/ or w/o Acquisition)",K35="Redevelopment (w/ or w/o Acquisition)"),5%,15%))</f>
        <v>0.15</v>
      </c>
      <c r="R69" s="130" t="s">
        <v>150</v>
      </c>
      <c r="S69" s="131"/>
      <c r="T69" s="131"/>
      <c r="U69" s="131"/>
      <c r="V69" s="132">
        <f ca="1">IF(ISERROR(N(N68)*N(Q69)),0,IF(K35=F500,"TBD",N(N68)*N(Q69)))</f>
        <v>0</v>
      </c>
      <c r="W69" s="130" t="s">
        <v>151</v>
      </c>
      <c r="X69" s="131"/>
      <c r="Y69" s="131"/>
      <c r="Z69" s="131"/>
    </row>
    <row r="70" spans="1:27" ht="13.8" x14ac:dyDescent="0.25">
      <c r="B70" s="40" t="s">
        <v>114</v>
      </c>
      <c r="C70" s="102" t="s">
        <v>217</v>
      </c>
      <c r="D70" s="86"/>
      <c r="E70" s="86"/>
      <c r="F70" s="86"/>
      <c r="G70" s="40" t="s">
        <v>9</v>
      </c>
      <c r="H70" s="84"/>
      <c r="I70" s="234" t="str">
        <f>IF(N(H70)&lt;&gt;ROUNDDOWN(N(H70),0),1,"")</f>
        <v/>
      </c>
      <c r="J70" s="10" t="s">
        <v>9</v>
      </c>
      <c r="K70" s="84"/>
      <c r="L70" s="234" t="str">
        <f>IF(N(K70)&lt;&gt;ROUNDDOWN(N(K70),0),1,"")</f>
        <v/>
      </c>
      <c r="M70" s="68" t="s">
        <v>9</v>
      </c>
      <c r="N70" s="67" t="str">
        <f ca="1">IF(AND(CELL("type",H70)="v",CELL("type",K70)="v")=TRUE,IF(H70+K70=0,"",H70+K70),IF(AND(CELL("type",H70)="v",CELL("type",K70)&lt;&gt;"v")=TRUE,H70,IF(AND(CELL("type",H70)&lt;&gt;"v",CELL("type",K70)="v")=TRUE,K70,"")))</f>
        <v/>
      </c>
      <c r="O70" s="87"/>
      <c r="P70" s="125" t="str">
        <f ca="1">IF(OR(Q70="No",AND(N(N70)&gt;0,Q70="TBD")),"**","")</f>
        <v/>
      </c>
      <c r="Q70" s="133" t="str">
        <f ca="1">IF(V69="TBD","TBD",IF(N(N70)&lt;=V69,"Yes","No"))</f>
        <v>Yes</v>
      </c>
      <c r="R70" s="134" t="s">
        <v>125</v>
      </c>
      <c r="S70" s="134"/>
      <c r="T70" s="134"/>
      <c r="U70" s="134"/>
      <c r="V70" s="134"/>
      <c r="W70" s="134"/>
      <c r="X70" s="134"/>
      <c r="Y70" s="134"/>
      <c r="Z70" s="134"/>
    </row>
    <row r="71" spans="1:27" x14ac:dyDescent="0.25">
      <c r="B71" s="86"/>
      <c r="C71" s="86"/>
      <c r="D71" s="86"/>
      <c r="E71" s="86"/>
      <c r="F71" s="86"/>
      <c r="G71" s="86"/>
      <c r="H71" s="90"/>
      <c r="I71" s="91"/>
      <c r="J71" s="91"/>
      <c r="K71" s="90"/>
      <c r="L71" s="90"/>
      <c r="M71" s="90"/>
      <c r="N71" s="90"/>
      <c r="O71" s="87"/>
      <c r="P71" s="87"/>
      <c r="Q71" s="135" t="str">
        <f ca="1">IF(AND(Q69="TBD",N(N68)&gt;0),"Please select the applicable Development Category from the drop-down menu at the top of the Development Cost Pro Forma.",IF(Q70="No","The amount entered for 'Hard Cost Contingency' is too high by "&amp;TEXT(N(N70)-N(V69),"$#,##0.00")&amp;".  ",""))</f>
        <v/>
      </c>
      <c r="R71" s="136"/>
      <c r="S71" s="136"/>
      <c r="T71" s="136"/>
      <c r="U71" s="136"/>
      <c r="V71" s="136"/>
      <c r="W71" s="136"/>
      <c r="X71" s="136"/>
      <c r="Y71" s="136"/>
      <c r="Z71" s="136"/>
    </row>
    <row r="72" spans="1:27" ht="3.75" customHeight="1" thickBot="1" x14ac:dyDescent="0.3">
      <c r="B72" s="86"/>
      <c r="C72" s="86"/>
      <c r="D72" s="38"/>
      <c r="E72" s="1"/>
      <c r="F72" s="1"/>
      <c r="G72" s="1"/>
      <c r="H72" s="107"/>
      <c r="I72" s="7"/>
      <c r="J72" s="8"/>
      <c r="K72" s="113"/>
      <c r="L72" s="43"/>
      <c r="M72" s="66"/>
      <c r="N72" s="16"/>
      <c r="O72" s="87"/>
      <c r="P72" s="87"/>
      <c r="Q72" s="128"/>
      <c r="R72" s="128"/>
      <c r="S72" s="128"/>
      <c r="T72" s="128"/>
      <c r="U72" s="128"/>
      <c r="V72" s="128"/>
      <c r="W72" s="128"/>
      <c r="X72" s="128"/>
      <c r="Y72" s="128"/>
      <c r="Z72" s="128"/>
      <c r="AA72" s="128"/>
    </row>
    <row r="73" spans="1:27" ht="3.75" customHeight="1" x14ac:dyDescent="0.25">
      <c r="A73" s="85"/>
      <c r="B73" s="92"/>
      <c r="C73" s="92"/>
      <c r="D73" s="92"/>
      <c r="E73" s="92"/>
      <c r="F73" s="92"/>
      <c r="G73" s="92"/>
      <c r="H73" s="92"/>
      <c r="I73" s="92"/>
      <c r="J73" s="92"/>
      <c r="K73" s="93"/>
      <c r="L73" s="93"/>
      <c r="M73" s="93"/>
      <c r="N73" s="93"/>
      <c r="O73" s="94"/>
      <c r="P73" s="94"/>
    </row>
    <row r="74" spans="1:27" x14ac:dyDescent="0.25">
      <c r="B74" s="64" t="str">
        <f>B$2</f>
        <v>RFA 2021-204 DEVELOPMENT COST PRO FORMA</v>
      </c>
      <c r="C74" s="86"/>
      <c r="D74" s="89"/>
      <c r="E74" s="86"/>
      <c r="F74" s="86"/>
      <c r="G74" s="86"/>
      <c r="H74" s="1"/>
      <c r="I74" s="1"/>
      <c r="J74" s="1"/>
      <c r="K74" s="66"/>
      <c r="L74" s="89"/>
      <c r="M74" s="89"/>
      <c r="N74" s="89"/>
      <c r="O74" s="87"/>
      <c r="P74" s="3" t="s">
        <v>245</v>
      </c>
    </row>
    <row r="75" spans="1:27" x14ac:dyDescent="0.25">
      <c r="B75" s="86"/>
      <c r="C75" s="86"/>
      <c r="D75" s="89"/>
      <c r="E75" s="86"/>
      <c r="F75" s="86"/>
      <c r="G75" s="86"/>
      <c r="H75" s="161">
        <f>H$38</f>
        <v>1</v>
      </c>
      <c r="I75" s="1"/>
      <c r="J75" s="1"/>
      <c r="K75" s="161">
        <f>K$38</f>
        <v>2</v>
      </c>
      <c r="L75" s="1"/>
      <c r="M75" s="32"/>
      <c r="N75" s="161">
        <f>N$38</f>
        <v>3</v>
      </c>
      <c r="O75" s="87"/>
      <c r="P75" s="87"/>
    </row>
    <row r="76" spans="1:27" ht="22.35" customHeight="1" x14ac:dyDescent="0.25">
      <c r="B76" s="86"/>
      <c r="C76" s="86"/>
      <c r="D76" s="89"/>
      <c r="E76" s="86"/>
      <c r="F76" s="86"/>
      <c r="G76" s="86"/>
      <c r="H76" s="34" t="str">
        <f>H$39</f>
        <v>HC ELIGIBLE
COSTS</v>
      </c>
      <c r="I76" s="31"/>
      <c r="J76" s="31"/>
      <c r="K76" s="34" t="str">
        <f>K$39</f>
        <v>HC INELIGIBLE
COSTS</v>
      </c>
      <c r="L76" s="35"/>
      <c r="M76" s="71"/>
      <c r="N76" s="34" t="str">
        <f>N$39</f>
        <v>TOTAL
COSTS</v>
      </c>
      <c r="O76" s="87"/>
      <c r="P76" s="87"/>
    </row>
    <row r="77" spans="1:27" x14ac:dyDescent="0.25">
      <c r="B77" s="86"/>
      <c r="C77" s="37" t="s">
        <v>31</v>
      </c>
      <c r="D77" s="89"/>
      <c r="E77" s="86"/>
      <c r="F77" s="86"/>
      <c r="G77" s="86"/>
      <c r="H77" s="1"/>
      <c r="I77" s="1"/>
      <c r="J77" s="1"/>
      <c r="K77" s="66"/>
      <c r="L77" s="89"/>
      <c r="M77" s="89"/>
      <c r="N77" s="89"/>
      <c r="O77" s="87"/>
      <c r="P77" s="87"/>
    </row>
    <row r="78" spans="1:27" x14ac:dyDescent="0.25">
      <c r="B78" s="86"/>
      <c r="C78" s="37"/>
      <c r="D78" s="38" t="s">
        <v>32</v>
      </c>
      <c r="E78" s="86"/>
      <c r="F78" s="86"/>
      <c r="G78" s="86"/>
      <c r="H78" s="82"/>
      <c r="I78" s="234" t="str">
        <f>IF(N(H78)&lt;&gt;ROUNDDOWN(N(H78),0),1,"")</f>
        <v/>
      </c>
      <c r="J78" s="8"/>
      <c r="K78" s="83"/>
      <c r="L78" s="234" t="str">
        <f>IF(N(K78)&lt;&gt;ROUNDDOWN(N(K78),0),1,"")</f>
        <v/>
      </c>
      <c r="M78" s="13"/>
      <c r="N78" s="67" t="str">
        <f ca="1">IF(AND(CELL("type",H78)="v",CELL("type",K78)="v")=TRUE,IF(H78+K78=0,"",H78+K78),IF(AND(CELL("type",H78)="v",CELL("type",K78)&lt;&gt;"v")=TRUE,H78,IF(AND(CELL("type",H78)&lt;&gt;"v",CELL("type",K78)="v")=TRUE,K78,"")))</f>
        <v/>
      </c>
      <c r="O78" s="87"/>
      <c r="P78" s="87"/>
      <c r="Q78" s="334" t="s">
        <v>201</v>
      </c>
      <c r="R78" s="334"/>
      <c r="S78" s="334"/>
      <c r="T78" s="334"/>
      <c r="U78" s="334"/>
      <c r="V78" s="334"/>
      <c r="W78" s="334"/>
      <c r="X78" s="334"/>
      <c r="Y78" s="334"/>
      <c r="Z78" s="334"/>
    </row>
    <row r="79" spans="1:27" x14ac:dyDescent="0.25">
      <c r="B79" s="86"/>
      <c r="C79" s="37"/>
      <c r="D79" s="89"/>
      <c r="E79" s="86"/>
      <c r="F79" s="86"/>
      <c r="G79" s="86"/>
      <c r="H79" s="1"/>
      <c r="I79" s="1"/>
      <c r="J79" s="1"/>
      <c r="K79" s="66"/>
      <c r="L79" s="89"/>
      <c r="M79" s="89"/>
      <c r="N79" s="89"/>
      <c r="O79" s="87"/>
      <c r="P79" s="87"/>
      <c r="Q79" s="334"/>
      <c r="R79" s="334"/>
      <c r="S79" s="334"/>
      <c r="T79" s="334"/>
      <c r="U79" s="334"/>
      <c r="V79" s="334"/>
      <c r="W79" s="334"/>
      <c r="X79" s="334"/>
      <c r="Y79" s="334"/>
      <c r="Z79" s="334"/>
    </row>
    <row r="80" spans="1:27" x14ac:dyDescent="0.25">
      <c r="B80" s="86"/>
      <c r="C80" s="37"/>
      <c r="D80" s="38" t="s">
        <v>33</v>
      </c>
      <c r="E80" s="86"/>
      <c r="F80" s="86"/>
      <c r="G80" s="86"/>
      <c r="H80" s="82"/>
      <c r="I80" s="234" t="str">
        <f>IF(N(H80)&lt;&gt;ROUNDDOWN(N(H80),0),1,"")</f>
        <v/>
      </c>
      <c r="J80" s="8"/>
      <c r="K80" s="83"/>
      <c r="L80" s="234" t="str">
        <f>IF(N(K80)&lt;&gt;ROUNDDOWN(N(K80),0),1,"")</f>
        <v/>
      </c>
      <c r="M80" s="66"/>
      <c r="N80" s="67" t="str">
        <f ca="1">IF(AND(CELL("type",H80)="v",CELL("type",K80)="v")=TRUE,IF(H80+K80=0,"",H80+K80),IF(AND(CELL("type",H80)="v",CELL("type",K80)&lt;&gt;"v")=TRUE,H80,IF(AND(CELL("type",H80)&lt;&gt;"v",CELL("type",K80)="v")=TRUE,K80,"")))</f>
        <v/>
      </c>
      <c r="O80" s="87"/>
      <c r="P80" s="87"/>
    </row>
    <row r="81" spans="2:26" x14ac:dyDescent="0.25">
      <c r="B81" s="86"/>
      <c r="C81" s="37"/>
      <c r="D81" s="89"/>
      <c r="E81" s="86"/>
      <c r="F81" s="86"/>
      <c r="G81" s="86"/>
      <c r="H81" s="1"/>
      <c r="I81" s="1"/>
      <c r="J81" s="1"/>
      <c r="K81" s="66"/>
      <c r="L81" s="89"/>
      <c r="M81" s="89"/>
      <c r="N81" s="89"/>
      <c r="O81" s="87"/>
      <c r="P81" s="87"/>
    </row>
    <row r="82" spans="2:26" x14ac:dyDescent="0.25">
      <c r="B82" s="86"/>
      <c r="C82" s="86"/>
      <c r="D82" s="38" t="s">
        <v>38</v>
      </c>
      <c r="E82" s="1"/>
      <c r="F82" s="1"/>
      <c r="G82" s="1"/>
      <c r="H82" s="82"/>
      <c r="I82" s="234" t="str">
        <f>IF(N(H82)&lt;&gt;ROUNDDOWN(N(H82),0),1,"")</f>
        <v/>
      </c>
      <c r="J82" s="8"/>
      <c r="K82" s="83"/>
      <c r="L82" s="234" t="str">
        <f>IF(N(K82)&lt;&gt;ROUNDDOWN(N(K82),0),1,"")</f>
        <v/>
      </c>
      <c r="M82" s="13"/>
      <c r="N82" s="67" t="str">
        <f ca="1">IF(AND(CELL("type",H82)="v",CELL("type",K82)="v")=TRUE,IF(H82+K82=0,"",H82+K82),IF(AND(CELL("type",H82)="v",CELL("type",K82)&lt;&gt;"v")=TRUE,H82,IF(AND(CELL("type",H82)&lt;&gt;"v",CELL("type",K82)="v")=TRUE,K82,"")))</f>
        <v/>
      </c>
      <c r="O82" s="87"/>
      <c r="P82" s="87"/>
      <c r="Q82" s="334" t="s">
        <v>384</v>
      </c>
      <c r="R82" s="334"/>
      <c r="S82" s="334"/>
      <c r="T82" s="334"/>
      <c r="U82" s="334"/>
      <c r="V82" s="334"/>
      <c r="W82" s="334"/>
      <c r="X82" s="334"/>
      <c r="Y82" s="334"/>
      <c r="Z82" s="334"/>
    </row>
    <row r="83" spans="2:26" x14ac:dyDescent="0.25">
      <c r="B83" s="86"/>
      <c r="C83" s="86"/>
      <c r="D83" s="95"/>
      <c r="E83" s="86"/>
      <c r="F83" s="86"/>
      <c r="G83" s="86"/>
      <c r="H83" s="7"/>
      <c r="I83" s="7"/>
      <c r="J83" s="7"/>
      <c r="K83" s="13"/>
      <c r="L83" s="90"/>
      <c r="M83" s="90"/>
      <c r="N83" s="90"/>
      <c r="O83" s="87"/>
      <c r="P83" s="87"/>
      <c r="Q83" s="334"/>
      <c r="R83" s="334"/>
      <c r="S83" s="334"/>
      <c r="T83" s="334"/>
      <c r="U83" s="334"/>
      <c r="V83" s="334"/>
      <c r="W83" s="334"/>
      <c r="X83" s="334"/>
      <c r="Y83" s="334"/>
      <c r="Z83" s="334"/>
    </row>
    <row r="84" spans="2:26" x14ac:dyDescent="0.25">
      <c r="B84" s="86"/>
      <c r="C84" s="86"/>
      <c r="D84" s="38" t="s">
        <v>34</v>
      </c>
      <c r="E84" s="1"/>
      <c r="F84" s="1"/>
      <c r="G84" s="1"/>
      <c r="H84" s="82"/>
      <c r="I84" s="234" t="str">
        <f>IF(N(H84)&lt;&gt;ROUNDDOWN(N(H84),0),1,"")</f>
        <v/>
      </c>
      <c r="J84" s="8"/>
      <c r="K84" s="83"/>
      <c r="L84" s="234" t="str">
        <f>IF(N(K84)&lt;&gt;ROUNDDOWN(N(K84),0),1,"")</f>
        <v/>
      </c>
      <c r="M84" s="13"/>
      <c r="N84" s="67" t="str">
        <f ca="1">IF(AND(CELL("type",H84)="v",CELL("type",K84)="v")=TRUE,IF(H84+K84=0,"",H84+K84),IF(AND(CELL("type",H84)="v",CELL("type",K84)&lt;&gt;"v")=TRUE,H84,IF(AND(CELL("type",H84)&lt;&gt;"v",CELL("type",K84)="v")=TRUE,K84,"")))</f>
        <v/>
      </c>
      <c r="O84" s="87"/>
      <c r="P84" s="87"/>
    </row>
    <row r="85" spans="2:26" x14ac:dyDescent="0.25">
      <c r="B85" s="86"/>
      <c r="C85" s="86"/>
      <c r="D85" s="95"/>
      <c r="E85" s="86"/>
      <c r="F85" s="86"/>
      <c r="G85" s="86"/>
      <c r="H85" s="7"/>
      <c r="I85" s="7"/>
      <c r="J85" s="7"/>
      <c r="K85" s="13"/>
      <c r="L85" s="90"/>
      <c r="M85" s="90"/>
      <c r="N85" s="90"/>
      <c r="O85" s="87"/>
      <c r="P85" s="87"/>
    </row>
    <row r="86" spans="2:26" x14ac:dyDescent="0.25">
      <c r="B86" s="86"/>
      <c r="C86" s="86"/>
      <c r="D86" s="38" t="s">
        <v>35</v>
      </c>
      <c r="E86" s="1"/>
      <c r="F86" s="1"/>
      <c r="G86" s="1"/>
      <c r="H86" s="82"/>
      <c r="I86" s="234" t="str">
        <f>IF(N(H86)&lt;&gt;ROUNDDOWN(N(H86),0),1,"")</f>
        <v/>
      </c>
      <c r="J86" s="8"/>
      <c r="K86" s="83"/>
      <c r="L86" s="234" t="str">
        <f>IF(N(K86)&lt;&gt;ROUNDDOWN(N(K86),0),1,"")</f>
        <v/>
      </c>
      <c r="M86" s="13"/>
      <c r="N86" s="67" t="str">
        <f ca="1">IF(AND(CELL("type",H86)="v",CELL("type",K86)="v")=TRUE,IF(H86+K86=0,"",H86+K86),IF(AND(CELL("type",H86)="v",CELL("type",K86)&lt;&gt;"v")=TRUE,H86,IF(AND(CELL("type",H86)&lt;&gt;"v",CELL("type",K86)="v")=TRUE,K86,"")))</f>
        <v/>
      </c>
      <c r="O86" s="87"/>
      <c r="P86" s="87"/>
    </row>
    <row r="87" spans="2:26" x14ac:dyDescent="0.25">
      <c r="B87" s="86"/>
      <c r="C87" s="86"/>
      <c r="D87" s="95"/>
      <c r="E87" s="86"/>
      <c r="F87" s="86"/>
      <c r="G87" s="86"/>
      <c r="H87" s="7"/>
      <c r="I87" s="7"/>
      <c r="J87" s="7"/>
      <c r="K87" s="13"/>
      <c r="L87" s="90"/>
      <c r="M87" s="90"/>
      <c r="N87" s="90"/>
      <c r="O87" s="87"/>
      <c r="P87" s="87"/>
    </row>
    <row r="88" spans="2:26" x14ac:dyDescent="0.25">
      <c r="B88" s="86"/>
      <c r="C88" s="86"/>
      <c r="D88" s="38" t="s">
        <v>36</v>
      </c>
      <c r="E88" s="1"/>
      <c r="F88" s="1"/>
      <c r="G88" s="1"/>
      <c r="H88" s="82"/>
      <c r="I88" s="234" t="str">
        <f>IF(N(H88)&lt;&gt;ROUNDDOWN(N(H88),0),1,"")</f>
        <v/>
      </c>
      <c r="J88" s="8"/>
      <c r="K88" s="83"/>
      <c r="L88" s="234" t="str">
        <f>IF(N(K88)&lt;&gt;ROUNDDOWN(N(K88),0),1,"")</f>
        <v/>
      </c>
      <c r="M88" s="13"/>
      <c r="N88" s="67" t="str">
        <f ca="1">IF(AND(CELL("type",H88)="v",CELL("type",K88)="v")=TRUE,IF(H88+K88=0,"",H88+K88),IF(AND(CELL("type",H88)="v",CELL("type",K88)&lt;&gt;"v")=TRUE,H88,IF(AND(CELL("type",H88)&lt;&gt;"v",CELL("type",K88)="v")=TRUE,K88,"")))</f>
        <v/>
      </c>
      <c r="O88" s="87"/>
      <c r="P88" s="87"/>
    </row>
    <row r="89" spans="2:26" x14ac:dyDescent="0.25">
      <c r="B89" s="86"/>
      <c r="C89" s="86"/>
      <c r="D89" s="95"/>
      <c r="E89" s="86"/>
      <c r="F89" s="86"/>
      <c r="G89" s="86"/>
      <c r="H89" s="7"/>
      <c r="I89" s="7"/>
      <c r="J89" s="7"/>
      <c r="K89" s="13"/>
      <c r="L89" s="90"/>
      <c r="M89" s="90"/>
      <c r="N89" s="90"/>
      <c r="O89" s="87"/>
      <c r="P89" s="87"/>
    </row>
    <row r="90" spans="2:26" x14ac:dyDescent="0.25">
      <c r="B90" s="86"/>
      <c r="C90" s="86"/>
      <c r="D90" s="95" t="s">
        <v>53</v>
      </c>
      <c r="E90" s="86"/>
      <c r="F90" s="86"/>
      <c r="G90" s="86"/>
      <c r="H90" s="82"/>
      <c r="I90" s="234" t="str">
        <f>IF(N(H90)&lt;&gt;ROUNDDOWN(N(H90),0),1,"")</f>
        <v/>
      </c>
      <c r="J90" s="8"/>
      <c r="K90" s="83"/>
      <c r="L90" s="234" t="str">
        <f>IF(N(K90)&lt;&gt;ROUNDDOWN(N(K90),0),1,"")</f>
        <v/>
      </c>
      <c r="M90" s="15"/>
      <c r="N90" s="67" t="str">
        <f ca="1">IF(AND(CELL("type",H90)="v",CELL("type",K90)="v")=TRUE,IF(H90+K90=0,"",H90+K90),IF(AND(CELL("type",H90)="v",CELL("type",K90)&lt;&gt;"v")=TRUE,H90,IF(AND(CELL("type",H90)&lt;&gt;"v",CELL("type",K90)="v")=TRUE,K90,"")))</f>
        <v/>
      </c>
      <c r="O90" s="87"/>
      <c r="P90" s="87"/>
    </row>
    <row r="91" spans="2:26" x14ac:dyDescent="0.25">
      <c r="B91" s="86"/>
      <c r="C91" s="86"/>
      <c r="D91" s="95"/>
      <c r="E91" s="86"/>
      <c r="F91" s="86"/>
      <c r="G91" s="86"/>
      <c r="H91" s="7"/>
      <c r="I91" s="7"/>
      <c r="J91" s="7"/>
      <c r="K91" s="13"/>
      <c r="L91" s="90"/>
      <c r="M91" s="90"/>
      <c r="N91" s="90"/>
      <c r="O91" s="87"/>
      <c r="P91" s="87"/>
    </row>
    <row r="92" spans="2:26" ht="12.75" customHeight="1" x14ac:dyDescent="0.25">
      <c r="B92" s="86"/>
      <c r="C92" s="86"/>
      <c r="D92" s="42" t="s">
        <v>52</v>
      </c>
      <c r="E92" s="1"/>
      <c r="F92" s="1"/>
      <c r="G92" s="1"/>
      <c r="H92" s="82"/>
      <c r="I92" s="234" t="str">
        <f>IF(N(H92)&lt;&gt;ROUNDDOWN(N(H92),0),1,"")</f>
        <v/>
      </c>
      <c r="J92" s="8"/>
      <c r="K92" s="83"/>
      <c r="L92" s="234" t="str">
        <f>IF(N(K92)&lt;&gt;ROUNDDOWN(N(K92),0),1,"")</f>
        <v/>
      </c>
      <c r="M92" s="15"/>
      <c r="N92" s="67" t="str">
        <f ca="1">IF(AND(CELL("type",H92)="v",CELL("type",K92)="v")=TRUE,IF(H92+K92=0,"",H92+K92),IF(AND(CELL("type",H92)="v",CELL("type",K92)&lt;&gt;"v")=TRUE,H92,IF(AND(CELL("type",H92)&lt;&gt;"v",CELL("type",K92)="v")=TRUE,K92,"")))</f>
        <v/>
      </c>
      <c r="O92" s="87"/>
      <c r="P92" s="87"/>
      <c r="Q92" s="334" t="s">
        <v>384</v>
      </c>
      <c r="R92" s="334"/>
      <c r="S92" s="334"/>
      <c r="T92" s="334"/>
      <c r="U92" s="334"/>
      <c r="V92" s="334"/>
      <c r="W92" s="334"/>
      <c r="X92" s="334"/>
      <c r="Y92" s="334"/>
      <c r="Z92" s="334"/>
    </row>
    <row r="93" spans="2:26" x14ac:dyDescent="0.25">
      <c r="B93" s="86"/>
      <c r="C93" s="86"/>
      <c r="D93" s="95"/>
      <c r="E93" s="86"/>
      <c r="F93" s="86"/>
      <c r="G93" s="86"/>
      <c r="H93" s="7"/>
      <c r="I93" s="7"/>
      <c r="J93" s="7"/>
      <c r="K93" s="13"/>
      <c r="L93" s="90"/>
      <c r="M93" s="90"/>
      <c r="N93" s="90"/>
      <c r="O93" s="87"/>
      <c r="P93" s="87"/>
      <c r="Q93" s="334"/>
      <c r="R93" s="334"/>
      <c r="S93" s="334"/>
      <c r="T93" s="334"/>
      <c r="U93" s="334"/>
      <c r="V93" s="334"/>
      <c r="W93" s="334"/>
      <c r="X93" s="334"/>
      <c r="Y93" s="334"/>
      <c r="Z93" s="334"/>
    </row>
    <row r="94" spans="2:26" x14ac:dyDescent="0.25">
      <c r="B94" s="86"/>
      <c r="C94" s="86"/>
      <c r="D94" s="42" t="s">
        <v>37</v>
      </c>
      <c r="E94" s="1"/>
      <c r="F94" s="1"/>
      <c r="G94" s="1"/>
      <c r="H94" s="82"/>
      <c r="I94" s="234" t="str">
        <f>IF(N(H94)&lt;&gt;ROUNDDOWN(N(H94),0),1,"")</f>
        <v/>
      </c>
      <c r="J94" s="8"/>
      <c r="K94" s="83"/>
      <c r="L94" s="234" t="str">
        <f>IF(N(K94)&lt;&gt;ROUNDDOWN(N(K94),0),1,"")</f>
        <v/>
      </c>
      <c r="M94" s="15"/>
      <c r="N94" s="67" t="str">
        <f ca="1">IF(AND(CELL("type",H94)="v",CELL("type",K94)="v")=TRUE,IF(H94+K94=0,"",H94+K94),IF(AND(CELL("type",H94)="v",CELL("type",K94)&lt;&gt;"v")=TRUE,H94,IF(AND(CELL("type",H94)&lt;&gt;"v",CELL("type",K94)="v")=TRUE,K94,"")))</f>
        <v/>
      </c>
      <c r="O94" s="87"/>
      <c r="P94" s="87"/>
      <c r="Q94" s="334" t="s">
        <v>385</v>
      </c>
      <c r="R94" s="334"/>
      <c r="S94" s="334"/>
      <c r="T94" s="334"/>
      <c r="U94" s="334"/>
      <c r="V94" s="334"/>
      <c r="W94" s="334"/>
      <c r="X94" s="334"/>
      <c r="Y94" s="334"/>
      <c r="Z94" s="334"/>
    </row>
    <row r="95" spans="2:26" x14ac:dyDescent="0.25">
      <c r="B95" s="86"/>
      <c r="C95" s="86"/>
      <c r="D95" s="95"/>
      <c r="E95" s="86"/>
      <c r="F95" s="86"/>
      <c r="G95" s="86"/>
      <c r="H95" s="7"/>
      <c r="I95" s="7"/>
      <c r="J95" s="7"/>
      <c r="K95" s="13"/>
      <c r="L95" s="90"/>
      <c r="M95" s="90"/>
      <c r="N95" s="90"/>
      <c r="O95" s="87"/>
      <c r="P95" s="87"/>
      <c r="Q95" s="334"/>
      <c r="R95" s="334"/>
      <c r="S95" s="334"/>
      <c r="T95" s="334"/>
      <c r="U95" s="334"/>
      <c r="V95" s="334"/>
      <c r="W95" s="334"/>
      <c r="X95" s="334"/>
      <c r="Y95" s="334"/>
      <c r="Z95" s="334"/>
    </row>
    <row r="96" spans="2:26" ht="13.8" x14ac:dyDescent="0.25">
      <c r="B96" s="86"/>
      <c r="C96" s="86"/>
      <c r="D96" s="42" t="s">
        <v>220</v>
      </c>
      <c r="E96" s="1"/>
      <c r="F96" s="1"/>
      <c r="G96" s="66"/>
      <c r="H96" s="235"/>
      <c r="I96" s="234" t="str">
        <f>IF(N(H96)&lt;&gt;ROUNDDOWN(N(H96),0),1,"")</f>
        <v/>
      </c>
      <c r="J96" s="8"/>
      <c r="K96" s="83"/>
      <c r="L96" s="234" t="str">
        <f>IF(N(K96)&lt;&gt;ROUNDDOWN(N(K96),0),1,"")</f>
        <v/>
      </c>
      <c r="M96" s="15"/>
      <c r="N96" s="67" t="str">
        <f ca="1">IF(AND(CELL("type",H96)="v",CELL("type",K96)="v")=TRUE,IF(H96+K96=0,"",H96+K96),IF(AND(CELL("type",H96)="v",CELL("type",K96)&lt;&gt;"v")=TRUE,H96,IF(AND(CELL("type",H96)&lt;&gt;"v",CELL("type",K96)="v")=TRUE,K96,"")))</f>
        <v/>
      </c>
      <c r="O96" s="87"/>
      <c r="P96" s="87"/>
    </row>
    <row r="97" spans="2:26" x14ac:dyDescent="0.25">
      <c r="B97" s="86"/>
      <c r="C97" s="86"/>
      <c r="D97" s="95"/>
      <c r="E97" s="86"/>
      <c r="F97" s="86"/>
      <c r="G97" s="89"/>
      <c r="H97" s="7"/>
      <c r="I97" s="7"/>
      <c r="J97" s="7"/>
      <c r="K97" s="13"/>
      <c r="L97" s="90"/>
      <c r="M97" s="90"/>
      <c r="N97" s="90"/>
      <c r="O97" s="87"/>
      <c r="P97" s="87"/>
    </row>
    <row r="98" spans="2:26" ht="13.8" x14ac:dyDescent="0.25">
      <c r="B98" s="86"/>
      <c r="C98" s="86"/>
      <c r="D98" s="42" t="s">
        <v>222</v>
      </c>
      <c r="E98" s="1"/>
      <c r="F98" s="1"/>
      <c r="G98" s="66"/>
      <c r="H98" s="82"/>
      <c r="I98" s="234" t="str">
        <f>IF(N(H98)&lt;&gt;ROUNDDOWN(N(H98),0),1,"")</f>
        <v/>
      </c>
      <c r="J98" s="8"/>
      <c r="K98" s="83"/>
      <c r="L98" s="234" t="str">
        <f>IF(N(K98)&lt;&gt;ROUNDDOWN(N(K98),0),1,"")</f>
        <v/>
      </c>
      <c r="M98" s="15"/>
      <c r="N98" s="67" t="str">
        <f ca="1">IF(AND(CELL("type",H98)="v",CELL("type",K98)="v")=TRUE,IF(H98+K98=0,"",H98+K98),IF(AND(CELL("type",H98)="v",CELL("type",K98)&lt;&gt;"v")=TRUE,H98,IF(AND(CELL("type",H98)&lt;&gt;"v",CELL("type",K98)="v")=TRUE,K98,"")))</f>
        <v/>
      </c>
      <c r="O98" s="87"/>
      <c r="P98" s="87"/>
      <c r="Q98" s="350" t="s">
        <v>334</v>
      </c>
      <c r="R98" s="350"/>
      <c r="S98" s="350"/>
      <c r="T98" s="350"/>
      <c r="U98" s="350"/>
      <c r="V98" s="350"/>
      <c r="W98" s="350"/>
      <c r="X98" s="350"/>
      <c r="Y98" s="350"/>
      <c r="Z98" s="350"/>
    </row>
    <row r="99" spans="2:26" x14ac:dyDescent="0.25">
      <c r="B99" s="86"/>
      <c r="C99" s="86"/>
      <c r="D99" s="95"/>
      <c r="E99" s="86"/>
      <c r="F99" s="86"/>
      <c r="G99" s="89"/>
      <c r="H99" s="7"/>
      <c r="I99" s="7"/>
      <c r="J99" s="7"/>
      <c r="K99" s="13"/>
      <c r="L99" s="90"/>
      <c r="M99" s="90"/>
      <c r="N99" s="90"/>
      <c r="O99" s="87"/>
      <c r="P99" s="87"/>
      <c r="Q99" s="350"/>
      <c r="R99" s="350"/>
      <c r="S99" s="350"/>
      <c r="T99" s="350"/>
      <c r="U99" s="350"/>
      <c r="V99" s="350"/>
      <c r="W99" s="350"/>
      <c r="X99" s="350"/>
      <c r="Y99" s="350"/>
      <c r="Z99" s="350"/>
    </row>
    <row r="100" spans="2:26" ht="13.8" x14ac:dyDescent="0.25">
      <c r="B100" s="86"/>
      <c r="C100" s="86"/>
      <c r="D100" s="42" t="s">
        <v>221</v>
      </c>
      <c r="E100" s="1"/>
      <c r="F100" s="1"/>
      <c r="G100" s="66"/>
      <c r="H100" s="235"/>
      <c r="I100" s="234" t="str">
        <f>IF(N(H100)&lt;&gt;ROUNDDOWN(N(H100),0),1,"")</f>
        <v/>
      </c>
      <c r="J100" s="8"/>
      <c r="K100" s="83"/>
      <c r="L100" s="234" t="str">
        <f>IF(N(K100)&lt;&gt;ROUNDDOWN(N(K100),0),1,"")</f>
        <v/>
      </c>
      <c r="M100" s="15"/>
      <c r="N100" s="67" t="str">
        <f ca="1">IF(AND(CELL("type",H100)="v",CELL("type",K100)="v")=TRUE,IF(H100+K100=0,"",H100+K100),IF(AND(CELL("type",H100)="v",CELL("type",K100)&lt;&gt;"v")=TRUE,H100,IF(AND(CELL("type",H100)&lt;&gt;"v",CELL("type",K100)="v")=TRUE,K100,"")))</f>
        <v/>
      </c>
      <c r="O100" s="87"/>
      <c r="P100" s="87"/>
    </row>
    <row r="101" spans="2:26" x14ac:dyDescent="0.25">
      <c r="B101" s="86"/>
      <c r="C101" s="86"/>
      <c r="D101" s="95"/>
      <c r="E101" s="86"/>
      <c r="F101" s="86"/>
      <c r="G101" s="86"/>
      <c r="H101" s="7"/>
      <c r="I101" s="7"/>
      <c r="J101" s="7"/>
      <c r="K101" s="13"/>
      <c r="L101" s="90"/>
      <c r="M101" s="90"/>
      <c r="N101" s="90"/>
      <c r="O101" s="87"/>
      <c r="P101" s="87"/>
    </row>
    <row r="102" spans="2:26" ht="12.75" customHeight="1" x14ac:dyDescent="0.25">
      <c r="B102" s="86"/>
      <c r="C102" s="86"/>
      <c r="D102" s="42" t="s">
        <v>319</v>
      </c>
      <c r="E102" s="1"/>
      <c r="F102" s="1"/>
      <c r="G102" s="1"/>
      <c r="H102" s="82"/>
      <c r="I102" s="234" t="str">
        <f>IF(N(H102)&lt;&gt;ROUNDDOWN(N(H102),0),1,"")</f>
        <v/>
      </c>
      <c r="J102" s="8"/>
      <c r="K102" s="83"/>
      <c r="L102" s="234" t="str">
        <f>IF(N(K102)&lt;&gt;ROUNDDOWN(N(K102),0),1,"")</f>
        <v/>
      </c>
      <c r="M102" s="15"/>
      <c r="N102" s="67" t="str">
        <f ca="1">IF(AND(CELL("type",H102)="v",CELL("type",K102)="v")=TRUE,IF(H102+K102=0,"",H102+K102),IF(AND(CELL("type",H102)="v",CELL("type",K102)&lt;&gt;"v")=TRUE,H102,IF(AND(CELL("type",H102)&lt;&gt;"v",CELL("type",K102)="v")=TRUE,K102,"")))</f>
        <v/>
      </c>
      <c r="O102" s="87"/>
      <c r="P102" s="87"/>
      <c r="Q102" s="350" t="s">
        <v>334</v>
      </c>
      <c r="R102" s="350"/>
      <c r="S102" s="350"/>
      <c r="T102" s="350"/>
      <c r="U102" s="350"/>
      <c r="V102" s="350"/>
      <c r="W102" s="350"/>
      <c r="X102" s="350"/>
      <c r="Y102" s="350"/>
      <c r="Z102" s="350"/>
    </row>
    <row r="103" spans="2:26" x14ac:dyDescent="0.25">
      <c r="B103" s="86"/>
      <c r="C103" s="86"/>
      <c r="D103" s="96"/>
      <c r="E103" s="86"/>
      <c r="F103" s="86"/>
      <c r="G103" s="86"/>
      <c r="H103" s="91"/>
      <c r="I103" s="91"/>
      <c r="J103" s="91"/>
      <c r="K103" s="90"/>
      <c r="L103" s="90"/>
      <c r="M103" s="90"/>
      <c r="N103" s="97"/>
      <c r="O103" s="87"/>
      <c r="P103" s="87"/>
      <c r="Q103" s="350"/>
      <c r="R103" s="350"/>
      <c r="S103" s="350"/>
      <c r="T103" s="350"/>
      <c r="U103" s="350"/>
      <c r="V103" s="350"/>
      <c r="W103" s="350"/>
      <c r="X103" s="350"/>
      <c r="Y103" s="350"/>
      <c r="Z103" s="350"/>
    </row>
    <row r="104" spans="2:26" x14ac:dyDescent="0.25">
      <c r="B104" s="86"/>
      <c r="C104" s="86"/>
      <c r="D104" s="42" t="s">
        <v>50</v>
      </c>
      <c r="E104" s="1"/>
      <c r="F104" s="86"/>
      <c r="G104" s="86"/>
      <c r="H104" s="91"/>
      <c r="I104" s="91"/>
      <c r="J104" s="91"/>
      <c r="K104" s="90"/>
      <c r="L104" s="90"/>
      <c r="M104" s="90"/>
      <c r="N104" s="97"/>
      <c r="O104" s="87"/>
      <c r="P104" s="87"/>
    </row>
    <row r="105" spans="2:26" x14ac:dyDescent="0.25">
      <c r="B105" s="86"/>
      <c r="C105" s="86"/>
      <c r="D105" s="42"/>
      <c r="E105" s="1" t="s">
        <v>51</v>
      </c>
      <c r="F105" s="86"/>
      <c r="G105" s="86"/>
      <c r="H105" s="82"/>
      <c r="I105" s="234" t="str">
        <f>IF(N(H105)&lt;&gt;ROUNDDOWN(N(H105),0),1,"")</f>
        <v/>
      </c>
      <c r="J105" s="8"/>
      <c r="K105" s="83"/>
      <c r="L105" s="234" t="str">
        <f>IF(N(K105)&lt;&gt;ROUNDDOWN(N(K105),0),1,"")</f>
        <v/>
      </c>
      <c r="M105" s="15"/>
      <c r="N105" s="67" t="str">
        <f ca="1">IF(AND(CELL("type",H105)="v",CELL("type",K105)="v")=TRUE,IF(H105+K105=0,"",H105+K105),IF(AND(CELL("type",H105)="v",CELL("type",K105)&lt;&gt;"v")=TRUE,H105,IF(AND(CELL("type",H105)&lt;&gt;"v",CELL("type",K105)="v")=TRUE,K105,"")))</f>
        <v/>
      </c>
      <c r="O105" s="87"/>
      <c r="P105" s="87"/>
    </row>
    <row r="106" spans="2:26" x14ac:dyDescent="0.25">
      <c r="B106" s="86"/>
      <c r="C106" s="86"/>
      <c r="D106" s="96"/>
      <c r="E106" s="86"/>
      <c r="F106" s="86"/>
      <c r="G106" s="86"/>
      <c r="H106" s="91"/>
      <c r="I106" s="91"/>
      <c r="J106" s="91"/>
      <c r="K106" s="90"/>
      <c r="L106" s="90"/>
      <c r="M106" s="90"/>
      <c r="N106" s="97"/>
      <c r="O106" s="87"/>
      <c r="P106" s="87"/>
    </row>
    <row r="107" spans="2:26" x14ac:dyDescent="0.25">
      <c r="B107" s="86"/>
      <c r="C107" s="86"/>
      <c r="D107" s="43" t="s">
        <v>39</v>
      </c>
      <c r="E107" s="1"/>
      <c r="F107" s="1"/>
      <c r="G107" s="1"/>
      <c r="H107" s="82"/>
      <c r="I107" s="234" t="str">
        <f>IF(N(H107)&lt;&gt;ROUNDDOWN(N(H107),0),1,"")</f>
        <v/>
      </c>
      <c r="J107" s="8"/>
      <c r="K107" s="83"/>
      <c r="L107" s="234" t="str">
        <f>IF(N(K107)&lt;&gt;ROUNDDOWN(N(K107),0),1,"")</f>
        <v/>
      </c>
      <c r="M107" s="15"/>
      <c r="N107" s="67" t="str">
        <f ca="1">IF(AND(CELL("type",H107)="v",CELL("type",K107)="v")=TRUE,IF(H107+K107=0,"",H107+K107),IF(AND(CELL("type",H107)="v",CELL("type",K107)&lt;&gt;"v")=TRUE,H107,IF(AND(CELL("type",H107)&lt;&gt;"v",CELL("type",K107)="v")=TRUE,K107,"")))</f>
        <v/>
      </c>
      <c r="O107" s="87"/>
      <c r="P107" s="87"/>
      <c r="Q107" s="334" t="s">
        <v>134</v>
      </c>
      <c r="R107" s="334"/>
      <c r="S107" s="334"/>
      <c r="T107" s="334"/>
      <c r="U107" s="334"/>
      <c r="V107" s="334"/>
      <c r="W107" s="334"/>
      <c r="X107" s="334"/>
      <c r="Y107" s="334"/>
      <c r="Z107" s="334"/>
    </row>
    <row r="108" spans="2:26" x14ac:dyDescent="0.25">
      <c r="B108" s="86"/>
      <c r="C108" s="86"/>
      <c r="D108" s="44"/>
      <c r="E108" s="33"/>
      <c r="F108" s="33"/>
      <c r="G108" s="33"/>
      <c r="H108" s="12"/>
      <c r="I108" s="12"/>
      <c r="J108" s="12"/>
      <c r="K108" s="72"/>
      <c r="L108" s="72"/>
      <c r="M108" s="90"/>
      <c r="N108" s="90"/>
      <c r="O108" s="87"/>
      <c r="P108" s="87"/>
      <c r="Q108" s="334"/>
      <c r="R108" s="334"/>
      <c r="S108" s="334"/>
      <c r="T108" s="334"/>
      <c r="U108" s="334"/>
      <c r="V108" s="334"/>
      <c r="W108" s="334"/>
      <c r="X108" s="334"/>
      <c r="Y108" s="334"/>
      <c r="Z108" s="334"/>
    </row>
    <row r="109" spans="2:26" x14ac:dyDescent="0.25">
      <c r="B109" s="86"/>
      <c r="C109" s="86"/>
      <c r="D109" s="42" t="s">
        <v>40</v>
      </c>
      <c r="E109" s="1"/>
      <c r="F109" s="1"/>
      <c r="G109" s="1"/>
      <c r="H109" s="82"/>
      <c r="I109" s="234" t="str">
        <f>IF(N(H109)&lt;&gt;ROUNDDOWN(N(H109),0),1,"")</f>
        <v/>
      </c>
      <c r="J109" s="8"/>
      <c r="K109" s="83"/>
      <c r="L109" s="234" t="str">
        <f>IF(N(K109)&lt;&gt;ROUNDDOWN(N(K109),0),1,"")</f>
        <v/>
      </c>
      <c r="M109" s="15"/>
      <c r="N109" s="67" t="str">
        <f ca="1">IF(AND(CELL("type",H109)="v",CELL("type",K109)="v")=TRUE,IF(H109+K109=0,"",H109+K109),IF(AND(CELL("type",H109)="v",CELL("type",K109)&lt;&gt;"v")=TRUE,H109,IF(AND(CELL("type",H109)&lt;&gt;"v",CELL("type",K109)="v")=TRUE,K109,"")))</f>
        <v/>
      </c>
      <c r="O109" s="87"/>
      <c r="P109" s="87"/>
      <c r="Q109" s="350" t="s">
        <v>386</v>
      </c>
      <c r="R109" s="350"/>
      <c r="S109" s="350"/>
      <c r="T109" s="350"/>
      <c r="U109" s="350"/>
      <c r="V109" s="350"/>
      <c r="W109" s="350"/>
      <c r="X109" s="350"/>
      <c r="Y109" s="350"/>
      <c r="Z109" s="350"/>
    </row>
    <row r="110" spans="2:26" x14ac:dyDescent="0.25">
      <c r="B110" s="86"/>
      <c r="C110" s="86"/>
      <c r="D110" s="95"/>
      <c r="E110" s="86"/>
      <c r="F110" s="86"/>
      <c r="G110" s="86"/>
      <c r="H110" s="7"/>
      <c r="I110" s="7"/>
      <c r="J110" s="7"/>
      <c r="K110" s="13"/>
      <c r="L110" s="90"/>
      <c r="M110" s="90"/>
      <c r="N110" s="90"/>
      <c r="O110" s="87"/>
      <c r="P110" s="87"/>
      <c r="Q110" s="350"/>
      <c r="R110" s="350"/>
      <c r="S110" s="350"/>
      <c r="T110" s="350"/>
      <c r="U110" s="350"/>
      <c r="V110" s="350"/>
      <c r="W110" s="350"/>
      <c r="X110" s="350"/>
      <c r="Y110" s="350"/>
      <c r="Z110" s="350"/>
    </row>
    <row r="111" spans="2:26" x14ac:dyDescent="0.25">
      <c r="B111" s="86"/>
      <c r="C111" s="86"/>
      <c r="D111" s="42" t="s">
        <v>41</v>
      </c>
      <c r="E111" s="1"/>
      <c r="F111" s="1"/>
      <c r="G111" s="1"/>
      <c r="H111" s="82"/>
      <c r="I111" s="234" t="str">
        <f>IF(N(H111)&lt;&gt;ROUNDDOWN(N(H111),0),1,"")</f>
        <v/>
      </c>
      <c r="J111" s="8"/>
      <c r="K111" s="83"/>
      <c r="L111" s="234" t="str">
        <f>IF(N(K111)&lt;&gt;ROUNDDOWN(N(K111),0),1,"")</f>
        <v/>
      </c>
      <c r="M111" s="15"/>
      <c r="N111" s="67" t="str">
        <f ca="1">IF(AND(CELL("type",H111)="v",CELL("type",K111)="v")=TRUE,IF(H111+K111=0,"",H111+K111),IF(AND(CELL("type",H111)="v",CELL("type",K111)&lt;&gt;"v")=TRUE,H111,IF(AND(CELL("type",H111)&lt;&gt;"v",CELL("type",K111)="v")=TRUE,K111,"")))</f>
        <v/>
      </c>
      <c r="O111" s="87"/>
      <c r="P111" s="87"/>
    </row>
    <row r="112" spans="2:26" x14ac:dyDescent="0.25">
      <c r="B112" s="86"/>
      <c r="C112" s="86"/>
      <c r="D112" s="44"/>
      <c r="E112" s="33"/>
      <c r="F112" s="33"/>
      <c r="G112" s="33"/>
      <c r="H112" s="12"/>
      <c r="I112" s="12"/>
      <c r="J112" s="12"/>
      <c r="K112" s="72"/>
      <c r="L112" s="72"/>
      <c r="M112" s="90"/>
      <c r="N112" s="90"/>
      <c r="O112" s="87"/>
      <c r="P112" s="87"/>
    </row>
    <row r="113" spans="2:29" x14ac:dyDescent="0.25">
      <c r="B113" s="86"/>
      <c r="C113" s="86"/>
      <c r="D113" s="42" t="s">
        <v>42</v>
      </c>
      <c r="E113" s="1"/>
      <c r="F113" s="1"/>
      <c r="G113" s="1"/>
      <c r="H113" s="82"/>
      <c r="I113" s="234" t="str">
        <f>IF(N(H113)&lt;&gt;ROUNDDOWN(N(H113),0),1,"")</f>
        <v/>
      </c>
      <c r="J113" s="8"/>
      <c r="K113" s="83"/>
      <c r="L113" s="234" t="str">
        <f>IF(N(K113)&lt;&gt;ROUNDDOWN(N(K113),0),1,"")</f>
        <v/>
      </c>
      <c r="M113" s="15"/>
      <c r="N113" s="67" t="str">
        <f ca="1">IF(AND(CELL("type",H113)="v",CELL("type",K113)="v")=TRUE,IF(H113+K113=0,"",H113+K113),IF(AND(CELL("type",H113)="v",CELL("type",K113)&lt;&gt;"v")=TRUE,H113,IF(AND(CELL("type",H113)&lt;&gt;"v",CELL("type",K113)="v")=TRUE,K113,"")))</f>
        <v/>
      </c>
      <c r="O113" s="87"/>
      <c r="P113" s="87"/>
      <c r="Q113" s="350" t="s">
        <v>120</v>
      </c>
      <c r="R113" s="350"/>
      <c r="S113" s="350"/>
      <c r="T113" s="350"/>
      <c r="U113" s="350"/>
      <c r="V113" s="350"/>
      <c r="W113" s="350"/>
      <c r="X113" s="350"/>
      <c r="Y113" s="350"/>
      <c r="Z113" s="350"/>
    </row>
    <row r="114" spans="2:29" x14ac:dyDescent="0.25">
      <c r="B114" s="86"/>
      <c r="C114" s="86"/>
      <c r="D114" s="95"/>
      <c r="E114" s="86"/>
      <c r="F114" s="86"/>
      <c r="G114" s="86"/>
      <c r="H114" s="7"/>
      <c r="I114" s="7"/>
      <c r="J114" s="7"/>
      <c r="K114" s="13"/>
      <c r="L114" s="90"/>
      <c r="M114" s="90"/>
      <c r="N114" s="90"/>
      <c r="O114" s="87"/>
      <c r="P114" s="87"/>
      <c r="Q114" s="350"/>
      <c r="R114" s="350"/>
      <c r="S114" s="350"/>
      <c r="T114" s="350"/>
      <c r="U114" s="350"/>
      <c r="V114" s="350"/>
      <c r="W114" s="350"/>
      <c r="X114" s="350"/>
      <c r="Y114" s="350"/>
      <c r="Z114" s="350"/>
    </row>
    <row r="115" spans="2:29" x14ac:dyDescent="0.25">
      <c r="B115" s="86"/>
      <c r="C115" s="86"/>
      <c r="D115" s="42" t="s">
        <v>43</v>
      </c>
      <c r="E115" s="1"/>
      <c r="F115" s="1"/>
      <c r="G115" s="1"/>
      <c r="H115" s="82"/>
      <c r="I115" s="234" t="str">
        <f>IF(N(H115)&lt;&gt;ROUNDDOWN(N(H115),0),1,"")</f>
        <v/>
      </c>
      <c r="J115" s="8"/>
      <c r="K115" s="83"/>
      <c r="L115" s="234" t="str">
        <f>IF(N(K115)&lt;&gt;ROUNDDOWN(N(K115),0),1,"")</f>
        <v/>
      </c>
      <c r="M115" s="15"/>
      <c r="N115" s="67" t="str">
        <f ca="1">IF(AND(CELL("type",H115)="v",CELL("type",K115)="v")=TRUE,IF(H115+K115=0,"",H115+K115),IF(AND(CELL("type",H115)="v",CELL("type",K115)&lt;&gt;"v")=TRUE,H115,IF(AND(CELL("type",H115)&lt;&gt;"v",CELL("type",K115)="v")=TRUE,K115,"")))</f>
        <v/>
      </c>
      <c r="O115" s="87"/>
      <c r="P115" s="87"/>
      <c r="Q115" s="334" t="s">
        <v>153</v>
      </c>
      <c r="R115" s="334"/>
      <c r="S115" s="334"/>
      <c r="T115" s="334"/>
      <c r="U115" s="334"/>
      <c r="V115" s="334"/>
      <c r="W115" s="334"/>
      <c r="X115" s="334"/>
      <c r="Y115" s="334"/>
      <c r="Z115" s="334"/>
    </row>
    <row r="116" spans="2:29" x14ac:dyDescent="0.25">
      <c r="B116" s="86"/>
      <c r="C116" s="86"/>
      <c r="D116" s="95"/>
      <c r="E116" s="86"/>
      <c r="F116" s="86"/>
      <c r="G116" s="86"/>
      <c r="H116" s="7"/>
      <c r="I116" s="7"/>
      <c r="J116" s="7"/>
      <c r="K116" s="13"/>
      <c r="L116" s="90"/>
      <c r="M116" s="90"/>
      <c r="N116" s="90"/>
      <c r="O116" s="87"/>
      <c r="P116" s="87"/>
      <c r="Q116" s="334"/>
      <c r="R116" s="334"/>
      <c r="S116" s="334"/>
      <c r="T116" s="334"/>
      <c r="U116" s="334"/>
      <c r="V116" s="334"/>
      <c r="W116" s="334"/>
      <c r="X116" s="334"/>
      <c r="Y116" s="334"/>
      <c r="Z116" s="334"/>
    </row>
    <row r="117" spans="2:29" x14ac:dyDescent="0.25">
      <c r="B117" s="86"/>
      <c r="C117" s="86"/>
      <c r="D117" s="42" t="s">
        <v>44</v>
      </c>
      <c r="E117" s="1"/>
      <c r="F117" s="1"/>
      <c r="G117" s="1"/>
      <c r="H117" s="82"/>
      <c r="I117" s="234" t="str">
        <f>IF(N(H117)&lt;&gt;ROUNDDOWN(N(H117),0),1,"")</f>
        <v/>
      </c>
      <c r="J117" s="8"/>
      <c r="K117" s="83"/>
      <c r="L117" s="234" t="str">
        <f>IF(N(K117)&lt;&gt;ROUNDDOWN(N(K117),0),1,"")</f>
        <v/>
      </c>
      <c r="M117" s="15"/>
      <c r="N117" s="67" t="str">
        <f ca="1">IF(AND(CELL("type",H117)="v",CELL("type",K117)="v")=TRUE,IF(H117+K117=0,"",H117+K117),IF(AND(CELL("type",H117)="v",CELL("type",K117)&lt;&gt;"v")=TRUE,H117,IF(AND(CELL("type",H117)&lt;&gt;"v",CELL("type",K117)="v")=TRUE,K117,"")))</f>
        <v/>
      </c>
      <c r="O117" s="87"/>
      <c r="P117" s="87"/>
      <c r="Q117" s="350" t="s">
        <v>334</v>
      </c>
      <c r="R117" s="350"/>
      <c r="S117" s="350"/>
      <c r="T117" s="350"/>
      <c r="U117" s="350"/>
      <c r="V117" s="350"/>
      <c r="W117" s="350"/>
      <c r="X117" s="350"/>
      <c r="Y117" s="350"/>
      <c r="Z117" s="350"/>
    </row>
    <row r="118" spans="2:29" x14ac:dyDescent="0.25">
      <c r="B118" s="86"/>
      <c r="C118" s="86"/>
      <c r="D118" s="95"/>
      <c r="E118" s="86"/>
      <c r="F118" s="86"/>
      <c r="G118" s="86"/>
      <c r="H118" s="7"/>
      <c r="I118" s="7"/>
      <c r="J118" s="7"/>
      <c r="K118" s="13"/>
      <c r="L118" s="90"/>
      <c r="M118" s="90"/>
      <c r="N118" s="90"/>
      <c r="O118" s="87"/>
      <c r="P118" s="87"/>
      <c r="Q118" s="350"/>
      <c r="R118" s="350"/>
      <c r="S118" s="350"/>
      <c r="T118" s="350"/>
      <c r="U118" s="350"/>
      <c r="V118" s="350"/>
      <c r="W118" s="350"/>
      <c r="X118" s="350"/>
      <c r="Y118" s="350"/>
      <c r="Z118" s="350"/>
    </row>
    <row r="119" spans="2:29" ht="12.75" customHeight="1" x14ac:dyDescent="0.25">
      <c r="B119" s="86"/>
      <c r="C119" s="86"/>
      <c r="D119" s="42" t="s">
        <v>45</v>
      </c>
      <c r="E119" s="1"/>
      <c r="F119" s="1"/>
      <c r="G119" s="1"/>
      <c r="H119" s="82"/>
      <c r="I119" s="234" t="str">
        <f>IF(N(H119)&lt;&gt;ROUNDDOWN(N(H119),0),1,"")</f>
        <v/>
      </c>
      <c r="J119" s="8"/>
      <c r="K119" s="83"/>
      <c r="L119" s="234" t="str">
        <f>IF(N(K119)&lt;&gt;ROUNDDOWN(N(K119),0),1,"")</f>
        <v/>
      </c>
      <c r="M119" s="15"/>
      <c r="N119" s="67" t="str">
        <f ca="1">IF(AND(CELL("type",H119)="v",CELL("type",K119)="v")=TRUE,IF(H119+K119=0,"",H119+K119),IF(AND(CELL("type",H119)="v",CELL("type",K119)&lt;&gt;"v")=TRUE,H119,IF(AND(CELL("type",H119)&lt;&gt;"v",CELL("type",K119)="v")=TRUE,K119,"")))</f>
        <v/>
      </c>
      <c r="O119" s="87"/>
      <c r="P119" s="87"/>
      <c r="Q119" s="334" t="s">
        <v>387</v>
      </c>
      <c r="R119" s="334"/>
      <c r="S119" s="334"/>
      <c r="T119" s="334"/>
      <c r="U119" s="334"/>
      <c r="V119" s="334"/>
      <c r="W119" s="334"/>
      <c r="X119" s="334"/>
      <c r="Y119" s="334"/>
      <c r="Z119" s="334"/>
      <c r="AA119" s="202"/>
      <c r="AB119" s="202"/>
      <c r="AC119" s="202"/>
    </row>
    <row r="120" spans="2:29" x14ac:dyDescent="0.25">
      <c r="B120" s="86"/>
      <c r="C120" s="86"/>
      <c r="D120" s="95"/>
      <c r="E120" s="86"/>
      <c r="F120" s="86"/>
      <c r="G120" s="86"/>
      <c r="H120" s="7"/>
      <c r="I120" s="7"/>
      <c r="J120" s="7"/>
      <c r="K120" s="13"/>
      <c r="L120" s="90"/>
      <c r="M120" s="90"/>
      <c r="N120" s="90"/>
      <c r="O120" s="87"/>
      <c r="P120" s="87"/>
      <c r="Q120" s="334"/>
      <c r="R120" s="334"/>
      <c r="S120" s="334"/>
      <c r="T120" s="334"/>
      <c r="U120" s="334"/>
      <c r="V120" s="334"/>
      <c r="W120" s="334"/>
      <c r="X120" s="334"/>
      <c r="Y120" s="334"/>
      <c r="Z120" s="334"/>
      <c r="AA120" s="202"/>
      <c r="AB120" s="202"/>
      <c r="AC120" s="202"/>
    </row>
    <row r="121" spans="2:29" ht="12.75" customHeight="1" x14ac:dyDescent="0.25">
      <c r="B121" s="86"/>
      <c r="C121" s="86"/>
      <c r="D121" s="42" t="s">
        <v>46</v>
      </c>
      <c r="E121" s="1"/>
      <c r="F121" s="1"/>
      <c r="G121" s="1"/>
      <c r="H121" s="82"/>
      <c r="I121" s="234" t="str">
        <f>IF(N(H121)&lt;&gt;ROUNDDOWN(N(H121),0),1,"")</f>
        <v/>
      </c>
      <c r="J121" s="8"/>
      <c r="K121" s="83"/>
      <c r="L121" s="234" t="str">
        <f>IF(N(K121)&lt;&gt;ROUNDDOWN(N(K121),0),1,"")</f>
        <v/>
      </c>
      <c r="M121" s="15"/>
      <c r="N121" s="67" t="str">
        <f ca="1">IF(AND(CELL("type",H121)="v",CELL("type",K121)="v")=TRUE,IF(H121+K121=0,"",H121+K121),IF(AND(CELL("type",H121)="v",CELL("type",K121)&lt;&gt;"v")=TRUE,H121,IF(AND(CELL("type",H121)&lt;&gt;"v",CELL("type",K121)="v")=TRUE,K121,"")))</f>
        <v/>
      </c>
      <c r="O121" s="87"/>
      <c r="P121" s="87"/>
      <c r="Q121" s="335" t="s">
        <v>122</v>
      </c>
      <c r="R121" s="335"/>
      <c r="S121" s="335"/>
      <c r="T121" s="335"/>
      <c r="U121" s="335"/>
      <c r="V121" s="335"/>
      <c r="W121" s="335"/>
      <c r="X121" s="335"/>
      <c r="Y121" s="335"/>
      <c r="Z121" s="335"/>
      <c r="AA121" s="335"/>
      <c r="AB121" s="335"/>
      <c r="AC121" s="335"/>
    </row>
    <row r="122" spans="2:29" x14ac:dyDescent="0.25">
      <c r="B122" s="86"/>
      <c r="C122" s="86"/>
      <c r="D122" s="95"/>
      <c r="E122" s="86"/>
      <c r="F122" s="86"/>
      <c r="G122" s="86"/>
      <c r="H122" s="7"/>
      <c r="I122" s="7"/>
      <c r="J122" s="7"/>
      <c r="K122" s="13"/>
      <c r="L122" s="90"/>
      <c r="M122" s="90"/>
      <c r="N122" s="90"/>
      <c r="O122" s="87"/>
      <c r="P122" s="87"/>
      <c r="Q122" s="335"/>
      <c r="R122" s="335"/>
      <c r="S122" s="335"/>
      <c r="T122" s="335"/>
      <c r="U122" s="335"/>
      <c r="V122" s="335"/>
      <c r="W122" s="335"/>
      <c r="X122" s="335"/>
      <c r="Y122" s="335"/>
      <c r="Z122" s="335"/>
      <c r="AA122" s="335"/>
      <c r="AB122" s="335"/>
      <c r="AC122" s="335"/>
    </row>
    <row r="123" spans="2:29" x14ac:dyDescent="0.25">
      <c r="B123" s="86"/>
      <c r="C123" s="86"/>
      <c r="D123" s="42" t="s">
        <v>47</v>
      </c>
      <c r="E123" s="1"/>
      <c r="F123" s="1"/>
      <c r="G123" s="1"/>
      <c r="H123" s="82"/>
      <c r="I123" s="234" t="str">
        <f>IF(N(H123)&lt;&gt;ROUNDDOWN(N(H123),0),1,"")</f>
        <v/>
      </c>
      <c r="J123" s="8"/>
      <c r="K123" s="83"/>
      <c r="L123" s="234" t="str">
        <f>IF(N(K123)&lt;&gt;ROUNDDOWN(N(K123),0),1,"")</f>
        <v/>
      </c>
      <c r="M123" s="15"/>
      <c r="N123" s="67" t="str">
        <f ca="1">IF(AND(CELL("type",H123)="v",CELL("type",K123)="v")=TRUE,IF(H123+K123=0,"",H123+K123),IF(AND(CELL("type",H123)="v",CELL("type",K123)&lt;&gt;"v")=TRUE,H123,IF(AND(CELL("type",H123)&lt;&gt;"v",CELL("type",K123)="v")=TRUE,K123,"")))</f>
        <v/>
      </c>
      <c r="O123" s="87"/>
      <c r="P123" s="87"/>
      <c r="Q123" s="334" t="s">
        <v>121</v>
      </c>
      <c r="R123" s="334"/>
      <c r="S123" s="334"/>
      <c r="T123" s="334"/>
      <c r="U123" s="334"/>
      <c r="V123" s="334"/>
      <c r="W123" s="334"/>
      <c r="X123" s="334"/>
      <c r="Y123" s="334"/>
      <c r="Z123" s="334"/>
      <c r="AA123" s="203"/>
      <c r="AB123" s="203"/>
      <c r="AC123" s="203"/>
    </row>
    <row r="124" spans="2:29" x14ac:dyDescent="0.25">
      <c r="B124" s="86"/>
      <c r="C124" s="86"/>
      <c r="D124" s="95"/>
      <c r="E124" s="86"/>
      <c r="F124" s="86"/>
      <c r="G124" s="86"/>
      <c r="H124" s="7"/>
      <c r="I124" s="7"/>
      <c r="J124" s="7"/>
      <c r="K124" s="13"/>
      <c r="L124" s="90"/>
      <c r="M124" s="90"/>
      <c r="N124" s="90"/>
      <c r="O124" s="87"/>
      <c r="P124" s="87"/>
      <c r="Q124" s="334"/>
      <c r="R124" s="334"/>
      <c r="S124" s="334"/>
      <c r="T124" s="334"/>
      <c r="U124" s="334"/>
      <c r="V124" s="334"/>
      <c r="W124" s="334"/>
      <c r="X124" s="334"/>
      <c r="Y124" s="334"/>
      <c r="Z124" s="334"/>
      <c r="AA124" s="202"/>
      <c r="AB124" s="202"/>
      <c r="AC124" s="202"/>
    </row>
    <row r="125" spans="2:29" x14ac:dyDescent="0.25">
      <c r="B125" s="86"/>
      <c r="C125" s="86"/>
      <c r="D125" s="95" t="s">
        <v>285</v>
      </c>
      <c r="E125" s="86"/>
      <c r="F125" s="86"/>
      <c r="G125" s="86"/>
      <c r="H125" s="82"/>
      <c r="I125" s="234" t="str">
        <f>IF(N(H125)&lt;&gt;ROUNDDOWN(N(H125),0),1,"")</f>
        <v/>
      </c>
      <c r="J125" s="8"/>
      <c r="K125" s="83"/>
      <c r="L125" s="234" t="str">
        <f>IF(N(K125)&lt;&gt;ROUNDDOWN(N(K125),0),1,"")</f>
        <v/>
      </c>
      <c r="M125" s="15"/>
      <c r="N125" s="67" t="str">
        <f ca="1">IF(AND(CELL("type",H125)="v",CELL("type",K125)="v")=TRUE,IF(H125+K125=0,"",H125+K125),IF(AND(CELL("type",H125)="v",CELL("type",K125)&lt;&gt;"v")=TRUE,H125,IF(AND(CELL("type",H125)&lt;&gt;"v",CELL("type",K125)="v")=TRUE,K125,"")))</f>
        <v/>
      </c>
      <c r="O125" s="87"/>
      <c r="P125" s="87"/>
      <c r="Q125" s="332" t="s">
        <v>324</v>
      </c>
      <c r="R125" s="332"/>
      <c r="S125" s="332"/>
      <c r="T125" s="332"/>
      <c r="U125" s="332"/>
      <c r="V125" s="332"/>
      <c r="W125" s="332"/>
      <c r="X125" s="332"/>
      <c r="Y125" s="332"/>
      <c r="Z125" s="332"/>
      <c r="AA125" s="202"/>
      <c r="AB125" s="202"/>
      <c r="AC125" s="202"/>
    </row>
    <row r="126" spans="2:29" x14ac:dyDescent="0.25">
      <c r="B126" s="86"/>
      <c r="C126" s="86"/>
      <c r="D126" s="95"/>
      <c r="E126" s="86"/>
      <c r="F126" s="86"/>
      <c r="G126" s="86"/>
      <c r="H126" s="7"/>
      <c r="I126" s="7"/>
      <c r="J126" s="7"/>
      <c r="K126" s="13"/>
      <c r="L126" s="90"/>
      <c r="M126" s="90"/>
      <c r="N126" s="90"/>
      <c r="O126" s="87"/>
      <c r="P126" s="87"/>
      <c r="Q126" s="333"/>
      <c r="R126" s="333"/>
      <c r="S126" s="333"/>
      <c r="T126" s="333"/>
      <c r="U126" s="333"/>
      <c r="V126" s="333"/>
      <c r="W126" s="333"/>
      <c r="X126" s="333"/>
      <c r="Y126" s="333"/>
      <c r="Z126" s="333"/>
      <c r="AA126" s="202"/>
      <c r="AB126" s="202"/>
      <c r="AC126" s="202"/>
    </row>
    <row r="127" spans="2:29" x14ac:dyDescent="0.25">
      <c r="B127" s="86"/>
      <c r="C127" s="86"/>
      <c r="D127" s="42" t="s">
        <v>49</v>
      </c>
      <c r="E127" s="1"/>
      <c r="F127" s="1"/>
      <c r="G127" s="1"/>
      <c r="H127" s="82"/>
      <c r="I127" s="234" t="str">
        <f>IF(N(H127)&lt;&gt;ROUNDDOWN(N(H127),0),1,"")</f>
        <v/>
      </c>
      <c r="J127" s="8"/>
      <c r="K127" s="83"/>
      <c r="L127" s="234" t="str">
        <f>IF(N(K127)&lt;&gt;ROUNDDOWN(N(K127),0),1,"")</f>
        <v/>
      </c>
      <c r="M127" s="15"/>
      <c r="N127" s="67" t="str">
        <f ca="1">IF(AND(CELL("type",H127)="v",CELL("type",K127)="v")=TRUE,IF(H127+K127=0,"",H127+K127),IF(AND(CELL("type",H127)="v",CELL("type",K127)&lt;&gt;"v")=TRUE,H127,IF(AND(CELL("type",H127)&lt;&gt;"v",CELL("type",K127)="v")=TRUE,K127,"")))</f>
        <v/>
      </c>
      <c r="O127" s="87"/>
      <c r="P127" s="87"/>
      <c r="Q127" s="334" t="s">
        <v>198</v>
      </c>
      <c r="R127" s="334"/>
      <c r="S127" s="334"/>
      <c r="T127" s="334"/>
      <c r="U127" s="334"/>
      <c r="V127" s="334"/>
      <c r="W127" s="334"/>
      <c r="X127" s="334"/>
      <c r="Y127" s="334"/>
      <c r="Z127" s="334"/>
      <c r="AA127" s="128"/>
      <c r="AB127" s="128"/>
      <c r="AC127" s="128"/>
    </row>
    <row r="128" spans="2:29" x14ac:dyDescent="0.25">
      <c r="B128" s="86"/>
      <c r="C128" s="86"/>
      <c r="D128" s="95"/>
      <c r="E128" s="86"/>
      <c r="F128" s="86"/>
      <c r="G128" s="86"/>
      <c r="H128" s="7"/>
      <c r="I128" s="7"/>
      <c r="J128" s="7"/>
      <c r="K128" s="13"/>
      <c r="L128" s="90"/>
      <c r="M128" s="90"/>
      <c r="N128" s="90"/>
      <c r="O128" s="87"/>
      <c r="P128" s="87"/>
      <c r="Q128" s="334"/>
      <c r="R128" s="334"/>
      <c r="S128" s="334"/>
      <c r="T128" s="334"/>
      <c r="U128" s="334"/>
      <c r="V128" s="334"/>
      <c r="W128" s="334"/>
      <c r="X128" s="334"/>
      <c r="Y128" s="334"/>
      <c r="Z128" s="334"/>
    </row>
    <row r="129" spans="1:26" x14ac:dyDescent="0.25">
      <c r="B129" s="86"/>
      <c r="C129" s="86"/>
      <c r="D129" s="42" t="s">
        <v>48</v>
      </c>
      <c r="E129" s="1"/>
      <c r="F129" s="1"/>
      <c r="G129" s="1"/>
      <c r="H129" s="82"/>
      <c r="I129" s="234" t="str">
        <f>IF(N(H129)&lt;&gt;ROUNDDOWN(N(H129),0),1,"")</f>
        <v/>
      </c>
      <c r="J129" s="8"/>
      <c r="K129" s="83"/>
      <c r="L129" s="234" t="str">
        <f>IF(N(K129)&lt;&gt;ROUNDDOWN(N(K129),0),1,"")</f>
        <v/>
      </c>
      <c r="M129" s="15"/>
      <c r="N129" s="67" t="str">
        <f ca="1">IF(AND(CELL("type",H129)="v",CELL("type",K129)="v")=TRUE,IF(H129+K129=0,"",H129+K129),IF(AND(CELL("type",H129)="v",CELL("type",K129)&lt;&gt;"v")=TRUE,H129,IF(AND(CELL("type",H129)&lt;&gt;"v",CELL("type",K129)="v")=TRUE,K129,"")))</f>
        <v/>
      </c>
      <c r="O129" s="87"/>
      <c r="P129" s="87"/>
    </row>
    <row r="130" spans="1:26" x14ac:dyDescent="0.25">
      <c r="B130" s="86"/>
      <c r="C130" s="86"/>
      <c r="D130" s="95"/>
      <c r="E130" s="86"/>
      <c r="F130" s="86"/>
      <c r="G130" s="86"/>
      <c r="H130" s="7"/>
      <c r="I130" s="7"/>
      <c r="J130" s="7"/>
      <c r="K130" s="13"/>
      <c r="L130" s="90"/>
      <c r="M130" s="90"/>
      <c r="N130" s="90"/>
      <c r="O130" s="87"/>
      <c r="P130" s="87"/>
    </row>
    <row r="131" spans="1:26" ht="12.75" customHeight="1" x14ac:dyDescent="0.25">
      <c r="B131" s="86"/>
      <c r="C131" s="86"/>
      <c r="D131" s="43" t="s">
        <v>8</v>
      </c>
      <c r="E131" s="1"/>
      <c r="F131" s="1"/>
      <c r="G131" s="1"/>
      <c r="H131" s="82"/>
      <c r="I131" s="234" t="str">
        <f>IF(N(H131)&lt;&gt;ROUNDDOWN(N(H131),0),1,"")</f>
        <v/>
      </c>
      <c r="J131" s="8"/>
      <c r="K131" s="83"/>
      <c r="L131" s="234" t="str">
        <f>IF(N(K131)&lt;&gt;ROUNDDOWN(N(K131),0),1,"")</f>
        <v/>
      </c>
      <c r="M131" s="15"/>
      <c r="N131" s="67" t="str">
        <f ca="1">IF(AND(CELL("type",H131)="v",CELL("type",K131)="v")=TRUE,IF(H131+K131=0,"",H131+K131),IF(AND(CELL("type",H131)="v",CELL("type",K131)&lt;&gt;"v")=TRUE,H131,IF(AND(CELL("type",H131)&lt;&gt;"v",CELL("type",K131)="v")=TRUE,K131,"")))</f>
        <v/>
      </c>
      <c r="O131" s="87"/>
      <c r="P131" s="87"/>
      <c r="Q131" s="334" t="s">
        <v>215</v>
      </c>
      <c r="R131" s="334"/>
      <c r="S131" s="334"/>
      <c r="T131" s="334"/>
      <c r="U131" s="334"/>
      <c r="V131" s="334"/>
      <c r="W131" s="334"/>
      <c r="X131" s="334"/>
      <c r="Y131" s="334"/>
      <c r="Z131" s="334"/>
    </row>
    <row r="132" spans="1:26" x14ac:dyDescent="0.25">
      <c r="B132" s="86"/>
      <c r="C132" s="86"/>
      <c r="D132" s="86"/>
      <c r="E132" s="86"/>
      <c r="F132" s="86"/>
      <c r="G132" s="86"/>
      <c r="H132" s="91"/>
      <c r="I132" s="91"/>
      <c r="J132" s="91"/>
      <c r="K132" s="90"/>
      <c r="L132" s="90"/>
      <c r="M132" s="90"/>
      <c r="N132" s="97"/>
      <c r="O132" s="87"/>
      <c r="P132" s="87"/>
      <c r="Q132" s="334"/>
      <c r="R132" s="334"/>
      <c r="S132" s="334"/>
      <c r="T132" s="334"/>
      <c r="U132" s="334"/>
      <c r="V132" s="334"/>
      <c r="W132" s="334"/>
      <c r="X132" s="334"/>
      <c r="Y132" s="334"/>
      <c r="Z132" s="334"/>
    </row>
    <row r="133" spans="1:26" x14ac:dyDescent="0.25">
      <c r="B133" s="40" t="s">
        <v>123</v>
      </c>
      <c r="C133" s="41" t="s">
        <v>54</v>
      </c>
      <c r="D133" s="1"/>
      <c r="E133" s="1"/>
      <c r="F133" s="1"/>
      <c r="G133" s="86"/>
      <c r="H133" s="91"/>
      <c r="I133" s="91"/>
      <c r="J133" s="91"/>
      <c r="K133" s="90"/>
      <c r="L133" s="90"/>
      <c r="M133" s="90"/>
      <c r="N133" s="90"/>
      <c r="O133" s="87"/>
      <c r="P133" s="87"/>
    </row>
    <row r="134" spans="1:26" x14ac:dyDescent="0.25">
      <c r="B134" s="86"/>
      <c r="C134" s="86"/>
      <c r="D134" s="41" t="s">
        <v>55</v>
      </c>
      <c r="E134" s="86"/>
      <c r="F134" s="86"/>
      <c r="G134" s="40" t="s">
        <v>9</v>
      </c>
      <c r="H134" s="67" t="str">
        <f>IF(SUM(H77:H132)=0,"",SUM(H77:H132))</f>
        <v/>
      </c>
      <c r="I134" s="234"/>
      <c r="J134" s="10" t="s">
        <v>9</v>
      </c>
      <c r="K134" s="67" t="str">
        <f>IF(SUM(K77:K132)=0,"",SUM(K77:K132))</f>
        <v/>
      </c>
      <c r="L134" s="234"/>
      <c r="M134" s="68" t="s">
        <v>9</v>
      </c>
      <c r="N134" s="67" t="str">
        <f ca="1">IF(AND(CELL("type",H134)="v",CELL("type",K134)="v")=TRUE,IF(H134+K134=0,"",H134+K134),IF(AND(CELL("type",H134)="v",CELL("type",K134)&lt;&gt;"v")=TRUE,H134,IF(AND(CELL("type",H134)&lt;&gt;"v",CELL("type",K134)="v")=TRUE,K134,"")))</f>
        <v/>
      </c>
      <c r="O134" s="87"/>
      <c r="P134" s="87"/>
    </row>
    <row r="135" spans="1:26" ht="12.75" customHeight="1" x14ac:dyDescent="0.25">
      <c r="B135" s="86"/>
      <c r="C135" s="86"/>
      <c r="D135" s="86"/>
      <c r="E135" s="86"/>
      <c r="F135" s="86"/>
      <c r="G135" s="86"/>
      <c r="H135" s="86"/>
      <c r="I135" s="86"/>
      <c r="J135" s="86"/>
      <c r="K135" s="89"/>
      <c r="L135" s="89"/>
      <c r="M135" s="89"/>
      <c r="N135" s="98"/>
      <c r="O135" s="87"/>
      <c r="P135" s="87"/>
      <c r="Q135" s="129">
        <v>0.05</v>
      </c>
      <c r="R135" s="130" t="s">
        <v>146</v>
      </c>
      <c r="S135" s="131"/>
      <c r="T135" s="131"/>
      <c r="U135" s="131"/>
      <c r="V135" s="132">
        <f ca="1">IF(ISERROR(N(N134)*N(Q135)),0,N(N134)*N(Q135))</f>
        <v>0</v>
      </c>
      <c r="W135" s="130" t="s">
        <v>147</v>
      </c>
      <c r="X135" s="131"/>
      <c r="Y135" s="131"/>
      <c r="Z135" s="131"/>
    </row>
    <row r="136" spans="1:26" ht="12.75" customHeight="1" x14ac:dyDescent="0.25">
      <c r="B136" s="101" t="s">
        <v>124</v>
      </c>
      <c r="C136" s="102" t="s">
        <v>218</v>
      </c>
      <c r="D136" s="86"/>
      <c r="E136" s="86"/>
      <c r="F136" s="86"/>
      <c r="G136" s="40" t="s">
        <v>9</v>
      </c>
      <c r="H136" s="82"/>
      <c r="I136" s="234" t="str">
        <f>IF(N(H136)&lt;&gt;ROUNDDOWN(N(H136),0),1,"")</f>
        <v/>
      </c>
      <c r="J136" s="10" t="s">
        <v>9</v>
      </c>
      <c r="K136" s="83"/>
      <c r="L136" s="234" t="str">
        <f>IF(N(K136)&lt;&gt;ROUNDDOWN(N(K136),0),1,"")</f>
        <v/>
      </c>
      <c r="M136" s="40" t="s">
        <v>9</v>
      </c>
      <c r="N136" s="67" t="str">
        <f ca="1">IF(AND(CELL("type",H136)="v",CELL("type",K136)="v")=TRUE,IF(H136+K136=0,"",H136+K136),IF(AND(CELL("type",H136)="v",CELL("type",K136)&lt;&gt;"v")=TRUE,H136,IF(AND(CELL("type",H136)&lt;&gt;"v",CELL("type",K136)="v")=TRUE,K136,"")))</f>
        <v/>
      </c>
      <c r="O136" s="87"/>
      <c r="P136" s="125" t="str">
        <f ca="1">IF(Q136="No","**","")</f>
        <v/>
      </c>
      <c r="Q136" s="133" t="str">
        <f ca="1">IF(N(N136)&lt;=V135,"Yes","No")</f>
        <v>Yes</v>
      </c>
      <c r="R136" s="134" t="s">
        <v>126</v>
      </c>
      <c r="S136" s="134"/>
      <c r="T136" s="134"/>
      <c r="U136" s="134"/>
      <c r="V136" s="134"/>
      <c r="W136" s="134"/>
      <c r="X136" s="134"/>
      <c r="Y136" s="134"/>
      <c r="Z136" s="134"/>
    </row>
    <row r="137" spans="1:26" ht="12.75" customHeight="1" x14ac:dyDescent="0.25">
      <c r="B137" s="86"/>
      <c r="C137" s="86"/>
      <c r="D137" s="86"/>
      <c r="E137" s="86"/>
      <c r="F137" s="86"/>
      <c r="G137" s="86"/>
      <c r="H137" s="86"/>
      <c r="I137" s="86"/>
      <c r="J137" s="86"/>
      <c r="K137" s="89"/>
      <c r="L137" s="89"/>
      <c r="M137" s="89"/>
      <c r="N137" s="98"/>
      <c r="O137" s="87"/>
      <c r="P137" s="87"/>
      <c r="Q137" s="135" t="str">
        <f ca="1">IF(Q136="No","The amount entered for 'Soft Cost Contingency' is too high by "&amp;TEXT(N(N136)-N(V135),"$#,##0.00")&amp;".  ","")</f>
        <v/>
      </c>
      <c r="R137" s="136"/>
      <c r="S137" s="136"/>
      <c r="T137" s="136"/>
      <c r="U137" s="136"/>
      <c r="V137" s="136"/>
      <c r="W137" s="136"/>
      <c r="X137" s="136"/>
      <c r="Y137" s="136"/>
      <c r="Z137" s="136"/>
    </row>
    <row r="138" spans="1:26" ht="3.75" customHeight="1" thickBot="1" x14ac:dyDescent="0.3">
      <c r="B138" s="86"/>
      <c r="C138" s="86"/>
      <c r="D138" s="86"/>
      <c r="E138" s="86"/>
      <c r="F138" s="86"/>
      <c r="G138" s="86"/>
      <c r="H138" s="86"/>
      <c r="I138" s="86"/>
      <c r="J138" s="86"/>
      <c r="K138" s="89"/>
      <c r="L138" s="89"/>
      <c r="M138" s="89"/>
      <c r="N138" s="98"/>
      <c r="O138" s="87"/>
      <c r="P138" s="87"/>
      <c r="Q138" s="204"/>
      <c r="R138" s="134"/>
      <c r="S138" s="134"/>
      <c r="T138" s="134"/>
      <c r="U138" s="134"/>
      <c r="V138" s="134"/>
      <c r="W138" s="134"/>
      <c r="X138" s="134"/>
      <c r="Y138" s="134"/>
      <c r="Z138" s="134"/>
    </row>
    <row r="139" spans="1:26" ht="3.75" customHeight="1" x14ac:dyDescent="0.25">
      <c r="A139" s="85"/>
      <c r="B139" s="92"/>
      <c r="C139" s="92"/>
      <c r="D139" s="92"/>
      <c r="E139" s="92"/>
      <c r="F139" s="92"/>
      <c r="G139" s="92"/>
      <c r="H139" s="92"/>
      <c r="I139" s="92"/>
      <c r="J139" s="92"/>
      <c r="K139" s="93"/>
      <c r="L139" s="93"/>
      <c r="M139" s="93"/>
      <c r="N139" s="93"/>
      <c r="O139" s="94"/>
      <c r="P139" s="94"/>
    </row>
    <row r="140" spans="1:26" x14ac:dyDescent="0.25">
      <c r="B140" s="64" t="str">
        <f>B$2</f>
        <v>RFA 2021-204 DEVELOPMENT COST PRO FORMA</v>
      </c>
      <c r="C140" s="86"/>
      <c r="D140" s="86"/>
      <c r="E140" s="86"/>
      <c r="F140" s="86"/>
      <c r="G140" s="86"/>
      <c r="H140" s="1"/>
      <c r="I140" s="1"/>
      <c r="J140" s="1"/>
      <c r="K140" s="66"/>
      <c r="L140" s="89"/>
      <c r="M140" s="89"/>
      <c r="N140" s="89"/>
      <c r="O140" s="87"/>
      <c r="P140" s="3" t="s">
        <v>246</v>
      </c>
    </row>
    <row r="141" spans="1:26" x14ac:dyDescent="0.25">
      <c r="B141" s="86"/>
      <c r="C141" s="86"/>
      <c r="D141" s="86"/>
      <c r="E141" s="86"/>
      <c r="F141" s="86"/>
      <c r="G141" s="86"/>
      <c r="H141" s="161">
        <f>H$38</f>
        <v>1</v>
      </c>
      <c r="I141" s="1"/>
      <c r="J141" s="1"/>
      <c r="K141" s="161">
        <f>K$38</f>
        <v>2</v>
      </c>
      <c r="L141" s="1"/>
      <c r="M141" s="32"/>
      <c r="N141" s="161">
        <f>N$38</f>
        <v>3</v>
      </c>
      <c r="O141" s="87"/>
      <c r="P141" s="87"/>
    </row>
    <row r="142" spans="1:26" ht="23.1" customHeight="1" x14ac:dyDescent="0.25">
      <c r="B142" s="86"/>
      <c r="C142" s="86"/>
      <c r="D142" s="86"/>
      <c r="E142" s="86"/>
      <c r="F142" s="86"/>
      <c r="G142" s="86"/>
      <c r="H142" s="34" t="str">
        <f>H$39</f>
        <v>HC ELIGIBLE
COSTS</v>
      </c>
      <c r="I142" s="31"/>
      <c r="J142" s="31"/>
      <c r="K142" s="34" t="str">
        <f>K$39</f>
        <v>HC INELIGIBLE
COSTS</v>
      </c>
      <c r="L142" s="35"/>
      <c r="M142" s="71"/>
      <c r="N142" s="34" t="str">
        <f>N$39</f>
        <v>TOTAL
COSTS</v>
      </c>
      <c r="O142" s="87"/>
      <c r="P142" s="87"/>
    </row>
    <row r="143" spans="1:26" x14ac:dyDescent="0.25">
      <c r="B143" s="86"/>
      <c r="C143" s="37" t="s">
        <v>18</v>
      </c>
      <c r="D143" s="86"/>
      <c r="E143" s="86"/>
      <c r="F143" s="86"/>
      <c r="G143" s="86"/>
      <c r="H143" s="86"/>
      <c r="I143" s="86"/>
      <c r="J143" s="86"/>
      <c r="K143" s="89"/>
      <c r="L143" s="89"/>
      <c r="M143" s="89"/>
      <c r="N143" s="89"/>
      <c r="O143" s="87"/>
      <c r="P143" s="87"/>
    </row>
    <row r="144" spans="1:26" x14ac:dyDescent="0.25">
      <c r="B144" s="86"/>
      <c r="C144" s="37"/>
      <c r="D144" s="96" t="s">
        <v>19</v>
      </c>
      <c r="E144" s="96"/>
      <c r="F144" s="86"/>
      <c r="G144" s="86"/>
      <c r="H144" s="86"/>
      <c r="I144" s="86"/>
      <c r="J144" s="86"/>
      <c r="K144" s="89"/>
      <c r="L144" s="89"/>
      <c r="M144" s="89"/>
      <c r="N144" s="89"/>
      <c r="O144" s="87"/>
      <c r="P144" s="87"/>
    </row>
    <row r="145" spans="2:26" x14ac:dyDescent="0.25">
      <c r="B145" s="86"/>
      <c r="C145" s="37"/>
      <c r="D145" s="96"/>
      <c r="E145" s="96" t="s">
        <v>22</v>
      </c>
      <c r="F145" s="86"/>
      <c r="G145" s="86"/>
      <c r="H145" s="82"/>
      <c r="I145" s="234" t="str">
        <f>IF(N(H145)&lt;&gt;ROUNDDOWN(N(H145),0),1,"")</f>
        <v/>
      </c>
      <c r="J145" s="8"/>
      <c r="K145" s="83"/>
      <c r="L145" s="234" t="str">
        <f>IF(N(K145)&lt;&gt;ROUNDDOWN(N(K145),0),1,"")</f>
        <v/>
      </c>
      <c r="M145" s="13"/>
      <c r="N145" s="67" t="str">
        <f ca="1">IF(AND(CELL("type",H145)="v",CELL("type",K145)="v")=TRUE,IF(H145+K145=0,"",H145+K145),IF(AND(CELL("type",H145)="v",CELL("type",K145)&lt;&gt;"v")=TRUE,H145,IF(AND(CELL("type",H145)&lt;&gt;"v",CELL("type",K145)="v")=TRUE,K145,"")))</f>
        <v/>
      </c>
      <c r="O145" s="87"/>
      <c r="P145" s="87"/>
    </row>
    <row r="146" spans="2:26" x14ac:dyDescent="0.25">
      <c r="B146" s="86"/>
      <c r="C146" s="37"/>
      <c r="D146" s="96"/>
      <c r="E146" s="96"/>
      <c r="F146" s="86"/>
      <c r="G146" s="86"/>
      <c r="H146" s="91"/>
      <c r="I146" s="91"/>
      <c r="J146" s="91"/>
      <c r="K146" s="90"/>
      <c r="L146" s="90"/>
      <c r="M146" s="90"/>
      <c r="N146" s="90"/>
      <c r="O146" s="87"/>
      <c r="P146" s="87"/>
    </row>
    <row r="147" spans="2:26" x14ac:dyDescent="0.25">
      <c r="B147" s="86"/>
      <c r="C147" s="86"/>
      <c r="D147" s="96" t="s">
        <v>24</v>
      </c>
      <c r="E147" s="96"/>
      <c r="F147" s="86"/>
      <c r="G147" s="86"/>
      <c r="H147" s="91"/>
      <c r="I147" s="91"/>
      <c r="J147" s="91"/>
      <c r="K147" s="90"/>
      <c r="L147" s="90"/>
      <c r="M147" s="90"/>
      <c r="N147" s="90"/>
      <c r="O147" s="87"/>
      <c r="P147" s="87"/>
    </row>
    <row r="148" spans="2:26" x14ac:dyDescent="0.25">
      <c r="B148" s="86"/>
      <c r="C148" s="86"/>
      <c r="D148" s="96"/>
      <c r="E148" s="96" t="s">
        <v>25</v>
      </c>
      <c r="F148" s="86"/>
      <c r="G148" s="86"/>
      <c r="H148" s="82"/>
      <c r="I148" s="234" t="str">
        <f>IF(N(H148)&lt;&gt;ROUNDDOWN(N(H148),0),1,"")</f>
        <v/>
      </c>
      <c r="J148" s="8"/>
      <c r="K148" s="83"/>
      <c r="L148" s="234" t="str">
        <f>IF(N(K148)&lt;&gt;ROUNDDOWN(N(K148),0),1,"")</f>
        <v/>
      </c>
      <c r="M148" s="13"/>
      <c r="N148" s="67" t="str">
        <f ca="1">IF(AND(CELL("type",H148)="v",CELL("type",K148)="v")=TRUE,IF(H148+K148=0,"",H148+K148),IF(AND(CELL("type",H148)="v",CELL("type",K148)&lt;&gt;"v")=TRUE,H148,IF(AND(CELL("type",H148)&lt;&gt;"v",CELL("type",K148)="v")=TRUE,K148,"")))</f>
        <v/>
      </c>
      <c r="O148" s="87"/>
      <c r="P148" s="87"/>
    </row>
    <row r="149" spans="2:26" x14ac:dyDescent="0.25">
      <c r="B149" s="86"/>
      <c r="C149" s="86"/>
      <c r="D149" s="96"/>
      <c r="E149" s="96"/>
      <c r="F149" s="86"/>
      <c r="G149" s="86"/>
      <c r="H149" s="91"/>
      <c r="I149" s="91"/>
      <c r="J149" s="91"/>
      <c r="K149" s="90"/>
      <c r="L149" s="90"/>
      <c r="M149" s="90"/>
      <c r="N149" s="90"/>
      <c r="O149" s="87"/>
      <c r="P149" s="87"/>
    </row>
    <row r="150" spans="2:26" x14ac:dyDescent="0.25">
      <c r="B150" s="86"/>
      <c r="C150" s="86"/>
      <c r="D150" s="96" t="s">
        <v>20</v>
      </c>
      <c r="E150" s="96"/>
      <c r="F150" s="86"/>
      <c r="G150" s="86"/>
      <c r="H150" s="82"/>
      <c r="I150" s="234" t="str">
        <f>IF(N(H150)&lt;&gt;ROUNDDOWN(N(H150),0),1,"")</f>
        <v/>
      </c>
      <c r="J150" s="8"/>
      <c r="K150" s="83"/>
      <c r="L150" s="234" t="str">
        <f>IF(N(K150)&lt;&gt;ROUNDDOWN(N(K150),0),1,"")</f>
        <v/>
      </c>
      <c r="M150" s="13"/>
      <c r="N150" s="67" t="str">
        <f ca="1">IF(AND(CELL("type",H150)="v",CELL("type",K150)="v")=TRUE,IF(H150+K150=0,"",H150+K150),IF(AND(CELL("type",H150)="v",CELL("type",K150)&lt;&gt;"v")=TRUE,H150,IF(AND(CELL("type",H150)&lt;&gt;"v",CELL("type",K150)="v")=TRUE,K150,"")))</f>
        <v/>
      </c>
      <c r="O150" s="87"/>
      <c r="P150" s="87"/>
    </row>
    <row r="151" spans="2:26" x14ac:dyDescent="0.25">
      <c r="B151" s="86"/>
      <c r="C151" s="86"/>
      <c r="D151" s="96"/>
      <c r="E151" s="96"/>
      <c r="F151" s="86"/>
      <c r="G151" s="86"/>
      <c r="H151" s="91"/>
      <c r="I151" s="91"/>
      <c r="J151" s="91"/>
      <c r="K151" s="90"/>
      <c r="L151" s="90"/>
      <c r="M151" s="90"/>
      <c r="N151" s="89"/>
      <c r="O151" s="87"/>
      <c r="P151" s="87"/>
    </row>
    <row r="152" spans="2:26" x14ac:dyDescent="0.25">
      <c r="B152" s="86"/>
      <c r="C152" s="86"/>
      <c r="D152" s="96" t="s">
        <v>28</v>
      </c>
      <c r="E152" s="96"/>
      <c r="F152" s="86"/>
      <c r="G152" s="86"/>
      <c r="H152" s="91"/>
      <c r="I152" s="91"/>
      <c r="J152" s="91"/>
      <c r="K152" s="90"/>
      <c r="L152" s="90"/>
      <c r="M152" s="90"/>
      <c r="N152" s="90"/>
      <c r="O152" s="87"/>
      <c r="P152" s="87"/>
    </row>
    <row r="153" spans="2:26" ht="12.75" customHeight="1" x14ac:dyDescent="0.25">
      <c r="B153" s="86"/>
      <c r="C153" s="86"/>
      <c r="D153" s="96"/>
      <c r="E153" s="96" t="s">
        <v>29</v>
      </c>
      <c r="F153" s="86"/>
      <c r="G153" s="86"/>
      <c r="H153" s="82"/>
      <c r="I153" s="234" t="str">
        <f>IF(N(H153)&lt;&gt;ROUNDDOWN(N(H153),0),1,"")</f>
        <v/>
      </c>
      <c r="J153" s="8"/>
      <c r="K153" s="83"/>
      <c r="L153" s="234" t="str">
        <f>IF(N(K153)&lt;&gt;ROUNDDOWN(N(K153),0),1,"")</f>
        <v/>
      </c>
      <c r="M153" s="13"/>
      <c r="N153" s="67" t="str">
        <f ca="1">IF(AND(CELL("type",H153)="v",CELL("type",K153)="v")=TRUE,IF(H153+K153=0,"",H153+K153),IF(AND(CELL("type",H153)="v",CELL("type",K153)&lt;&gt;"v")=TRUE,H153,IF(AND(CELL("type",H153)&lt;&gt;"v",CELL("type",K153)="v")=TRUE,K153,"")))</f>
        <v/>
      </c>
      <c r="O153" s="87"/>
      <c r="P153" s="87"/>
      <c r="Q153" s="350" t="s">
        <v>127</v>
      </c>
      <c r="R153" s="350"/>
      <c r="S153" s="350"/>
      <c r="T153" s="350"/>
      <c r="U153" s="350"/>
      <c r="V153" s="350"/>
      <c r="W153" s="350"/>
      <c r="X153" s="350"/>
      <c r="Y153" s="350"/>
      <c r="Z153" s="350"/>
    </row>
    <row r="154" spans="2:26" x14ac:dyDescent="0.25">
      <c r="B154" s="86"/>
      <c r="C154" s="86"/>
      <c r="D154" s="96"/>
      <c r="E154" s="96"/>
      <c r="F154" s="86"/>
      <c r="G154" s="86"/>
      <c r="H154" s="91"/>
      <c r="I154" s="91"/>
      <c r="J154" s="91"/>
      <c r="K154" s="90"/>
      <c r="L154" s="90"/>
      <c r="M154" s="90"/>
      <c r="N154" s="89"/>
      <c r="O154" s="87"/>
      <c r="P154" s="87"/>
      <c r="Q154" s="350"/>
      <c r="R154" s="350"/>
      <c r="S154" s="350"/>
      <c r="T154" s="350"/>
      <c r="U154" s="350"/>
      <c r="V154" s="350"/>
      <c r="W154" s="350"/>
      <c r="X154" s="350"/>
      <c r="Y154" s="350"/>
      <c r="Z154" s="350"/>
    </row>
    <row r="155" spans="2:26" x14ac:dyDescent="0.25">
      <c r="B155" s="86"/>
      <c r="C155" s="86"/>
      <c r="D155" s="96" t="s">
        <v>21</v>
      </c>
      <c r="E155" s="96"/>
      <c r="F155" s="86"/>
      <c r="G155" s="86"/>
      <c r="H155" s="91"/>
      <c r="I155" s="91"/>
      <c r="J155" s="91"/>
      <c r="K155" s="90"/>
      <c r="L155" s="90"/>
      <c r="M155" s="90"/>
      <c r="N155" s="90"/>
      <c r="O155" s="87"/>
      <c r="P155" s="87"/>
      <c r="Q155" s="350" t="s">
        <v>334</v>
      </c>
      <c r="R155" s="350"/>
      <c r="S155" s="350"/>
      <c r="T155" s="350"/>
      <c r="U155" s="350"/>
      <c r="V155" s="350"/>
      <c r="W155" s="350"/>
      <c r="X155" s="350"/>
      <c r="Y155" s="350"/>
      <c r="Z155" s="350"/>
    </row>
    <row r="156" spans="2:26" x14ac:dyDescent="0.25">
      <c r="B156" s="86"/>
      <c r="C156" s="86"/>
      <c r="D156" s="96"/>
      <c r="E156" s="96" t="s">
        <v>22</v>
      </c>
      <c r="F156" s="86"/>
      <c r="G156" s="86"/>
      <c r="H156" s="82"/>
      <c r="I156" s="234" t="str">
        <f>IF(N(H156)&lt;&gt;ROUNDDOWN(N(H156),0),1,"")</f>
        <v/>
      </c>
      <c r="J156" s="8"/>
      <c r="K156" s="83"/>
      <c r="L156" s="234" t="str">
        <f>IF(N(K156)&lt;&gt;ROUNDDOWN(N(K156),0),1,"")</f>
        <v/>
      </c>
      <c r="M156" s="13"/>
      <c r="N156" s="67" t="str">
        <f ca="1">IF(AND(CELL("type",H156)="v",CELL("type",K156)="v")=TRUE,IF(H156+K156=0,"",H156+K156),IF(AND(CELL("type",H156)="v",CELL("type",K156)&lt;&gt;"v")=TRUE,H156,IF(AND(CELL("type",H156)&lt;&gt;"v",CELL("type",K156)="v")=TRUE,K156,"")))</f>
        <v/>
      </c>
      <c r="O156" s="87"/>
      <c r="P156" s="87"/>
      <c r="Q156" s="350"/>
      <c r="R156" s="350"/>
      <c r="S156" s="350"/>
      <c r="T156" s="350"/>
      <c r="U156" s="350"/>
      <c r="V156" s="350"/>
      <c r="W156" s="350"/>
      <c r="X156" s="350"/>
      <c r="Y156" s="350"/>
      <c r="Z156" s="350"/>
    </row>
    <row r="157" spans="2:26" x14ac:dyDescent="0.25">
      <c r="B157" s="86"/>
      <c r="C157" s="86"/>
      <c r="D157" s="96"/>
      <c r="E157" s="96"/>
      <c r="F157" s="86"/>
      <c r="G157" s="86"/>
      <c r="H157" s="91"/>
      <c r="I157" s="91"/>
      <c r="J157" s="91"/>
      <c r="K157" s="90"/>
      <c r="L157" s="90"/>
      <c r="M157" s="90"/>
      <c r="N157" s="90"/>
      <c r="O157" s="87"/>
      <c r="P157" s="87"/>
    </row>
    <row r="158" spans="2:26" x14ac:dyDescent="0.25">
      <c r="B158" s="86"/>
      <c r="C158" s="86"/>
      <c r="D158" s="96" t="s">
        <v>26</v>
      </c>
      <c r="E158" s="96"/>
      <c r="F158" s="86"/>
      <c r="G158" s="86"/>
      <c r="H158" s="91"/>
      <c r="I158" s="91"/>
      <c r="J158" s="91"/>
      <c r="K158" s="90"/>
      <c r="L158" s="90"/>
      <c r="M158" s="90"/>
      <c r="N158" s="90"/>
      <c r="O158" s="87"/>
      <c r="P158" s="87"/>
    </row>
    <row r="159" spans="2:26" x14ac:dyDescent="0.25">
      <c r="B159" s="86"/>
      <c r="C159" s="86"/>
      <c r="D159" s="96"/>
      <c r="E159" s="96" t="s">
        <v>25</v>
      </c>
      <c r="F159" s="86"/>
      <c r="G159" s="86"/>
      <c r="H159" s="235"/>
      <c r="I159" s="234" t="str">
        <f>IF(N(H159)&lt;&gt;ROUNDDOWN(N(H159),0),1,"")</f>
        <v/>
      </c>
      <c r="J159" s="8"/>
      <c r="K159" s="83"/>
      <c r="L159" s="234" t="str">
        <f>IF(N(K159)&lt;&gt;ROUNDDOWN(N(K159),0),1,"")</f>
        <v/>
      </c>
      <c r="M159" s="13"/>
      <c r="N159" s="67" t="str">
        <f ca="1">IF(AND(CELL("type",H159)="v",CELL("type",K159)="v")=TRUE,IF(H159+K159=0,"",H159+K159),IF(AND(CELL("type",H159)="v",CELL("type",K159)&lt;&gt;"v")=TRUE,H159,IF(AND(CELL("type",H159)&lt;&gt;"v",CELL("type",K159)="v")=TRUE,K159,"")))</f>
        <v/>
      </c>
      <c r="O159" s="87"/>
      <c r="P159" s="87"/>
    </row>
    <row r="160" spans="2:26" ht="12.75" customHeight="1" x14ac:dyDescent="0.25">
      <c r="B160" s="86"/>
      <c r="C160" s="86"/>
      <c r="D160" s="96"/>
      <c r="E160" s="96"/>
      <c r="F160" s="86"/>
      <c r="G160" s="86"/>
      <c r="H160" s="91"/>
      <c r="I160" s="91"/>
      <c r="J160" s="91"/>
      <c r="K160" s="90"/>
      <c r="L160" s="90"/>
      <c r="M160" s="90"/>
      <c r="N160" s="90"/>
      <c r="O160" s="87"/>
      <c r="P160" s="87"/>
    </row>
    <row r="161" spans="2:26" x14ac:dyDescent="0.25">
      <c r="B161" s="86"/>
      <c r="C161" s="86"/>
      <c r="D161" s="96" t="s">
        <v>23</v>
      </c>
      <c r="E161" s="96"/>
      <c r="F161" s="86"/>
      <c r="G161" s="86"/>
      <c r="H161" s="82"/>
      <c r="I161" s="234" t="str">
        <f>IF(N(H161)&lt;&gt;ROUNDDOWN(N(H161),0),1,"")</f>
        <v/>
      </c>
      <c r="J161" s="8"/>
      <c r="K161" s="83"/>
      <c r="L161" s="234" t="str">
        <f>IF(N(K161)&lt;&gt;ROUNDDOWN(N(K161),0),1,"")</f>
        <v/>
      </c>
      <c r="M161" s="13"/>
      <c r="N161" s="67" t="str">
        <f ca="1">IF(AND(CELL("type",H161)="v",CELL("type",K161)="v")=TRUE,IF(H161+K161=0,"",H161+K161),IF(AND(CELL("type",H161)="v",CELL("type",K161)&lt;&gt;"v")=TRUE,H161,IF(AND(CELL("type",H161)&lt;&gt;"v",CELL("type",K161)="v")=TRUE,K161,"")))</f>
        <v/>
      </c>
      <c r="O161" s="87"/>
      <c r="P161" s="87"/>
      <c r="Q161" s="350" t="s">
        <v>334</v>
      </c>
      <c r="R161" s="350"/>
      <c r="S161" s="350"/>
      <c r="T161" s="350"/>
      <c r="U161" s="350"/>
      <c r="V161" s="350"/>
      <c r="W161" s="350"/>
      <c r="X161" s="350"/>
      <c r="Y161" s="350"/>
      <c r="Z161" s="350"/>
    </row>
    <row r="162" spans="2:26" x14ac:dyDescent="0.25">
      <c r="B162" s="86"/>
      <c r="C162" s="86"/>
      <c r="D162" s="96"/>
      <c r="E162" s="96"/>
      <c r="F162" s="86"/>
      <c r="G162" s="86"/>
      <c r="H162" s="91"/>
      <c r="I162" s="91"/>
      <c r="J162" s="91"/>
      <c r="K162" s="90"/>
      <c r="L162" s="90"/>
      <c r="M162" s="90"/>
      <c r="N162" s="90"/>
      <c r="O162" s="87"/>
      <c r="P162" s="87"/>
      <c r="Q162" s="350"/>
      <c r="R162" s="350"/>
      <c r="S162" s="350"/>
      <c r="T162" s="350"/>
      <c r="U162" s="350"/>
      <c r="V162" s="350"/>
      <c r="W162" s="350"/>
      <c r="X162" s="350"/>
      <c r="Y162" s="350"/>
      <c r="Z162" s="350"/>
    </row>
    <row r="163" spans="2:26" x14ac:dyDescent="0.25">
      <c r="B163" s="86"/>
      <c r="C163" s="86"/>
      <c r="D163" s="96" t="s">
        <v>27</v>
      </c>
      <c r="E163" s="96"/>
      <c r="F163" s="86"/>
      <c r="G163" s="86"/>
      <c r="H163" s="91"/>
      <c r="I163" s="91"/>
      <c r="J163" s="91"/>
      <c r="K163" s="90"/>
      <c r="L163" s="90"/>
      <c r="M163" s="90"/>
      <c r="N163" s="90"/>
      <c r="O163" s="87"/>
      <c r="P163" s="87"/>
    </row>
    <row r="164" spans="2:26" x14ac:dyDescent="0.25">
      <c r="B164" s="86"/>
      <c r="C164" s="86"/>
      <c r="D164" s="96"/>
      <c r="E164" s="96" t="s">
        <v>22</v>
      </c>
      <c r="F164" s="86"/>
      <c r="G164" s="86"/>
      <c r="H164" s="82"/>
      <c r="I164" s="234" t="str">
        <f>IF(N(H164)&lt;&gt;ROUNDDOWN(N(H164),0),1,"")</f>
        <v/>
      </c>
      <c r="J164" s="8"/>
      <c r="K164" s="83"/>
      <c r="L164" s="234" t="str">
        <f>IF(N(K164)&lt;&gt;ROUNDDOWN(N(K164),0),1,"")</f>
        <v/>
      </c>
      <c r="M164" s="13"/>
      <c r="N164" s="67" t="str">
        <f ca="1">IF(AND(CELL("type",H164)="v",CELL("type",K164)="v")=TRUE,IF(H164+K164=0,"",H164+K164),IF(AND(CELL("type",H164)="v",CELL("type",K164)&lt;&gt;"v")=TRUE,H164,IF(AND(CELL("type",H164)&lt;&gt;"v",CELL("type",K164)="v")=TRUE,K164,"")))</f>
        <v/>
      </c>
      <c r="O164" s="87"/>
      <c r="P164" s="87"/>
    </row>
    <row r="165" spans="2:26" x14ac:dyDescent="0.25">
      <c r="B165" s="86"/>
      <c r="C165" s="86"/>
      <c r="D165" s="96"/>
      <c r="E165" s="96"/>
      <c r="F165" s="86"/>
      <c r="G165" s="86"/>
      <c r="H165" s="91"/>
      <c r="I165" s="91"/>
      <c r="J165" s="91"/>
      <c r="K165" s="90"/>
      <c r="L165" s="90"/>
      <c r="M165" s="90"/>
      <c r="N165" s="90"/>
      <c r="O165" s="87"/>
      <c r="P165" s="87"/>
    </row>
    <row r="166" spans="2:26" x14ac:dyDescent="0.25">
      <c r="B166" s="86"/>
      <c r="C166" s="86"/>
      <c r="D166" s="96" t="s">
        <v>91</v>
      </c>
      <c r="E166" s="96"/>
      <c r="F166" s="86"/>
      <c r="G166" s="86"/>
      <c r="H166" s="82"/>
      <c r="I166" s="234" t="str">
        <f>IF(N(H166)&lt;&gt;ROUNDDOWN(N(H166),0),1,"")</f>
        <v/>
      </c>
      <c r="J166" s="8"/>
      <c r="K166" s="83"/>
      <c r="L166" s="234" t="str">
        <f>IF(N(K166)&lt;&gt;ROUNDDOWN(N(K166),0),1,"")</f>
        <v/>
      </c>
      <c r="M166" s="13"/>
      <c r="N166" s="67" t="str">
        <f ca="1">IF(AND(CELL("type",H166)="v",CELL("type",K166)="v")=TRUE,IF(H166+K166=0,"",H166+K166),IF(AND(CELL("type",H166)="v",CELL("type",K166)&lt;&gt;"v")=TRUE,H166,IF(AND(CELL("type",H166)&lt;&gt;"v",CELL("type",K166)="v")=TRUE,K166,"")))</f>
        <v/>
      </c>
      <c r="O166" s="87"/>
      <c r="P166" s="87"/>
    </row>
    <row r="167" spans="2:26" x14ac:dyDescent="0.25">
      <c r="B167" s="86"/>
      <c r="C167" s="86"/>
      <c r="D167" s="96"/>
      <c r="E167" s="96"/>
      <c r="F167" s="86"/>
      <c r="G167" s="86"/>
      <c r="H167" s="91"/>
      <c r="I167" s="91"/>
      <c r="J167" s="91"/>
      <c r="K167" s="90"/>
      <c r="L167" s="90"/>
      <c r="M167" s="90"/>
      <c r="N167" s="90"/>
      <c r="O167" s="87"/>
      <c r="P167" s="87"/>
    </row>
    <row r="168" spans="2:26" ht="12.75" customHeight="1" x14ac:dyDescent="0.25">
      <c r="B168" s="86"/>
      <c r="C168" s="86"/>
      <c r="D168" s="39" t="s">
        <v>8</v>
      </c>
      <c r="E168" s="36"/>
      <c r="F168" s="1"/>
      <c r="G168" s="1"/>
      <c r="H168" s="82"/>
      <c r="I168" s="234" t="str">
        <f>IF(N(H168)&lt;&gt;ROUNDDOWN(N(H168),0),1,"")</f>
        <v/>
      </c>
      <c r="J168" s="8"/>
      <c r="K168" s="83"/>
      <c r="L168" s="234" t="str">
        <f>IF(N(K168)&lt;&gt;ROUNDDOWN(N(K168),0),1,"")</f>
        <v/>
      </c>
      <c r="M168" s="13"/>
      <c r="N168" s="67" t="str">
        <f ca="1">IF(AND(CELL("type",H168)="v",CELL("type",K168)="v")=TRUE,IF(H168+K168=0,"",H168+K168),IF(AND(CELL("type",H168)="v",CELL("type",K168)&lt;&gt;"v")=TRUE,H168,IF(AND(CELL("type",H168)&lt;&gt;"v",CELL("type",K168)="v")=TRUE,K168,"")))</f>
        <v/>
      </c>
      <c r="O168" s="87"/>
      <c r="P168" s="87"/>
      <c r="Q168" s="334" t="s">
        <v>371</v>
      </c>
      <c r="R168" s="334"/>
      <c r="S168" s="334"/>
      <c r="T168" s="334"/>
      <c r="U168" s="334"/>
      <c r="V168" s="334"/>
      <c r="W168" s="334"/>
      <c r="X168" s="334"/>
      <c r="Y168" s="334"/>
      <c r="Z168" s="334"/>
    </row>
    <row r="169" spans="2:26" x14ac:dyDescent="0.25">
      <c r="B169" s="86"/>
      <c r="C169" s="86"/>
      <c r="D169" s="86"/>
      <c r="E169" s="86"/>
      <c r="F169" s="86"/>
      <c r="G169" s="86"/>
      <c r="H169" s="90"/>
      <c r="I169" s="91"/>
      <c r="J169" s="91"/>
      <c r="K169" s="90"/>
      <c r="L169" s="90"/>
      <c r="M169" s="90"/>
      <c r="N169" s="90"/>
      <c r="O169" s="87"/>
      <c r="P169" s="87"/>
      <c r="Q169" s="334"/>
      <c r="R169" s="334"/>
      <c r="S169" s="334"/>
      <c r="T169" s="334"/>
      <c r="U169" s="334"/>
      <c r="V169" s="334"/>
      <c r="W169" s="334"/>
      <c r="X169" s="334"/>
      <c r="Y169" s="334"/>
      <c r="Z169" s="334"/>
    </row>
    <row r="170" spans="2:26" x14ac:dyDescent="0.25">
      <c r="B170" s="40" t="s">
        <v>58</v>
      </c>
      <c r="C170" s="41" t="s">
        <v>59</v>
      </c>
      <c r="D170" s="86"/>
      <c r="E170" s="86"/>
      <c r="F170" s="86"/>
      <c r="G170" s="40" t="s">
        <v>9</v>
      </c>
      <c r="H170" s="67" t="str">
        <f>IF(SUM(H145:H169)=0,"",SUM(H145:H169))</f>
        <v/>
      </c>
      <c r="I170" s="234"/>
      <c r="J170" s="10" t="s">
        <v>9</v>
      </c>
      <c r="K170" s="67" t="str">
        <f>IF(SUM(K145:K169)=0,"",SUM(K145:K169))</f>
        <v/>
      </c>
      <c r="L170" s="234"/>
      <c r="M170" s="68" t="s">
        <v>9</v>
      </c>
      <c r="N170" s="67" t="str">
        <f ca="1">IF(AND(CELL("type",H170)="v",CELL("type",K170)="v")=TRUE,IF(H170+K170=0,"",H170+K170),IF(AND(CELL("type",H170)="v",CELL("type",K170)&lt;&gt;"v")=TRUE,H170,IF(AND(CELL("type",H170)&lt;&gt;"v",CELL("type",K170)="v")=TRUE,K170,"")))</f>
        <v/>
      </c>
      <c r="O170" s="87"/>
      <c r="P170" s="87"/>
    </row>
    <row r="171" spans="2:26" x14ac:dyDescent="0.25">
      <c r="B171" s="86"/>
      <c r="C171" s="86"/>
      <c r="D171" s="86"/>
      <c r="E171" s="86"/>
      <c r="F171" s="86"/>
      <c r="G171" s="86"/>
      <c r="H171" s="90"/>
      <c r="I171" s="91"/>
      <c r="J171" s="91"/>
      <c r="K171" s="90"/>
      <c r="L171" s="90"/>
      <c r="M171" s="90"/>
      <c r="N171" s="90"/>
      <c r="O171" s="87"/>
      <c r="P171" s="87"/>
    </row>
    <row r="172" spans="2:26" x14ac:dyDescent="0.25">
      <c r="B172" s="40"/>
      <c r="C172" s="54" t="s">
        <v>60</v>
      </c>
      <c r="D172" s="36"/>
      <c r="E172" s="36"/>
      <c r="F172" s="36"/>
      <c r="G172" s="36"/>
      <c r="H172" s="14"/>
      <c r="I172" s="8"/>
      <c r="J172" s="8"/>
      <c r="K172" s="14"/>
      <c r="L172" s="14"/>
      <c r="M172" s="14"/>
      <c r="N172" s="14"/>
      <c r="O172" s="87"/>
      <c r="P172" s="87"/>
    </row>
    <row r="173" spans="2:26" x14ac:dyDescent="0.25">
      <c r="B173" s="36"/>
      <c r="C173" s="54" t="s">
        <v>143</v>
      </c>
      <c r="D173" s="11"/>
      <c r="E173" s="23"/>
      <c r="F173" s="23"/>
      <c r="G173" s="1"/>
      <c r="H173" s="14"/>
      <c r="I173" s="7"/>
      <c r="J173" s="8"/>
      <c r="K173" s="14"/>
      <c r="L173" s="15"/>
      <c r="M173" s="15"/>
      <c r="N173" s="15"/>
      <c r="O173" s="87"/>
      <c r="P173" s="87"/>
      <c r="Q173" s="334" t="str">
        <f>"The amount to be recognized for the allocation of the purchase price of the building cannot exceed the appraised value of the enitre proposed property, less the land allocation.  Do not include any related acquisition costs on this line.*"</f>
        <v>The amount to be recognized for the allocation of the purchase price of the building cannot exceed the appraised value of the enitre proposed property, less the land allocation.  Do not include any related acquisition costs on this line.*</v>
      </c>
      <c r="R173" s="334"/>
      <c r="S173" s="334"/>
      <c r="T173" s="334"/>
      <c r="U173" s="334"/>
      <c r="V173" s="334"/>
      <c r="W173" s="334"/>
      <c r="X173" s="334"/>
      <c r="Y173" s="334"/>
      <c r="Z173" s="334"/>
    </row>
    <row r="174" spans="2:26" ht="12.75" customHeight="1" x14ac:dyDescent="0.25">
      <c r="B174" s="1"/>
      <c r="C174" s="45"/>
      <c r="D174" s="36" t="s">
        <v>142</v>
      </c>
      <c r="E174" s="1"/>
      <c r="F174" s="1"/>
      <c r="G174" s="40"/>
      <c r="H174" s="82"/>
      <c r="I174" s="234" t="str">
        <f>IF(N(H174)&lt;&gt;ROUNDDOWN(N(H174),0),1,"")</f>
        <v/>
      </c>
      <c r="J174" s="8"/>
      <c r="K174" s="83"/>
      <c r="L174" s="234" t="str">
        <f>IF(N(K174)&lt;&gt;ROUNDDOWN(N(K174),0),1,"")</f>
        <v/>
      </c>
      <c r="M174" s="68"/>
      <c r="N174" s="124" t="str">
        <f ca="1">IF(AND(CELL("type",H174)="v",CELL("type",K174)="v")=TRUE,IF(H174+K174=0,"",H174+K174),IF(AND(CELL("type",H174)="v",CELL("type",K174)&lt;&gt;"v")=TRUE,H174,IF(AND(CELL("type",H174)&lt;&gt;"v",CELL("type",K174)="v")=TRUE,K174,"")))</f>
        <v/>
      </c>
      <c r="O174" s="87"/>
      <c r="P174" s="87"/>
      <c r="Q174" s="334"/>
      <c r="R174" s="334"/>
      <c r="S174" s="334"/>
      <c r="T174" s="334"/>
      <c r="U174" s="334"/>
      <c r="V174" s="334"/>
      <c r="W174" s="334"/>
      <c r="X174" s="334"/>
      <c r="Y174" s="334"/>
      <c r="Z174" s="334"/>
    </row>
    <row r="175" spans="2:26" ht="12.75" customHeight="1" x14ac:dyDescent="0.25">
      <c r="B175" s="86"/>
      <c r="C175" s="45"/>
      <c r="D175" s="36"/>
      <c r="E175" s="1"/>
      <c r="F175" s="1"/>
      <c r="G175" s="1"/>
      <c r="H175" s="99"/>
      <c r="I175" s="13"/>
      <c r="J175" s="14"/>
      <c r="K175" s="99"/>
      <c r="L175" s="15"/>
      <c r="M175" s="15"/>
      <c r="N175" s="16"/>
      <c r="O175" s="87"/>
      <c r="P175" s="87"/>
      <c r="Q175" s="345" t="s">
        <v>443</v>
      </c>
      <c r="R175" s="345"/>
      <c r="S175" s="345"/>
      <c r="T175" s="345"/>
      <c r="U175" s="345"/>
      <c r="V175" s="345"/>
      <c r="W175" s="345"/>
      <c r="X175" s="345"/>
      <c r="Y175" s="345"/>
      <c r="Z175" s="345"/>
    </row>
    <row r="176" spans="2:26" x14ac:dyDescent="0.25">
      <c r="B176" s="40"/>
      <c r="C176" s="11"/>
      <c r="D176" s="11" t="s">
        <v>8</v>
      </c>
      <c r="E176" s="27"/>
      <c r="F176" s="27"/>
      <c r="G176" s="40"/>
      <c r="H176" s="82"/>
      <c r="I176" s="234" t="str">
        <f>IF(N(H176)&lt;&gt;ROUNDDOWN(N(H176),0),1,"")</f>
        <v/>
      </c>
      <c r="J176" s="8"/>
      <c r="K176" s="83"/>
      <c r="L176" s="234" t="str">
        <f>IF(N(K176)&lt;&gt;ROUNDDOWN(N(K176),0),1,"")</f>
        <v/>
      </c>
      <c r="M176" s="68"/>
      <c r="N176" s="124" t="str">
        <f ca="1">IF(AND(CELL("type",H176)="v",CELL("type",K176)="v")=TRUE,IF(H176+K176=0,"",H176+K176),IF(AND(CELL("type",H176)="v",CELL("type",K176)&lt;&gt;"v")=TRUE,H176,IF(AND(CELL("type",H176)&lt;&gt;"v",CELL("type",K176)="v")=TRUE,K176,"")))</f>
        <v/>
      </c>
      <c r="O176" s="87"/>
      <c r="P176" s="87"/>
      <c r="Q176" s="346"/>
      <c r="R176" s="346"/>
      <c r="S176" s="346"/>
      <c r="T176" s="346"/>
      <c r="U176" s="346"/>
      <c r="V176" s="346"/>
      <c r="W176" s="346"/>
      <c r="X176" s="346"/>
      <c r="Y176" s="346"/>
      <c r="Z176" s="346"/>
    </row>
    <row r="177" spans="1:27" x14ac:dyDescent="0.25">
      <c r="A177" s="86"/>
      <c r="B177" s="45"/>
      <c r="C177" s="1"/>
      <c r="D177" s="36"/>
      <c r="E177" s="1"/>
      <c r="F177" s="1"/>
      <c r="G177" s="27"/>
      <c r="H177" s="100"/>
      <c r="I177" s="17"/>
      <c r="J177" s="18"/>
      <c r="K177" s="100"/>
      <c r="L177" s="19"/>
      <c r="M177" s="19"/>
      <c r="N177" s="19"/>
      <c r="O177" s="87"/>
      <c r="P177" s="87"/>
      <c r="Q177" s="347"/>
      <c r="R177" s="347"/>
      <c r="S177" s="347"/>
      <c r="T177" s="347"/>
      <c r="U177" s="347"/>
      <c r="V177" s="347"/>
      <c r="W177" s="347"/>
      <c r="X177" s="347"/>
      <c r="Y177" s="347"/>
      <c r="Z177" s="347"/>
    </row>
    <row r="178" spans="1:27" x14ac:dyDescent="0.25">
      <c r="A178" s="86"/>
      <c r="B178" s="40" t="s">
        <v>84</v>
      </c>
      <c r="C178" s="11" t="s">
        <v>144</v>
      </c>
      <c r="D178" s="36"/>
      <c r="E178" s="1"/>
      <c r="F178" s="1"/>
      <c r="G178" s="27"/>
      <c r="H178" s="100"/>
      <c r="I178" s="17"/>
      <c r="J178" s="18"/>
      <c r="K178" s="100"/>
      <c r="L178" s="19"/>
      <c r="M178" s="19"/>
      <c r="N178" s="19"/>
      <c r="O178" s="87"/>
      <c r="P178" s="87"/>
      <c r="Q178" s="334" t="str">
        <f>"The amount to be recognized for the allocation of the purchase price of the building cannot exceed the ""as is"" appraised value of the enitre proposed property, less the land allocation.*"</f>
        <v>The amount to be recognized for the allocation of the purchase price of the building cannot exceed the "as is" appraised value of the enitre proposed property, less the land allocation.*</v>
      </c>
      <c r="R178" s="334"/>
      <c r="S178" s="334"/>
      <c r="T178" s="334"/>
      <c r="U178" s="334"/>
      <c r="V178" s="334"/>
      <c r="W178" s="334"/>
      <c r="X178" s="334"/>
      <c r="Y178" s="334"/>
      <c r="Z178" s="334"/>
    </row>
    <row r="179" spans="1:27" x14ac:dyDescent="0.25">
      <c r="A179" s="86"/>
      <c r="B179" s="40"/>
      <c r="C179" s="11" t="s">
        <v>143</v>
      </c>
      <c r="D179" s="36"/>
      <c r="E179" s="1"/>
      <c r="F179" s="1"/>
      <c r="G179" s="40" t="s">
        <v>9</v>
      </c>
      <c r="H179" s="67" t="str">
        <f>IF(SUM(H174:H178)=0,"",SUM(H174:H178))</f>
        <v/>
      </c>
      <c r="I179" s="234"/>
      <c r="J179" s="10" t="s">
        <v>9</v>
      </c>
      <c r="K179" s="67" t="str">
        <f>IF(SUM(K174:K178)=0,"",SUM(K174:K178))</f>
        <v/>
      </c>
      <c r="L179" s="234"/>
      <c r="M179" s="68" t="s">
        <v>9</v>
      </c>
      <c r="N179" s="67" t="str">
        <f ca="1">IF(AND(CELL("type",H179)="v",CELL("type",K179)="v")=TRUE,IF(H179+K179=0,"",H179+K179),IF(AND(CELL("type",H179)="v",CELL("type",K179)&lt;&gt;"v")=TRUE,H179,IF(AND(CELL("type",H179)&lt;&gt;"v",CELL("type",K179)="v")=TRUE,K179,"")))</f>
        <v/>
      </c>
      <c r="O179" s="87"/>
      <c r="P179" s="87"/>
      <c r="Q179" s="334"/>
      <c r="R179" s="334"/>
      <c r="S179" s="334"/>
      <c r="T179" s="334"/>
      <c r="U179" s="334"/>
      <c r="V179" s="334"/>
      <c r="W179" s="334"/>
      <c r="X179" s="334"/>
      <c r="Y179" s="334"/>
      <c r="Z179" s="334"/>
    </row>
    <row r="180" spans="1:27" x14ac:dyDescent="0.25">
      <c r="A180" s="86"/>
      <c r="B180" s="45"/>
      <c r="C180" s="1"/>
      <c r="D180" s="36"/>
      <c r="E180" s="1"/>
      <c r="F180" s="1"/>
      <c r="G180" s="27"/>
      <c r="H180" s="100"/>
      <c r="I180" s="17"/>
      <c r="J180" s="18"/>
      <c r="K180" s="100"/>
      <c r="L180" s="19"/>
      <c r="M180" s="19"/>
      <c r="N180" s="19"/>
      <c r="O180" s="87"/>
      <c r="P180" s="87"/>
    </row>
    <row r="181" spans="1:27" x14ac:dyDescent="0.25">
      <c r="B181" s="40" t="s">
        <v>61</v>
      </c>
      <c r="C181" s="11" t="s">
        <v>65</v>
      </c>
      <c r="D181" s="11"/>
      <c r="E181" s="23"/>
      <c r="F181" s="23"/>
      <c r="G181" s="40" t="s">
        <v>9</v>
      </c>
      <c r="H181" s="67" t="str">
        <f ca="1">IF(IF(CELL("type",H68)="v",H68,0)+IF(CELL("type",H70)="v",H70,0)+IF(CELL("type",H134)="v",H134,0)+IF(CELL("type",H136)="v",H136,0)+IF(CELL("type",H170)="v",H170,0)+IF(CELL("type",H179)="v",H179,0)=0,"",IF(CELL("type",H68)="v",H68,0)+IF(CELL("type",H70)="v",H70,0)+IF(CELL("type",H134)="v",H134,0)+IF(CELL("type",H136)="v",H136,0)+IF(CELL("type",H170)="v",H170,0)+IF(CELL("type",H179)="v",H179,0))</f>
        <v/>
      </c>
      <c r="I181" s="234"/>
      <c r="J181" s="10" t="s">
        <v>9</v>
      </c>
      <c r="K181" s="67" t="str">
        <f ca="1">IF(IF(CELL("type",K68)="v",K68,0)+IF(CELL("type",K70)="v",K70,0)+IF(CELL("type",K134)="v",K134,0)+IF(CELL("type",K136)="v",K136,0)+IF(CELL("type",K170)="v",K170,0)+IF(CELL("type",K179)="v",K179,0)=0,"",IF(CELL("type",K68)="v",K68,0)+IF(CELL("type",K70)="v",K70,0)+IF(CELL("type",K134)="v",K134,0)+IF(CELL("type",K136)="v",K136,0)+IF(CELL("type",K170)="v",K170,0)+IF(CELL("type",K179)="v",K179,0))</f>
        <v/>
      </c>
      <c r="L181" s="234"/>
      <c r="M181" s="68" t="s">
        <v>9</v>
      </c>
      <c r="N181" s="67" t="str">
        <f ca="1">IF(AND(CELL("type",H181)="v",CELL("type",K181)="v")=TRUE,IF(H181+K181=0,"",H181+K181),IF(AND(CELL("type",H181)="v",CELL("type",K181)&lt;&gt;"v")=TRUE,H181,IF(AND(CELL("type",H181)&lt;&gt;"v",CELL("type",K181)="v")=TRUE,K181,"")))</f>
        <v/>
      </c>
      <c r="O181" s="87"/>
      <c r="P181" s="87"/>
    </row>
    <row r="182" spans="1:27" x14ac:dyDescent="0.25">
      <c r="B182" s="46"/>
      <c r="C182" s="1"/>
      <c r="D182" s="36" t="s">
        <v>145</v>
      </c>
      <c r="E182" s="1"/>
      <c r="F182" s="1"/>
      <c r="G182" s="1"/>
      <c r="H182" s="15"/>
      <c r="I182" s="7"/>
      <c r="J182" s="9"/>
      <c r="K182" s="15"/>
      <c r="L182" s="15"/>
      <c r="M182" s="15"/>
      <c r="N182" s="15"/>
      <c r="O182" s="87"/>
      <c r="P182" s="87"/>
    </row>
    <row r="183" spans="1:27" x14ac:dyDescent="0.25">
      <c r="B183" s="47"/>
      <c r="C183" s="48"/>
      <c r="D183" s="27"/>
      <c r="E183" s="27"/>
      <c r="F183" s="27"/>
      <c r="G183" s="27"/>
      <c r="H183" s="100"/>
      <c r="I183" s="20"/>
      <c r="J183" s="21"/>
      <c r="K183" s="100"/>
      <c r="L183" s="73"/>
      <c r="M183" s="73"/>
      <c r="N183" s="19"/>
      <c r="O183" s="87"/>
      <c r="P183" s="87"/>
      <c r="Q183" s="138" t="s">
        <v>137</v>
      </c>
      <c r="R183" s="139"/>
      <c r="S183" s="139"/>
      <c r="T183" s="139"/>
      <c r="U183" s="139"/>
      <c r="V183" s="139"/>
      <c r="W183" s="139"/>
      <c r="X183" s="139"/>
      <c r="Y183" s="139"/>
      <c r="Z183" s="139"/>
      <c r="AA183" s="139"/>
    </row>
    <row r="184" spans="1:27" x14ac:dyDescent="0.25">
      <c r="C184" s="37" t="s">
        <v>208</v>
      </c>
      <c r="D184" s="11"/>
      <c r="E184" s="1"/>
      <c r="F184" s="1"/>
      <c r="G184" s="27"/>
      <c r="H184" s="100"/>
      <c r="I184" s="20"/>
      <c r="J184" s="21"/>
      <c r="K184" s="100"/>
      <c r="L184" s="73"/>
      <c r="M184" s="73"/>
      <c r="N184" s="19"/>
      <c r="O184" s="87"/>
      <c r="P184" s="87"/>
      <c r="Q184" s="139"/>
      <c r="R184" s="139"/>
      <c r="S184" s="139"/>
      <c r="T184" s="139"/>
      <c r="U184" s="139"/>
      <c r="V184" s="139"/>
      <c r="W184" s="139"/>
      <c r="X184" s="139"/>
      <c r="Y184" s="139"/>
      <c r="Z184" s="139"/>
    </row>
    <row r="185" spans="1:27" x14ac:dyDescent="0.25">
      <c r="B185" s="120"/>
      <c r="C185" s="45"/>
      <c r="D185" s="36" t="s">
        <v>128</v>
      </c>
      <c r="E185" s="36"/>
      <c r="F185" s="36"/>
      <c r="G185" s="27"/>
      <c r="H185" s="82"/>
      <c r="I185" s="234" t="str">
        <f>IF(N(H185)&lt;&gt;ROUNDDOWN(N(H185),0),1,"")</f>
        <v/>
      </c>
      <c r="J185" s="8"/>
      <c r="K185" s="83"/>
      <c r="L185" s="234" t="str">
        <f>IF(N(K185)&lt;&gt;ROUNDDOWN(N(K185),0),1,"")</f>
        <v/>
      </c>
      <c r="M185" s="13"/>
      <c r="N185" s="67" t="str">
        <f ca="1">IF(AND(CELL("type",H185)="v",CELL("type",K185)="v")=TRUE,IF(H185+K185=0,"",H185+K185),IF(AND(CELL("type",H185)="v",CELL("type",K185)&lt;&gt;"v")=TRUE,H185,IF(AND(CELL("type",H185)&lt;&gt;"v",CELL("type",K185)="v")=TRUE,K185,"")))</f>
        <v/>
      </c>
      <c r="O185" s="87"/>
      <c r="P185" s="125" t="str">
        <f ca="1">IF(Q186="No","**","")</f>
        <v/>
      </c>
      <c r="Q185" s="246">
        <f>IF(OR(Q187=E500,Q187=""),"(select below)",Q187)</f>
        <v>0.16</v>
      </c>
      <c r="R185" s="247" t="s">
        <v>200</v>
      </c>
      <c r="S185" s="131"/>
      <c r="T185" s="131"/>
      <c r="U185" s="131"/>
      <c r="V185" s="132">
        <f ca="1">ROUNDDOWN(N(N179)*IF(N(Q$185)=21%,16%,N(Q$185)),0)</f>
        <v>0</v>
      </c>
      <c r="W185" s="141" t="str">
        <f>"= Maximum Non-Acq. Developer Fee ($)"&amp;IF(N(Q185)=21%,", exclusive of the 5% ODR portion listed on a separate line.","")</f>
        <v>= Maximum Non-Acq. Developer Fee ($)</v>
      </c>
      <c r="X185" s="131"/>
      <c r="Y185" s="131"/>
      <c r="Z185" s="131"/>
    </row>
    <row r="186" spans="1:27" x14ac:dyDescent="0.25">
      <c r="B186" s="120"/>
      <c r="C186" s="45"/>
      <c r="D186" s="36"/>
      <c r="E186" s="36"/>
      <c r="F186" s="36"/>
      <c r="G186" s="27"/>
      <c r="H186" s="100"/>
      <c r="I186" s="20"/>
      <c r="J186" s="21"/>
      <c r="K186" s="100"/>
      <c r="L186" s="73"/>
      <c r="M186" s="73"/>
      <c r="N186" s="19"/>
      <c r="O186" s="87"/>
      <c r="P186" s="87"/>
      <c r="Q186" s="140" t="str">
        <f ca="1">IF(AND(N(N179)&gt;0,N(N185)=0,N(N192)=0),"No",IF(N(N185)&gt;ROUNDDOWN(N(N179)*IF(N(Q$185)=21%,16%,N(Q$185)),0),"No","Yes"))</f>
        <v>Yes</v>
      </c>
      <c r="R186" s="136" t="s">
        <v>135</v>
      </c>
      <c r="S186" s="136"/>
      <c r="T186" s="136"/>
      <c r="U186" s="136"/>
      <c r="V186" s="136"/>
      <c r="W186" s="136"/>
      <c r="X186" s="136"/>
      <c r="Y186" s="136"/>
      <c r="Z186" s="136"/>
    </row>
    <row r="187" spans="1:27" x14ac:dyDescent="0.25">
      <c r="B187" s="120"/>
      <c r="C187" s="45"/>
      <c r="D187" s="36" t="s">
        <v>130</v>
      </c>
      <c r="E187" s="36"/>
      <c r="F187" s="36"/>
      <c r="G187" s="27"/>
      <c r="H187" s="82"/>
      <c r="I187" s="234" t="str">
        <f>IF(N(H187)&lt;&gt;ROUNDDOWN(N(H187),0),1,"")</f>
        <v/>
      </c>
      <c r="J187" s="8"/>
      <c r="K187" s="83"/>
      <c r="L187" s="234" t="str">
        <f>IF(N(K187)&lt;&gt;ROUNDDOWN(N(K187),0),1,"")</f>
        <v/>
      </c>
      <c r="M187" s="13"/>
      <c r="N187" s="67" t="str">
        <f ca="1">IF(AND(CELL("type",H187)="v",CELL("type",K187)="v")=TRUE,IF(H187+K187=0,"",H187+K187),IF(AND(CELL("type",H187)="v",CELL("type",K187)&lt;&gt;"v")=TRUE,H187,IF(AND(CELL("type",H187)&lt;&gt;"v",CELL("type",K187)="v")=TRUE,K187,"")))</f>
        <v/>
      </c>
      <c r="O187" s="87"/>
      <c r="P187" s="125" t="str">
        <f ca="1">IF(Q188="No","**","")</f>
        <v/>
      </c>
      <c r="Q187" s="224">
        <v>0.16</v>
      </c>
      <c r="R187" s="141" t="s">
        <v>199</v>
      </c>
      <c r="S187" s="131"/>
      <c r="T187" s="131"/>
      <c r="U187" s="131"/>
      <c r="V187" s="142">
        <f ca="1">ROUNDDOWN((N(N181)-N(N179))*IF(N(Q$187)=21%,16%,N(Q$187)),0)</f>
        <v>0</v>
      </c>
      <c r="W187" s="141" t="str">
        <f>"= Maximum Non-Acq. Developer Fee ($)"&amp;IF(N(Q187)=21%,", exclusive of the 5% ODR portion listed on a separate line.","")</f>
        <v>= Maximum Non-Acq. Developer Fee ($)</v>
      </c>
      <c r="X187" s="131"/>
      <c r="Y187" s="131"/>
      <c r="Z187" s="131"/>
    </row>
    <row r="188" spans="1:27" x14ac:dyDescent="0.25">
      <c r="B188" s="120"/>
      <c r="C188" s="45"/>
      <c r="D188" s="36"/>
      <c r="E188" s="36"/>
      <c r="F188" s="36"/>
      <c r="G188" s="27"/>
      <c r="H188" s="113"/>
      <c r="I188" s="121"/>
      <c r="J188" s="122"/>
      <c r="K188" s="113"/>
      <c r="L188" s="16"/>
      <c r="M188" s="123"/>
      <c r="N188" s="16"/>
      <c r="O188" s="87"/>
      <c r="P188" s="87"/>
      <c r="Q188" s="140" t="str">
        <f ca="1">IF(OR(N(N187)&gt;ROUNDDOWN((N(N181)-N(N179))*IF(N(Q$187)=21%,16%,N(Q$187)),0),AND(N(N181)-N(N179)&gt;0,N(N187)=0,N(N192)=0)),"No","Yes")</f>
        <v>Yes</v>
      </c>
      <c r="R188" s="136" t="s">
        <v>135</v>
      </c>
      <c r="S188" s="136"/>
      <c r="T188" s="136"/>
      <c r="U188" s="136"/>
      <c r="V188" s="136"/>
      <c r="W188" s="136"/>
      <c r="X188" s="136"/>
      <c r="Y188" s="136"/>
      <c r="Z188" s="136"/>
    </row>
    <row r="189" spans="1:27" hidden="1" x14ac:dyDescent="0.25">
      <c r="B189" s="120"/>
      <c r="C189" s="45"/>
      <c r="D189" s="36" t="s">
        <v>206</v>
      </c>
      <c r="E189" s="36"/>
      <c r="F189" s="36"/>
      <c r="G189" s="27"/>
      <c r="H189" s="113"/>
      <c r="I189" s="121"/>
      <c r="J189" s="122"/>
      <c r="K189" s="113"/>
      <c r="L189" s="16"/>
      <c r="M189" s="123"/>
      <c r="N189" s="16"/>
      <c r="O189" s="87"/>
      <c r="P189" s="87"/>
      <c r="Q189" s="158"/>
      <c r="R189" s="134"/>
      <c r="S189" s="134"/>
      <c r="T189" s="134"/>
      <c r="U189" s="134"/>
      <c r="V189" s="134"/>
      <c r="W189" s="134"/>
      <c r="X189" s="134"/>
      <c r="Y189" s="134"/>
      <c r="Z189" s="134"/>
    </row>
    <row r="190" spans="1:27" hidden="1" x14ac:dyDescent="0.25">
      <c r="B190" s="120"/>
      <c r="C190" s="45"/>
      <c r="D190" s="26" t="s">
        <v>209</v>
      </c>
      <c r="E190" s="36"/>
      <c r="F190" s="36"/>
      <c r="G190" s="27"/>
      <c r="H190" s="160" t="str">
        <f>IF(Q187=21%,ROUNDDOWN(5%*N(N181),0),"")</f>
        <v/>
      </c>
      <c r="I190" s="22"/>
      <c r="J190" s="9"/>
      <c r="K190" s="160"/>
      <c r="L190" s="15"/>
      <c r="M190" s="13"/>
      <c r="N190" s="159" t="str">
        <f ca="1">IF(AND(CELL("type",H190)="v",CELL("type",K190)="v")=TRUE,IF(H190+K190=0,"",H190+K190),IF(AND(CELL("type",H190)="v",CELL("type",K190)&lt;&gt;"v")=TRUE,H190,IF(AND(CELL("type",H190)&lt;&gt;"v",CELL("type",K190)="v")=TRUE,K190,"")))</f>
        <v/>
      </c>
      <c r="O190" s="87"/>
      <c r="P190" s="87"/>
      <c r="Q190" s="334" t="s">
        <v>210</v>
      </c>
      <c r="R190" s="334"/>
      <c r="S190" s="334"/>
      <c r="T190" s="334"/>
      <c r="U190" s="334"/>
      <c r="V190" s="334"/>
      <c r="W190" s="334"/>
      <c r="X190" s="334"/>
      <c r="Y190" s="334"/>
      <c r="Z190" s="334"/>
    </row>
    <row r="191" spans="1:27" hidden="1" x14ac:dyDescent="0.25">
      <c r="B191" s="120"/>
      <c r="C191" s="45"/>
      <c r="D191" s="36"/>
      <c r="E191" s="36"/>
      <c r="F191" s="36"/>
      <c r="G191" s="27"/>
      <c r="H191" s="113"/>
      <c r="I191" s="121"/>
      <c r="J191" s="122"/>
      <c r="K191" s="113"/>
      <c r="L191" s="16"/>
      <c r="M191" s="123"/>
      <c r="N191" s="16"/>
      <c r="O191" s="87"/>
      <c r="P191" s="87"/>
      <c r="Q191" s="334"/>
      <c r="R191" s="334"/>
      <c r="S191" s="334"/>
      <c r="T191" s="334"/>
      <c r="U191" s="334"/>
      <c r="V191" s="334"/>
      <c r="W191" s="334"/>
      <c r="X191" s="334"/>
      <c r="Y191" s="334"/>
      <c r="Z191" s="334"/>
    </row>
    <row r="192" spans="1:27" x14ac:dyDescent="0.25">
      <c r="B192" s="40" t="s">
        <v>62</v>
      </c>
      <c r="C192" s="11" t="s">
        <v>129</v>
      </c>
      <c r="D192" s="11"/>
      <c r="E192" s="36"/>
      <c r="F192" s="36"/>
      <c r="G192" s="40" t="s">
        <v>9</v>
      </c>
      <c r="H192" s="67" t="str">
        <f>IF(SUM(H185:H191)=0,"",SUM(H185:H191))</f>
        <v/>
      </c>
      <c r="I192" s="22"/>
      <c r="J192" s="10" t="s">
        <v>9</v>
      </c>
      <c r="K192" s="67" t="str">
        <f>IF(SUM(K185:K191)=0,"",SUM(K185:K191))</f>
        <v/>
      </c>
      <c r="L192" s="234"/>
      <c r="M192" s="74" t="s">
        <v>9</v>
      </c>
      <c r="N192" s="67" t="str">
        <f ca="1">IF(AND(CELL("type",H192)="v",CELL("type",K192)="v")=TRUE,IF(H192+K192=0,"",H192+K192),IF(AND(CELL("type",H192)="v",CELL("type",K192)&lt;&gt;"v")=TRUE,H192,IF(AND(CELL("type",H192)&lt;&gt;"v",CELL("type",K192)="v")=TRUE,K192,"")))</f>
        <v/>
      </c>
      <c r="O192" s="87"/>
      <c r="P192" s="125" t="str">
        <f ca="1">IF(Q193="No","**","")</f>
        <v/>
      </c>
      <c r="Q192" s="143"/>
      <c r="R192" s="144"/>
      <c r="S192" s="131"/>
      <c r="T192" s="131"/>
      <c r="U192" s="131"/>
      <c r="V192" s="132">
        <f ca="1">V185+V187+N(N190)</f>
        <v>0</v>
      </c>
      <c r="W192" s="130" t="s">
        <v>152</v>
      </c>
      <c r="X192" s="131"/>
      <c r="Y192" s="131"/>
      <c r="Z192" s="131"/>
    </row>
    <row r="193" spans="1:29" x14ac:dyDescent="0.25">
      <c r="B193" s="96"/>
      <c r="C193" s="96"/>
      <c r="D193" s="96"/>
      <c r="E193" s="96"/>
      <c r="F193" s="96"/>
      <c r="G193" s="86"/>
      <c r="H193" s="86"/>
      <c r="I193" s="86"/>
      <c r="J193" s="86"/>
      <c r="K193" s="89"/>
      <c r="L193" s="89"/>
      <c r="M193" s="89"/>
      <c r="N193" s="89"/>
      <c r="O193" s="87"/>
      <c r="P193" s="87"/>
      <c r="Q193" s="140" t="str">
        <f ca="1">IF(OR(AND(N(N192)=0,N(N181)&gt;0),N(N192)&gt;V192,Q186="No",Q188="No"),"No","Yes")</f>
        <v>Yes</v>
      </c>
      <c r="R193" s="136" t="s">
        <v>136</v>
      </c>
      <c r="S193" s="136"/>
      <c r="T193" s="136"/>
      <c r="U193" s="136"/>
      <c r="V193" s="136"/>
      <c r="W193" s="136"/>
      <c r="X193" s="136"/>
      <c r="Y193" s="136"/>
      <c r="Z193" s="136"/>
    </row>
    <row r="194" spans="1:29" ht="13.8" x14ac:dyDescent="0.25">
      <c r="B194" s="101" t="s">
        <v>63</v>
      </c>
      <c r="C194" s="102" t="s">
        <v>223</v>
      </c>
      <c r="G194" s="40" t="s">
        <v>9</v>
      </c>
      <c r="H194" s="155"/>
      <c r="I194" s="234"/>
      <c r="J194" s="40" t="s">
        <v>9</v>
      </c>
      <c r="K194" s="155"/>
      <c r="L194" s="234"/>
      <c r="M194" s="40" t="s">
        <v>9</v>
      </c>
      <c r="N194" s="159" t="str">
        <f ca="1">IF(AND(CELL("type",H194)="v",CELL("type",K194)="v")=TRUE,IF(H194+K194=0,"",H194+K194),IF(AND(CELL("type",H194)="v",CELL("type",K194)&lt;&gt;"v")=TRUE,H194,IF(AND(CELL("type",H194)&lt;&gt;"v",CELL("type",K194)="v")=TRUE,K194,"")))</f>
        <v/>
      </c>
      <c r="O194" s="87"/>
      <c r="P194" s="87"/>
      <c r="Q194" s="348" t="str">
        <f ca="1">IF(Q193="No",IF(AND(N(N181)&gt;0,N(N192)=0),"A Developer fee must be entered.  If it is not, the RFA requires the scorer to add the maximum Developer Fee ("&amp;TEXT(V192,"$#,##0.00")&amp;").",IF(AND(N(N192)&gt;V192,Q186="No",Q188="No"),"The amount entered for 'Total Developer Fee' is too high by "&amp;TEXT(N(N192)-V192,"$#,##0.00")&amp;".",IF(AND(Q186="No",Q188="Yes"),"The amount entered for 'Developer Fee on Acquisition Costs' is too high by "&amp;TEXT(N185-V185,"$#,##0.00")&amp;".",IF(AND(Q186="Yes",Q188="No"),"The amount entered for 'Developer Fee on Non-Acquisition Costs' is too high by "&amp;TEXT(N187-V187,"$#,##0.00")&amp;".","")))),"")</f>
        <v/>
      </c>
      <c r="R194" s="348"/>
      <c r="S194" s="348"/>
      <c r="T194" s="348"/>
      <c r="U194" s="348"/>
      <c r="V194" s="348"/>
      <c r="W194" s="348"/>
      <c r="X194" s="348"/>
      <c r="Y194" s="348"/>
      <c r="Z194" s="348"/>
    </row>
    <row r="195" spans="1:29" x14ac:dyDescent="0.25">
      <c r="B195" s="46"/>
      <c r="C195" s="1"/>
      <c r="D195" s="11"/>
      <c r="E195" s="1"/>
      <c r="F195" s="1"/>
      <c r="G195" s="1"/>
      <c r="H195" s="8"/>
      <c r="I195" s="7"/>
      <c r="J195" s="8"/>
      <c r="K195" s="14"/>
      <c r="L195" s="15"/>
      <c r="M195" s="15"/>
      <c r="N195" s="15"/>
      <c r="O195" s="87"/>
      <c r="P195" s="87"/>
      <c r="Q195" s="349"/>
      <c r="R195" s="349"/>
      <c r="S195" s="349"/>
      <c r="T195" s="349"/>
      <c r="U195" s="349"/>
      <c r="V195" s="349"/>
      <c r="W195" s="349"/>
      <c r="X195" s="349"/>
      <c r="Y195" s="349"/>
      <c r="Z195" s="349"/>
    </row>
    <row r="196" spans="1:29" ht="12.75" customHeight="1" x14ac:dyDescent="0.25">
      <c r="B196" s="40" t="s">
        <v>64</v>
      </c>
      <c r="C196" s="11" t="s">
        <v>66</v>
      </c>
      <c r="D196" s="11"/>
      <c r="E196" s="1"/>
      <c r="F196" s="1"/>
      <c r="G196" s="40" t="s">
        <v>9</v>
      </c>
      <c r="H196" s="155"/>
      <c r="I196" s="234" t="str">
        <f>IF(N(H196)&lt;&gt;ROUNDDOWN(N(H196),0),1,"")</f>
        <v/>
      </c>
      <c r="J196" s="40" t="s">
        <v>9</v>
      </c>
      <c r="K196" s="83"/>
      <c r="L196" s="234" t="str">
        <f>IF(N(K196)&lt;&gt;ROUNDDOWN(N(K196),0),1,"")</f>
        <v/>
      </c>
      <c r="M196" s="68" t="s">
        <v>9</v>
      </c>
      <c r="N196" s="67" t="str">
        <f ca="1">IF(AND(CELL("type",H196)="v",CELL("type",K196)="v")=TRUE,IF(H196+K196=0,"",H196+K196),IF(AND(CELL("type",H196)="v",CELL("type",K196)&lt;&gt;"v")=TRUE,H196,IF(AND(CELL("type",H196)&lt;&gt;"v",CELL("type",K196)="v")=TRUE,K196,"")))</f>
        <v/>
      </c>
      <c r="O196" s="87"/>
      <c r="P196" s="87"/>
      <c r="Q196" s="332" t="str">
        <f ca="1">"The amount to be recognized for the "&amp;IF(N(N179)&gt;0,"allocation of ","")&amp;"the purchase price of the land cannot exceed the ""as is"" appraised value.  Include a prorata share of any acquisition brokerage fees.  See note above under Acquisition Costs of Existing Development for additional direction.* "</f>
        <v xml:space="preserve">The amount to be recognized for the the purchase price of the land cannot exceed the "as is" appraised value.  Include a prorata share of any acquisition brokerage fees.  See note above under Acquisition Costs of Existing Development for additional direction.* </v>
      </c>
      <c r="R196" s="332"/>
      <c r="S196" s="332"/>
      <c r="T196" s="332"/>
      <c r="U196" s="332"/>
      <c r="V196" s="332"/>
      <c r="W196" s="332"/>
      <c r="X196" s="332"/>
      <c r="Y196" s="332"/>
      <c r="Z196" s="332"/>
      <c r="AA196" s="332"/>
      <c r="AB196" s="332"/>
      <c r="AC196" s="332"/>
    </row>
    <row r="197" spans="1:29" x14ac:dyDescent="0.25">
      <c r="B197" s="46"/>
      <c r="C197" s="1"/>
      <c r="D197" s="49"/>
      <c r="E197" s="1"/>
      <c r="F197" s="1"/>
      <c r="G197" s="1"/>
      <c r="H197" s="9"/>
      <c r="I197" s="7"/>
      <c r="J197" s="9"/>
      <c r="K197" s="15"/>
      <c r="L197" s="15"/>
      <c r="M197" s="15"/>
      <c r="N197" s="15"/>
      <c r="O197" s="87"/>
      <c r="P197" s="87"/>
      <c r="Q197" s="333"/>
      <c r="R197" s="333"/>
      <c r="S197" s="333"/>
      <c r="T197" s="333"/>
      <c r="U197" s="333"/>
      <c r="V197" s="333"/>
      <c r="W197" s="333"/>
      <c r="X197" s="333"/>
      <c r="Y197" s="333"/>
      <c r="Z197" s="333"/>
      <c r="AA197" s="333"/>
      <c r="AB197" s="333"/>
      <c r="AC197" s="333"/>
    </row>
    <row r="198" spans="1:29" ht="13.8" x14ac:dyDescent="0.25">
      <c r="B198" s="40" t="s">
        <v>89</v>
      </c>
      <c r="C198" s="11" t="s">
        <v>381</v>
      </c>
      <c r="D198" s="11"/>
      <c r="E198" s="1"/>
      <c r="F198" s="1"/>
      <c r="G198" s="40" t="s">
        <v>9</v>
      </c>
      <c r="H198" s="67" t="str">
        <f ca="1">IF(IF(CELL("type",H181)="v",H181,0)+IF(CELL("type",H192)="v",H192,0)+IF(CELL("type",H194)="v",H194,0)+IF(CELL("type",H196)="v",H196,0)=0,"",IF(CELL("type",H181)="v",H181,0)+IF(CELL("type",H192)="v",H192,0)+IF(CELL("type",H194)="v",H194,0)+IF(CELL("type",H196)="v",H196,0))</f>
        <v/>
      </c>
      <c r="I198" s="234"/>
      <c r="J198" s="10" t="s">
        <v>9</v>
      </c>
      <c r="K198" s="67" t="str">
        <f ca="1">IF(IF(CELL("type",K181)="v",K181,0)+IF(CELL("type",K192)="v",K192,0)+IF(CELL("type",K194)="v",K194,0)+IF(CELL("type",K196)="v",K196,0)=0,"",IF(CELL("type",K181)="v",K181,0)+IF(CELL("type",K192)="v",K192,0)+IF(CELL("type",K194)="v",K194,0)+IF(CELL("type",K196)="v",K196,0))</f>
        <v/>
      </c>
      <c r="L198" s="234"/>
      <c r="M198" s="68" t="s">
        <v>9</v>
      </c>
      <c r="N198" s="67" t="str">
        <f ca="1">IF(AND(CELL("type",H198)="v",CELL("type",K198)="v")=TRUE,IF(H198+K198=0,"",H198+K198),IF(AND(CELL("type",H198)="v",CELL("type",K198)&lt;&gt;"v")=TRUE,H198,IF(AND(CELL("type",H198)&lt;&gt;"v",CELL("type",K198)="v")=TRUE,K198,"")))</f>
        <v/>
      </c>
      <c r="O198" s="87"/>
      <c r="P198" s="87"/>
      <c r="Q198" s="145" t="str">
        <f ca="1">IF(AND(K$35=F$500,N(N198)&gt;0),"Please select the appropriate Development Category from the drop-down menu at the top of the Development Cost Pro Forma.","")</f>
        <v/>
      </c>
    </row>
    <row r="199" spans="1:29" x14ac:dyDescent="0.25">
      <c r="B199" s="1"/>
      <c r="C199" s="1"/>
      <c r="D199" s="1" t="s">
        <v>90</v>
      </c>
      <c r="E199" s="1"/>
      <c r="F199" s="1"/>
      <c r="G199" s="1"/>
      <c r="H199" s="1"/>
      <c r="I199" s="1"/>
      <c r="J199" s="1"/>
      <c r="K199" s="66"/>
      <c r="L199" s="66"/>
      <c r="M199" s="66"/>
      <c r="N199" s="66"/>
      <c r="O199" s="87"/>
      <c r="P199" s="87"/>
    </row>
    <row r="200" spans="1:29" ht="3.75" customHeight="1" thickBot="1" x14ac:dyDescent="0.3">
      <c r="B200" s="1"/>
      <c r="C200" s="1"/>
      <c r="D200" s="1"/>
      <c r="E200" s="1"/>
      <c r="F200" s="1"/>
      <c r="G200" s="1"/>
      <c r="H200" s="1"/>
      <c r="I200" s="1"/>
      <c r="J200" s="1"/>
      <c r="K200" s="66"/>
      <c r="L200" s="66"/>
      <c r="M200" s="66"/>
      <c r="N200" s="66"/>
      <c r="O200" s="87"/>
      <c r="P200" s="87"/>
    </row>
    <row r="201" spans="1:29" ht="3.75" customHeight="1" x14ac:dyDescent="0.25">
      <c r="A201" s="85"/>
      <c r="B201" s="92"/>
      <c r="C201" s="92"/>
      <c r="D201" s="92"/>
      <c r="E201" s="92"/>
      <c r="F201" s="92"/>
      <c r="G201" s="92"/>
      <c r="H201" s="92"/>
      <c r="I201" s="92"/>
      <c r="J201" s="92"/>
      <c r="K201" s="93"/>
      <c r="L201" s="93"/>
      <c r="M201" s="93"/>
      <c r="N201" s="93"/>
      <c r="O201" s="94"/>
      <c r="P201" s="94"/>
    </row>
    <row r="202" spans="1:29" x14ac:dyDescent="0.25">
      <c r="B202" s="64" t="str">
        <f>B$2</f>
        <v>RFA 2021-204 DEVELOPMENT COST PRO FORMA</v>
      </c>
      <c r="C202" s="86"/>
      <c r="D202" s="86"/>
      <c r="E202" s="86"/>
      <c r="F202" s="86"/>
      <c r="G202" s="86"/>
      <c r="H202" s="86"/>
      <c r="I202" s="86"/>
      <c r="J202" s="86"/>
      <c r="K202" s="89"/>
      <c r="L202" s="89"/>
      <c r="M202" s="89"/>
      <c r="N202" s="89"/>
      <c r="O202" s="87"/>
      <c r="P202" s="3" t="s">
        <v>247</v>
      </c>
    </row>
    <row r="203" spans="1:29" x14ac:dyDescent="0.25">
      <c r="B203" s="86"/>
      <c r="C203" s="86"/>
      <c r="D203" s="86"/>
      <c r="E203" s="86"/>
      <c r="F203" s="86"/>
      <c r="G203" s="86"/>
      <c r="H203" s="86"/>
      <c r="I203" s="86"/>
      <c r="J203" s="86"/>
      <c r="K203" s="89"/>
      <c r="L203" s="89"/>
      <c r="M203" s="89"/>
      <c r="N203" s="89"/>
      <c r="O203" s="87"/>
      <c r="P203" s="87"/>
    </row>
    <row r="204" spans="1:29" x14ac:dyDescent="0.25">
      <c r="B204" s="23" t="s">
        <v>67</v>
      </c>
      <c r="C204" s="1"/>
      <c r="D204" s="1"/>
      <c r="E204" s="1"/>
      <c r="F204" s="1"/>
      <c r="G204" s="1"/>
      <c r="H204" s="1"/>
      <c r="I204" s="1"/>
      <c r="J204" s="1"/>
      <c r="K204" s="66"/>
      <c r="L204" s="66"/>
      <c r="M204" s="66"/>
      <c r="N204" s="66"/>
      <c r="O204" s="2"/>
      <c r="P204" s="87"/>
    </row>
    <row r="205" spans="1:29" x14ac:dyDescent="0.25">
      <c r="B205" s="23"/>
      <c r="C205" s="1"/>
      <c r="D205" s="1"/>
      <c r="E205" s="1"/>
      <c r="F205" s="1"/>
      <c r="G205" s="1"/>
      <c r="H205" s="1"/>
      <c r="I205" s="1"/>
      <c r="J205" s="1"/>
      <c r="K205" s="66"/>
      <c r="L205" s="66"/>
      <c r="M205" s="66"/>
      <c r="N205" s="66"/>
      <c r="O205" s="2"/>
      <c r="P205" s="87"/>
    </row>
    <row r="206" spans="1:29" x14ac:dyDescent="0.25">
      <c r="B206" s="23" t="s">
        <v>132</v>
      </c>
      <c r="C206" s="1"/>
      <c r="D206" s="1"/>
      <c r="E206" s="1"/>
      <c r="F206" s="1"/>
      <c r="G206" s="1"/>
      <c r="H206" s="1"/>
      <c r="I206" s="1"/>
      <c r="J206" s="1"/>
      <c r="K206" s="66"/>
      <c r="L206" s="66"/>
      <c r="M206" s="66"/>
      <c r="N206" s="66"/>
      <c r="O206" s="2"/>
      <c r="P206" s="87"/>
    </row>
    <row r="207" spans="1:29" x14ac:dyDescent="0.25">
      <c r="B207" s="23" t="s">
        <v>131</v>
      </c>
      <c r="C207" s="1"/>
      <c r="D207" s="1"/>
      <c r="E207" s="1"/>
      <c r="F207" s="1"/>
      <c r="G207" s="1"/>
      <c r="H207" s="1"/>
      <c r="I207" s="1"/>
      <c r="J207" s="1"/>
      <c r="K207" s="66"/>
      <c r="L207" s="66"/>
      <c r="M207" s="66"/>
      <c r="N207" s="66"/>
      <c r="O207" s="2"/>
      <c r="P207" s="87"/>
    </row>
    <row r="208" spans="1:29" x14ac:dyDescent="0.25">
      <c r="B208" s="1"/>
      <c r="C208" s="1"/>
      <c r="D208" s="1"/>
      <c r="E208" s="1"/>
      <c r="F208" s="1"/>
      <c r="G208" s="1"/>
      <c r="H208" s="1"/>
      <c r="I208" s="1"/>
      <c r="J208" s="1"/>
      <c r="K208" s="66"/>
      <c r="L208" s="66"/>
      <c r="M208" s="66"/>
      <c r="N208" s="66"/>
      <c r="O208" s="2"/>
      <c r="P208" s="87"/>
    </row>
    <row r="209" spans="2:16" x14ac:dyDescent="0.25">
      <c r="B209" s="23" t="s">
        <v>82</v>
      </c>
      <c r="C209" s="1"/>
      <c r="D209" s="1"/>
      <c r="E209" s="1"/>
      <c r="F209" s="1"/>
      <c r="G209" s="1"/>
      <c r="H209" s="1"/>
      <c r="I209" s="1"/>
      <c r="J209" s="1"/>
      <c r="K209" s="66"/>
      <c r="L209" s="66"/>
      <c r="M209" s="66"/>
      <c r="N209" s="66"/>
      <c r="O209" s="2"/>
      <c r="P209" s="87"/>
    </row>
    <row r="210" spans="2:16" x14ac:dyDescent="0.25">
      <c r="B210" s="1"/>
      <c r="C210" s="1"/>
      <c r="D210" s="1"/>
      <c r="E210" s="1"/>
      <c r="F210" s="1"/>
      <c r="G210" s="1"/>
      <c r="H210" s="1"/>
      <c r="I210" s="1"/>
      <c r="J210" s="1"/>
      <c r="K210" s="66"/>
      <c r="L210" s="66"/>
      <c r="M210" s="66"/>
      <c r="N210" s="66"/>
      <c r="O210" s="2"/>
      <c r="P210" s="87"/>
    </row>
    <row r="211" spans="2:16" x14ac:dyDescent="0.25">
      <c r="B211" s="86"/>
      <c r="C211" s="50" t="s">
        <v>71</v>
      </c>
      <c r="D211" s="23"/>
      <c r="E211" s="23"/>
      <c r="F211" s="23"/>
      <c r="G211" s="1"/>
      <c r="H211" s="1"/>
      <c r="I211" s="1"/>
      <c r="J211" s="1"/>
      <c r="K211" s="66"/>
      <c r="L211" s="66"/>
      <c r="M211" s="66"/>
      <c r="N211" s="66"/>
      <c r="O211" s="2"/>
      <c r="P211" s="87"/>
    </row>
    <row r="212" spans="2:16" x14ac:dyDescent="0.25">
      <c r="B212" s="86"/>
      <c r="C212" s="51" t="s">
        <v>72</v>
      </c>
      <c r="D212" s="1"/>
      <c r="E212" s="1"/>
      <c r="F212" s="1"/>
      <c r="G212" s="1"/>
      <c r="H212" s="1"/>
      <c r="I212" s="1"/>
      <c r="J212" s="1"/>
      <c r="K212" s="66"/>
      <c r="L212" s="66"/>
      <c r="M212" s="66"/>
      <c r="N212" s="66"/>
      <c r="O212" s="2"/>
      <c r="P212" s="87"/>
    </row>
    <row r="213" spans="2:16" x14ac:dyDescent="0.25">
      <c r="B213" s="86"/>
      <c r="C213" s="52"/>
      <c r="D213" s="1"/>
      <c r="E213" s="1"/>
      <c r="F213" s="1"/>
      <c r="G213" s="1"/>
      <c r="H213" s="1"/>
      <c r="I213" s="1"/>
      <c r="J213" s="1"/>
      <c r="K213" s="66"/>
      <c r="L213" s="66"/>
      <c r="M213" s="66"/>
      <c r="N213" s="66"/>
      <c r="O213" s="2"/>
      <c r="P213" s="87"/>
    </row>
    <row r="214" spans="2:16" x14ac:dyDescent="0.25">
      <c r="B214" s="86"/>
      <c r="C214" s="86"/>
      <c r="D214" s="1" t="s">
        <v>88</v>
      </c>
      <c r="E214" s="1"/>
      <c r="F214" s="382"/>
      <c r="G214" s="396"/>
      <c r="H214" s="396"/>
      <c r="I214" s="396"/>
      <c r="J214" s="396"/>
      <c r="K214" s="396"/>
      <c r="L214" s="396"/>
      <c r="M214" s="396"/>
      <c r="N214" s="396"/>
      <c r="O214" s="397"/>
      <c r="P214" s="125" t="str">
        <f ca="1">IF(AND(F214="",N50&lt;&gt;""),"**","")</f>
        <v/>
      </c>
    </row>
    <row r="215" spans="2:16" x14ac:dyDescent="0.25">
      <c r="B215" s="86"/>
      <c r="C215" s="86"/>
      <c r="D215" s="53"/>
      <c r="E215" s="53"/>
      <c r="F215" s="398"/>
      <c r="G215" s="399"/>
      <c r="H215" s="399"/>
      <c r="I215" s="399"/>
      <c r="J215" s="399"/>
      <c r="K215" s="399"/>
      <c r="L215" s="399"/>
      <c r="M215" s="399"/>
      <c r="N215" s="399"/>
      <c r="O215" s="400"/>
      <c r="P215" s="87"/>
    </row>
    <row r="216" spans="2:16" x14ac:dyDescent="0.25">
      <c r="B216" s="86"/>
      <c r="C216" s="86"/>
      <c r="D216" s="1"/>
      <c r="E216" s="1"/>
      <c r="F216" s="401"/>
      <c r="G216" s="402"/>
      <c r="H216" s="402"/>
      <c r="I216" s="402"/>
      <c r="J216" s="402"/>
      <c r="K216" s="402"/>
      <c r="L216" s="402"/>
      <c r="M216" s="402"/>
      <c r="N216" s="402"/>
      <c r="O216" s="403"/>
      <c r="P216" s="87"/>
    </row>
    <row r="217" spans="2:16" x14ac:dyDescent="0.25">
      <c r="B217" s="86"/>
      <c r="C217" s="86"/>
      <c r="D217" s="1"/>
      <c r="E217" s="1"/>
      <c r="F217" s="1"/>
      <c r="G217" s="1"/>
      <c r="H217" s="1"/>
      <c r="I217" s="1"/>
      <c r="J217" s="1"/>
      <c r="K217" s="66"/>
      <c r="L217" s="66"/>
      <c r="M217" s="66"/>
      <c r="N217" s="66"/>
      <c r="O217" s="2"/>
      <c r="P217" s="87"/>
    </row>
    <row r="218" spans="2:16" x14ac:dyDescent="0.25">
      <c r="B218" s="86"/>
      <c r="C218" s="86"/>
      <c r="D218" s="1" t="s">
        <v>70</v>
      </c>
      <c r="E218" s="1"/>
      <c r="F218" s="382"/>
      <c r="G218" s="396"/>
      <c r="H218" s="396"/>
      <c r="I218" s="396"/>
      <c r="J218" s="396"/>
      <c r="K218" s="396"/>
      <c r="L218" s="396"/>
      <c r="M218" s="396"/>
      <c r="N218" s="396"/>
      <c r="O218" s="397"/>
      <c r="P218" s="125" t="str">
        <f ca="1">IF(AND(F218="",N60&lt;&gt;""),"**","")</f>
        <v/>
      </c>
    </row>
    <row r="219" spans="2:16" x14ac:dyDescent="0.25">
      <c r="B219" s="86"/>
      <c r="C219" s="53"/>
      <c r="D219" s="53"/>
      <c r="E219" s="53"/>
      <c r="F219" s="398"/>
      <c r="G219" s="399"/>
      <c r="H219" s="399"/>
      <c r="I219" s="399"/>
      <c r="J219" s="399"/>
      <c r="K219" s="399"/>
      <c r="L219" s="399"/>
      <c r="M219" s="399"/>
      <c r="N219" s="399"/>
      <c r="O219" s="400"/>
      <c r="P219" s="87"/>
    </row>
    <row r="220" spans="2:16" x14ac:dyDescent="0.25">
      <c r="B220" s="86"/>
      <c r="C220" s="1"/>
      <c r="D220" s="1"/>
      <c r="E220" s="1"/>
      <c r="F220" s="401"/>
      <c r="G220" s="402"/>
      <c r="H220" s="402"/>
      <c r="I220" s="402"/>
      <c r="J220" s="402"/>
      <c r="K220" s="402"/>
      <c r="L220" s="402"/>
      <c r="M220" s="402"/>
      <c r="N220" s="402"/>
      <c r="O220" s="403"/>
      <c r="P220" s="87"/>
    </row>
    <row r="221" spans="2:16" x14ac:dyDescent="0.25">
      <c r="B221" s="86"/>
      <c r="C221" s="1"/>
      <c r="D221" s="1"/>
      <c r="E221" s="1"/>
      <c r="F221" s="1"/>
      <c r="G221" s="1"/>
      <c r="H221" s="1"/>
      <c r="I221" s="1"/>
      <c r="J221" s="1"/>
      <c r="K221" s="66"/>
      <c r="L221" s="66"/>
      <c r="M221" s="66"/>
      <c r="N221" s="66"/>
      <c r="O221" s="2"/>
      <c r="P221" s="87"/>
    </row>
    <row r="222" spans="2:16" x14ac:dyDescent="0.25">
      <c r="B222" s="86"/>
      <c r="C222" s="50" t="s">
        <v>31</v>
      </c>
      <c r="D222" s="23"/>
      <c r="E222" s="23"/>
      <c r="F222" s="23"/>
      <c r="G222" s="1"/>
      <c r="H222" s="1"/>
      <c r="I222" s="1"/>
      <c r="J222" s="1"/>
      <c r="K222" s="66"/>
      <c r="L222" s="66"/>
      <c r="M222" s="66"/>
      <c r="N222" s="66"/>
      <c r="O222" s="2"/>
      <c r="P222" s="87"/>
    </row>
    <row r="223" spans="2:16" x14ac:dyDescent="0.25">
      <c r="B223" s="86"/>
      <c r="C223" s="51" t="s">
        <v>75</v>
      </c>
      <c r="D223" s="1"/>
      <c r="E223" s="1"/>
      <c r="F223" s="1"/>
      <c r="G223" s="1"/>
      <c r="H223" s="1"/>
      <c r="I223" s="1"/>
      <c r="J223" s="1"/>
      <c r="K223" s="66"/>
      <c r="L223" s="66"/>
      <c r="M223" s="66"/>
      <c r="N223" s="66"/>
      <c r="O223" s="2"/>
      <c r="P223" s="87"/>
    </row>
    <row r="224" spans="2:16" x14ac:dyDescent="0.25">
      <c r="B224" s="86"/>
      <c r="C224" s="54"/>
      <c r="D224" s="1"/>
      <c r="E224" s="1"/>
      <c r="F224" s="1"/>
      <c r="G224" s="1"/>
      <c r="H224" s="1"/>
      <c r="I224" s="1"/>
      <c r="J224" s="1"/>
      <c r="K224" s="66"/>
      <c r="L224" s="66"/>
      <c r="M224" s="66"/>
      <c r="N224" s="66"/>
      <c r="O224" s="2"/>
      <c r="P224" s="87"/>
    </row>
    <row r="225" spans="2:16" ht="12.6" customHeight="1" x14ac:dyDescent="0.25">
      <c r="B225" s="86"/>
      <c r="C225" s="86"/>
      <c r="D225" s="1" t="s">
        <v>73</v>
      </c>
      <c r="E225" s="1"/>
      <c r="F225" s="382"/>
      <c r="G225" s="383"/>
      <c r="H225" s="383"/>
      <c r="I225" s="383"/>
      <c r="J225" s="383"/>
      <c r="K225" s="383"/>
      <c r="L225" s="383"/>
      <c r="M225" s="383"/>
      <c r="N225" s="383"/>
      <c r="O225" s="384"/>
      <c r="P225" s="125" t="str">
        <f ca="1">IF(AND(F225="",N107&lt;&gt;""),"**","")</f>
        <v/>
      </c>
    </row>
    <row r="226" spans="2:16" x14ac:dyDescent="0.25">
      <c r="B226" s="86"/>
      <c r="C226" s="86"/>
      <c r="D226" s="53"/>
      <c r="E226" s="53"/>
      <c r="F226" s="385"/>
      <c r="G226" s="386"/>
      <c r="H226" s="386"/>
      <c r="I226" s="386"/>
      <c r="J226" s="386"/>
      <c r="K226" s="386"/>
      <c r="L226" s="386"/>
      <c r="M226" s="386"/>
      <c r="N226" s="386"/>
      <c r="O226" s="387"/>
      <c r="P226" s="87"/>
    </row>
    <row r="227" spans="2:16" x14ac:dyDescent="0.25">
      <c r="B227" s="86"/>
      <c r="C227" s="86"/>
      <c r="D227" s="1"/>
      <c r="E227" s="1"/>
      <c r="F227" s="385"/>
      <c r="G227" s="386"/>
      <c r="H227" s="386"/>
      <c r="I227" s="386"/>
      <c r="J227" s="386"/>
      <c r="K227" s="386"/>
      <c r="L227" s="386"/>
      <c r="M227" s="386"/>
      <c r="N227" s="386"/>
      <c r="O227" s="387"/>
      <c r="P227" s="87"/>
    </row>
    <row r="228" spans="2:16" x14ac:dyDescent="0.25">
      <c r="B228" s="86"/>
      <c r="C228" s="86"/>
      <c r="D228" s="53"/>
      <c r="E228" s="53"/>
      <c r="F228" s="385"/>
      <c r="G228" s="386"/>
      <c r="H228" s="386"/>
      <c r="I228" s="386"/>
      <c r="J228" s="386"/>
      <c r="K228" s="386"/>
      <c r="L228" s="386"/>
      <c r="M228" s="386"/>
      <c r="N228" s="386"/>
      <c r="O228" s="387"/>
      <c r="P228" s="87"/>
    </row>
    <row r="229" spans="2:16" x14ac:dyDescent="0.25">
      <c r="B229" s="86"/>
      <c r="C229" s="86"/>
      <c r="D229" s="1"/>
      <c r="E229" s="1"/>
      <c r="F229" s="388"/>
      <c r="G229" s="389"/>
      <c r="H229" s="389"/>
      <c r="I229" s="389"/>
      <c r="J229" s="389"/>
      <c r="K229" s="389"/>
      <c r="L229" s="389"/>
      <c r="M229" s="389"/>
      <c r="N229" s="389"/>
      <c r="O229" s="390"/>
      <c r="P229" s="87"/>
    </row>
    <row r="230" spans="2:16" x14ac:dyDescent="0.25">
      <c r="B230" s="86"/>
      <c r="C230" s="86"/>
      <c r="D230" s="1"/>
      <c r="E230" s="1"/>
      <c r="F230" s="1"/>
      <c r="G230" s="1"/>
      <c r="H230" s="1"/>
      <c r="I230" s="1"/>
      <c r="J230" s="1"/>
      <c r="K230" s="66"/>
      <c r="L230" s="66"/>
      <c r="M230" s="66"/>
      <c r="N230" s="66"/>
      <c r="O230" s="2"/>
      <c r="P230" s="87"/>
    </row>
    <row r="231" spans="2:16" ht="12.6" customHeight="1" x14ac:dyDescent="0.25">
      <c r="B231" s="86"/>
      <c r="C231" s="86"/>
      <c r="D231" s="1" t="s">
        <v>70</v>
      </c>
      <c r="E231" s="1"/>
      <c r="F231" s="382"/>
      <c r="G231" s="383"/>
      <c r="H231" s="383"/>
      <c r="I231" s="383"/>
      <c r="J231" s="383"/>
      <c r="K231" s="383"/>
      <c r="L231" s="383"/>
      <c r="M231" s="383"/>
      <c r="N231" s="383"/>
      <c r="O231" s="384"/>
      <c r="P231" s="125" t="str">
        <f ca="1">IF(AND(F231="",N131&lt;&gt;""),"**","")</f>
        <v/>
      </c>
    </row>
    <row r="232" spans="2:16" x14ac:dyDescent="0.25">
      <c r="B232" s="86"/>
      <c r="C232" s="53"/>
      <c r="D232" s="53"/>
      <c r="E232" s="53"/>
      <c r="F232" s="385"/>
      <c r="G232" s="386"/>
      <c r="H232" s="386"/>
      <c r="I232" s="386"/>
      <c r="J232" s="386"/>
      <c r="K232" s="386"/>
      <c r="L232" s="386"/>
      <c r="M232" s="386"/>
      <c r="N232" s="386"/>
      <c r="O232" s="387"/>
      <c r="P232" s="87"/>
    </row>
    <row r="233" spans="2:16" x14ac:dyDescent="0.25">
      <c r="B233" s="86"/>
      <c r="C233" s="1"/>
      <c r="D233" s="1"/>
      <c r="E233" s="1"/>
      <c r="F233" s="385"/>
      <c r="G233" s="386"/>
      <c r="H233" s="386"/>
      <c r="I233" s="386"/>
      <c r="J233" s="386"/>
      <c r="K233" s="386"/>
      <c r="L233" s="386"/>
      <c r="M233" s="386"/>
      <c r="N233" s="386"/>
      <c r="O233" s="387"/>
      <c r="P233" s="87"/>
    </row>
    <row r="234" spans="2:16" x14ac:dyDescent="0.25">
      <c r="B234" s="86"/>
      <c r="C234" s="53"/>
      <c r="D234" s="53"/>
      <c r="E234" s="53"/>
      <c r="F234" s="385"/>
      <c r="G234" s="386"/>
      <c r="H234" s="386"/>
      <c r="I234" s="386"/>
      <c r="J234" s="386"/>
      <c r="K234" s="386"/>
      <c r="L234" s="386"/>
      <c r="M234" s="386"/>
      <c r="N234" s="386"/>
      <c r="O234" s="387"/>
      <c r="P234" s="87"/>
    </row>
    <row r="235" spans="2:16" x14ac:dyDescent="0.25">
      <c r="B235" s="86"/>
      <c r="C235" s="1"/>
      <c r="D235" s="1"/>
      <c r="E235" s="1"/>
      <c r="F235" s="388"/>
      <c r="G235" s="389"/>
      <c r="H235" s="389"/>
      <c r="I235" s="389"/>
      <c r="J235" s="389"/>
      <c r="K235" s="389"/>
      <c r="L235" s="389"/>
      <c r="M235" s="389"/>
      <c r="N235" s="389"/>
      <c r="O235" s="390"/>
      <c r="P235" s="87"/>
    </row>
    <row r="236" spans="2:16" x14ac:dyDescent="0.25">
      <c r="B236" s="86"/>
      <c r="C236" s="86"/>
      <c r="D236" s="86"/>
      <c r="E236" s="86"/>
      <c r="F236" s="86"/>
      <c r="G236" s="86"/>
      <c r="H236" s="86"/>
      <c r="I236" s="86"/>
      <c r="J236" s="86"/>
      <c r="K236" s="89"/>
      <c r="L236" s="89"/>
      <c r="M236" s="89"/>
      <c r="N236" s="89"/>
      <c r="O236" s="87"/>
      <c r="P236" s="87"/>
    </row>
    <row r="237" spans="2:16" x14ac:dyDescent="0.25">
      <c r="B237" s="86"/>
      <c r="C237" s="50" t="s">
        <v>16</v>
      </c>
      <c r="D237" s="23"/>
      <c r="E237" s="23"/>
      <c r="F237" s="23"/>
      <c r="G237" s="53"/>
      <c r="H237" s="53"/>
      <c r="I237" s="53"/>
      <c r="J237" s="53"/>
      <c r="K237" s="75"/>
      <c r="L237" s="75"/>
      <c r="M237" s="75"/>
      <c r="N237" s="75"/>
      <c r="O237" s="4"/>
      <c r="P237" s="87"/>
    </row>
    <row r="238" spans="2:16" x14ac:dyDescent="0.25">
      <c r="B238" s="86"/>
      <c r="C238" s="51" t="s">
        <v>92</v>
      </c>
      <c r="D238" s="1"/>
      <c r="E238" s="1"/>
      <c r="F238" s="1"/>
      <c r="G238" s="55"/>
      <c r="H238" s="55"/>
      <c r="I238" s="55"/>
      <c r="J238" s="55"/>
      <c r="K238" s="76"/>
      <c r="L238" s="76"/>
      <c r="M238" s="76"/>
      <c r="N238" s="76"/>
      <c r="O238" s="5"/>
      <c r="P238" s="87"/>
    </row>
    <row r="239" spans="2:16" x14ac:dyDescent="0.25">
      <c r="B239" s="86"/>
      <c r="C239" s="52"/>
      <c r="D239" s="1"/>
      <c r="E239" s="1"/>
      <c r="F239" s="1"/>
      <c r="G239" s="55"/>
      <c r="H239" s="55"/>
      <c r="I239" s="55"/>
      <c r="J239" s="55"/>
      <c r="K239" s="76"/>
      <c r="L239" s="76"/>
      <c r="M239" s="76"/>
      <c r="N239" s="76"/>
      <c r="O239" s="5"/>
      <c r="P239" s="87"/>
    </row>
    <row r="240" spans="2:16" x14ac:dyDescent="0.25">
      <c r="B240" s="86"/>
      <c r="C240" s="86"/>
      <c r="D240" s="1" t="s">
        <v>74</v>
      </c>
      <c r="E240" s="1"/>
      <c r="F240" s="382"/>
      <c r="G240" s="383"/>
      <c r="H240" s="383"/>
      <c r="I240" s="383"/>
      <c r="J240" s="383"/>
      <c r="K240" s="383"/>
      <c r="L240" s="383"/>
      <c r="M240" s="383"/>
      <c r="N240" s="383"/>
      <c r="O240" s="384"/>
      <c r="P240" s="125" t="str">
        <f ca="1">IF(AND(F240="",N168&lt;&gt;""),"**","")</f>
        <v/>
      </c>
    </row>
    <row r="241" spans="2:19" x14ac:dyDescent="0.25">
      <c r="B241" s="86"/>
      <c r="C241" s="86"/>
      <c r="D241" s="53"/>
      <c r="E241" s="53"/>
      <c r="F241" s="385"/>
      <c r="G241" s="386"/>
      <c r="H241" s="386"/>
      <c r="I241" s="386"/>
      <c r="J241" s="386"/>
      <c r="K241" s="386"/>
      <c r="L241" s="386"/>
      <c r="M241" s="386"/>
      <c r="N241" s="386"/>
      <c r="O241" s="387"/>
      <c r="P241" s="87"/>
    </row>
    <row r="242" spans="2:19" x14ac:dyDescent="0.25">
      <c r="B242" s="86"/>
      <c r="C242" s="86"/>
      <c r="D242" s="1"/>
      <c r="E242" s="1"/>
      <c r="F242" s="388"/>
      <c r="G242" s="389"/>
      <c r="H242" s="389"/>
      <c r="I242" s="389"/>
      <c r="J242" s="389"/>
      <c r="K242" s="389"/>
      <c r="L242" s="389"/>
      <c r="M242" s="389"/>
      <c r="N242" s="389"/>
      <c r="O242" s="390"/>
      <c r="P242" s="87"/>
    </row>
    <row r="243" spans="2:19" x14ac:dyDescent="0.25">
      <c r="B243" s="86"/>
      <c r="C243" s="27"/>
      <c r="D243" s="27"/>
      <c r="E243" s="27"/>
      <c r="F243" s="103"/>
      <c r="G243" s="55"/>
      <c r="H243" s="55"/>
      <c r="I243" s="55"/>
      <c r="J243" s="55"/>
      <c r="K243" s="76"/>
      <c r="L243" s="76"/>
      <c r="M243" s="76"/>
      <c r="N243" s="76"/>
      <c r="O243" s="5"/>
      <c r="P243" s="87"/>
    </row>
    <row r="244" spans="2:19" x14ac:dyDescent="0.25">
      <c r="B244" s="86"/>
      <c r="C244" s="50" t="s">
        <v>68</v>
      </c>
      <c r="D244" s="23"/>
      <c r="E244" s="23"/>
      <c r="F244" s="23"/>
      <c r="G244" s="23"/>
      <c r="H244" s="23"/>
      <c r="I244" s="1"/>
      <c r="J244" s="1"/>
      <c r="K244" s="66"/>
      <c r="L244" s="66"/>
      <c r="M244" s="66"/>
      <c r="N244" s="66"/>
      <c r="O244" s="2"/>
      <c r="P244" s="87"/>
    </row>
    <row r="245" spans="2:19" x14ac:dyDescent="0.25">
      <c r="B245" s="86"/>
      <c r="C245" s="51" t="s">
        <v>69</v>
      </c>
      <c r="D245" s="1"/>
      <c r="E245" s="1"/>
      <c r="F245" s="1"/>
      <c r="G245" s="1"/>
      <c r="H245" s="1"/>
      <c r="I245" s="1"/>
      <c r="J245" s="1"/>
      <c r="K245" s="66"/>
      <c r="L245" s="66"/>
      <c r="M245" s="66"/>
      <c r="N245" s="66"/>
      <c r="O245" s="2"/>
      <c r="P245" s="87"/>
    </row>
    <row r="246" spans="2:19" x14ac:dyDescent="0.25">
      <c r="B246" s="86"/>
      <c r="C246" s="51"/>
      <c r="D246" s="1"/>
      <c r="E246" s="1"/>
      <c r="F246" s="1"/>
      <c r="G246" s="1"/>
      <c r="H246" s="1"/>
      <c r="I246" s="1"/>
      <c r="J246" s="1"/>
      <c r="K246" s="66"/>
      <c r="L246" s="66"/>
      <c r="M246" s="66"/>
      <c r="N246" s="66"/>
      <c r="O246" s="2"/>
      <c r="P246" s="87"/>
    </row>
    <row r="247" spans="2:19" x14ac:dyDescent="0.25">
      <c r="B247" s="86"/>
      <c r="C247" s="86"/>
      <c r="D247" s="1" t="s">
        <v>70</v>
      </c>
      <c r="E247" s="1"/>
      <c r="F247" s="382"/>
      <c r="G247" s="383"/>
      <c r="H247" s="383"/>
      <c r="I247" s="383"/>
      <c r="J247" s="383"/>
      <c r="K247" s="383"/>
      <c r="L247" s="383"/>
      <c r="M247" s="383"/>
      <c r="N247" s="383"/>
      <c r="O247" s="384"/>
      <c r="P247" s="125" t="str">
        <f ca="1">IF(AND(F247="",N176&lt;&gt;""),"**","")</f>
        <v/>
      </c>
    </row>
    <row r="248" spans="2:19" x14ac:dyDescent="0.25">
      <c r="B248" s="1"/>
      <c r="C248" s="1"/>
      <c r="D248" s="1"/>
      <c r="E248" s="1"/>
      <c r="F248" s="385"/>
      <c r="G248" s="386"/>
      <c r="H248" s="386"/>
      <c r="I248" s="386"/>
      <c r="J248" s="386"/>
      <c r="K248" s="386"/>
      <c r="L248" s="386"/>
      <c r="M248" s="386"/>
      <c r="N248" s="386"/>
      <c r="O248" s="387"/>
      <c r="P248" s="87"/>
    </row>
    <row r="249" spans="2:19" x14ac:dyDescent="0.25">
      <c r="B249" s="1"/>
      <c r="C249" s="1"/>
      <c r="D249" s="1"/>
      <c r="E249" s="1"/>
      <c r="F249" s="388"/>
      <c r="G249" s="389"/>
      <c r="H249" s="389"/>
      <c r="I249" s="389"/>
      <c r="J249" s="389"/>
      <c r="K249" s="389"/>
      <c r="L249" s="389"/>
      <c r="M249" s="389"/>
      <c r="N249" s="389"/>
      <c r="O249" s="390"/>
      <c r="P249" s="87"/>
    </row>
    <row r="250" spans="2:19" x14ac:dyDescent="0.25">
      <c r="B250" s="27"/>
      <c r="C250" s="27"/>
      <c r="D250" s="27"/>
      <c r="E250" s="27"/>
      <c r="F250" s="55"/>
      <c r="G250" s="55"/>
      <c r="H250" s="55"/>
      <c r="I250" s="55"/>
      <c r="J250" s="55"/>
      <c r="K250" s="76"/>
      <c r="L250" s="76"/>
      <c r="M250" s="76"/>
      <c r="N250" s="76"/>
      <c r="O250" s="5"/>
      <c r="P250" s="87"/>
    </row>
    <row r="251" spans="2:19" x14ac:dyDescent="0.25">
      <c r="B251" s="1"/>
      <c r="C251" s="1"/>
      <c r="D251" s="1"/>
      <c r="E251" s="1"/>
      <c r="F251" s="53"/>
      <c r="G251" s="53"/>
      <c r="H251" s="53"/>
      <c r="I251" s="53"/>
      <c r="J251" s="53"/>
      <c r="K251" s="75"/>
      <c r="L251" s="75"/>
      <c r="M251" s="75"/>
      <c r="N251" s="75"/>
      <c r="O251" s="4"/>
      <c r="P251" s="87"/>
    </row>
    <row r="252" spans="2:19" x14ac:dyDescent="0.25">
      <c r="B252" s="56" t="s">
        <v>138</v>
      </c>
      <c r="C252" s="1"/>
      <c r="D252" s="56" t="s">
        <v>105</v>
      </c>
      <c r="E252" s="86"/>
      <c r="F252" s="32"/>
      <c r="G252" s="32"/>
      <c r="H252" s="32"/>
      <c r="I252" s="32"/>
      <c r="J252" s="32"/>
      <c r="K252" s="69"/>
      <c r="L252" s="69"/>
      <c r="M252" s="69"/>
      <c r="N252" s="69"/>
      <c r="O252" s="6"/>
      <c r="P252" s="87"/>
    </row>
    <row r="253" spans="2:19" x14ac:dyDescent="0.25">
      <c r="B253" s="1"/>
      <c r="C253" s="1"/>
      <c r="D253" s="56" t="s">
        <v>106</v>
      </c>
      <c r="E253" s="86"/>
      <c r="F253" s="32"/>
      <c r="G253" s="32"/>
      <c r="H253" s="32"/>
      <c r="I253" s="32"/>
      <c r="J253" s="32"/>
      <c r="K253" s="69"/>
      <c r="L253" s="69"/>
      <c r="M253" s="69"/>
      <c r="N253" s="69"/>
      <c r="O253" s="6"/>
      <c r="P253" s="87"/>
    </row>
    <row r="254" spans="2:19" x14ac:dyDescent="0.25">
      <c r="B254" s="1"/>
      <c r="C254" s="1"/>
      <c r="D254" s="56" t="s">
        <v>107</v>
      </c>
      <c r="E254" s="86"/>
      <c r="F254" s="32"/>
      <c r="G254" s="32"/>
      <c r="H254" s="32"/>
      <c r="I254" s="32"/>
      <c r="J254" s="32"/>
      <c r="K254" s="69"/>
      <c r="L254" s="69"/>
      <c r="M254" s="69"/>
      <c r="N254" s="69"/>
      <c r="O254" s="6"/>
      <c r="P254" s="87"/>
    </row>
    <row r="255" spans="2:19" x14ac:dyDescent="0.25">
      <c r="B255" s="86"/>
      <c r="C255" s="86"/>
      <c r="D255" s="86"/>
      <c r="E255" s="86"/>
      <c r="F255" s="86"/>
      <c r="G255" s="86"/>
      <c r="H255" s="86"/>
      <c r="I255" s="86"/>
      <c r="J255" s="86"/>
      <c r="K255" s="89"/>
      <c r="L255" s="89"/>
      <c r="M255" s="89"/>
      <c r="N255" s="89"/>
      <c r="O255" s="87"/>
      <c r="P255" s="87"/>
    </row>
    <row r="256" spans="2:19" x14ac:dyDescent="0.25">
      <c r="B256" s="86"/>
      <c r="C256" s="86"/>
      <c r="D256" s="115" t="str">
        <f>IF(OR(K$35=F$503,K$35=F$504),"What is the proposed LIHTC Set-Aside Percentage?","")</f>
        <v>What is the proposed LIHTC Set-Aside Percentage?</v>
      </c>
      <c r="E256" s="86"/>
      <c r="F256" s="86"/>
      <c r="G256" s="86"/>
      <c r="H256" s="86"/>
      <c r="I256" s="381" t="s">
        <v>442</v>
      </c>
      <c r="J256" s="381"/>
      <c r="K256" s="381"/>
      <c r="L256" s="89"/>
      <c r="M256" s="89"/>
      <c r="N256" s="289" t="str">
        <f>IF(OR(K$35=F$503,K$35=F$504),IF(AND(K$36&lt;&gt;"(enter a value)",N(I$256)&gt;0),"("&amp;TEXT(ROUNDUP(K$36*I256/100,0),"0")&amp;" low-income units)","Inputs Needed"),"")</f>
        <v>Inputs Needed</v>
      </c>
      <c r="O256" s="87"/>
      <c r="P256" s="288" t="s">
        <v>158</v>
      </c>
      <c r="Q256" s="1"/>
      <c r="R256" s="1"/>
      <c r="S256" s="1"/>
    </row>
    <row r="257" spans="1:34" x14ac:dyDescent="0.25">
      <c r="B257" s="86"/>
      <c r="C257" s="86"/>
      <c r="D257" s="115" t="str">
        <f>IF(OR(K$35=F$503,K$35=F$504),"Does the proposed Development qualify for a 30% basis boost?","")</f>
        <v>Does the proposed Development qualify for a 30% basis boost?</v>
      </c>
      <c r="E257" s="86"/>
      <c r="F257" s="86"/>
      <c r="G257" s="86"/>
      <c r="H257" s="86"/>
      <c r="I257" s="405" t="s">
        <v>232</v>
      </c>
      <c r="J257" s="405"/>
      <c r="K257" s="405"/>
      <c r="L257" s="89"/>
      <c r="M257" s="89"/>
      <c r="N257" s="89"/>
      <c r="O257" s="87"/>
      <c r="P257" s="87"/>
      <c r="Q257" s="1"/>
      <c r="R257" s="1"/>
      <c r="S257" s="1"/>
    </row>
    <row r="258" spans="1:34" x14ac:dyDescent="0.25">
      <c r="B258" s="86"/>
      <c r="C258" s="86"/>
      <c r="D258" s="86"/>
      <c r="E258" s="86"/>
      <c r="F258" s="86"/>
      <c r="G258" s="86"/>
      <c r="H258" s="86"/>
      <c r="I258" s="86"/>
      <c r="J258" s="86"/>
      <c r="K258" s="89"/>
      <c r="L258" s="89"/>
      <c r="M258" s="89"/>
      <c r="N258" s="89"/>
      <c r="O258" s="87"/>
      <c r="P258" s="87"/>
      <c r="Q258" s="1"/>
      <c r="R258" s="1"/>
      <c r="S258" s="1"/>
    </row>
    <row r="259" spans="1:34" x14ac:dyDescent="0.25">
      <c r="B259" s="86"/>
      <c r="C259" s="89"/>
      <c r="D259" s="115" t="str">
        <f>IF(OR(K$35=F$503,K$35=F$504),"Development Category verification (Sect. Four, A.4.b.(2)(c)): Twenty percent of the adjusted basis of the acquired building ("&amp;TEXT(IF(H174=0,0,H179),"$#,##0")&amp;") is "&amp;TEXT(20%*IF(H174=0,0,H179),"$#,##0")&amp;".","")</f>
        <v>Development Category verification (Sect. Four, A.4.b.(2)(c)): Twenty percent of the adjusted basis of the acquired building ($0) is $0.</v>
      </c>
      <c r="E259" s="86"/>
      <c r="F259" s="86"/>
      <c r="G259" s="86"/>
      <c r="H259" s="86"/>
      <c r="I259" s="86"/>
      <c r="J259" s="86"/>
      <c r="K259" s="89"/>
      <c r="L259" s="89"/>
      <c r="M259" s="89"/>
      <c r="N259" s="89"/>
      <c r="O259" s="87"/>
      <c r="P259" s="87"/>
      <c r="Q259" s="1"/>
      <c r="R259" s="1"/>
      <c r="S259" s="1"/>
    </row>
    <row r="260" spans="1:34" x14ac:dyDescent="0.25">
      <c r="B260" s="86"/>
      <c r="C260" s="89"/>
      <c r="D260" s="115" t="str">
        <f ca="1">IF(OR(K$35=F$503,K$35=F$504),"Rehabilitation expenses are calculated by taking eligible Development Costs ("&amp;TEXT(N(H181),"$#,##0")&amp;"), subtracting eligible Acquisition Costs of Existing Development","")</f>
        <v>Rehabilitation expenses are calculated by taking eligible Development Costs ($0), subtracting eligible Acquisition Costs of Existing Development</v>
      </c>
      <c r="E260" s="86"/>
      <c r="F260" s="86"/>
      <c r="G260" s="86"/>
      <c r="H260" s="86"/>
      <c r="I260" s="86"/>
      <c r="J260" s="86"/>
      <c r="K260" s="89"/>
      <c r="L260" s="89"/>
      <c r="M260" s="89"/>
      <c r="N260" s="89"/>
      <c r="O260" s="87"/>
      <c r="P260" s="87"/>
      <c r="Q260" s="1"/>
      <c r="R260" s="1"/>
      <c r="S260" s="1"/>
    </row>
    <row r="261" spans="1:34" x14ac:dyDescent="0.25">
      <c r="B261" s="86"/>
      <c r="C261" s="89"/>
      <c r="D261" s="115" t="str">
        <f ca="1">IF(OR(K$35=F$503,K$35=F$504),"("&amp;TEXT(N(H179),"$#,##0")&amp;"), and add the eligible basis of Developer Fee on Non-Acquisition Costs ("&amp;TEXT(H187,"$#,##0")&amp;"), for a total for rehabilitation expenses of "&amp;TEXT(N(H181)-N(H179)+N(H187),"$#,##0")&amp;",","")</f>
        <v>($0), and add the eligible basis of Developer Fee on Non-Acquisition Costs ($0), for a total for rehabilitation expenses of $0,</v>
      </c>
      <c r="E261" s="86"/>
      <c r="F261" s="86"/>
      <c r="G261" s="86"/>
      <c r="H261" s="86"/>
      <c r="I261" s="86"/>
      <c r="J261" s="86"/>
      <c r="K261" s="89"/>
      <c r="L261" s="89"/>
      <c r="M261" s="89"/>
      <c r="N261" s="89"/>
      <c r="O261" s="87"/>
      <c r="P261" s="87"/>
      <c r="Q261" s="1"/>
      <c r="R261" s="1"/>
      <c r="S261" s="1"/>
    </row>
    <row r="262" spans="1:34" x14ac:dyDescent="0.25">
      <c r="B262" s="86"/>
      <c r="C262" s="89"/>
      <c r="D262" s="115" t="str">
        <f>IF(OR(K$35=F$503,K$35=F$504),"To convert to qualifed basis per LIHTC set-aside unit, multiply rehabilitation expenses by "&amp;IF(I257="Yes","1.3","1.0")&amp;" for the basis boost status, multiply by the LIHTC set-aside","")</f>
        <v>To convert to qualifed basis per LIHTC set-aside unit, multiply rehabilitation expenses by 1.0 for the basis boost status, multiply by the LIHTC set-aside</v>
      </c>
      <c r="E262" s="86"/>
      <c r="F262" s="86"/>
      <c r="G262" s="86"/>
      <c r="H262" s="86"/>
      <c r="I262" s="86"/>
      <c r="J262" s="86"/>
      <c r="K262" s="89"/>
      <c r="L262" s="89"/>
      <c r="M262" s="89"/>
      <c r="N262" s="89"/>
      <c r="O262" s="87"/>
      <c r="P262" s="87"/>
      <c r="Q262" s="1"/>
      <c r="R262" s="1"/>
      <c r="S262" s="1"/>
    </row>
    <row r="263" spans="1:34" x14ac:dyDescent="0.25">
      <c r="B263" s="86"/>
      <c r="C263" s="89"/>
      <c r="D263" s="290" t="str">
        <f>IF(OR(K$35=F$503,K$35=F$504),IF(OR(K$36="(enter a value)",I$256="(enter a percentage)",I$256=0),"percentage of 0% and then divide by 0 LIHTC set-aside units to get $0 per low-income unit.",IF(OR(K$35=F$503,K$35=F$504),"percentage of "&amp;TEXT(N(I256)/100,"0%")&amp;" and then divide by "&amp;TEXT(ROUNDUP(N(K$36)*N(I256)/100,0),"0")&amp;" LIHTC set-aside units to get "&amp;TEXT((N(H181)-N(H179)+N(H187))*IF(I257="Yes",1.3,1)*N(I256)/100/ROUNDUP(N(K$36)*N(I256)/100,0),"$#,##0")&amp;" per low-income unit.","")),"")</f>
        <v>percentage of 0% and then divide by 0 LIHTC set-aside units to get $0 per low-income unit.</v>
      </c>
      <c r="E263" s="86"/>
      <c r="F263" s="86"/>
      <c r="G263" s="86"/>
      <c r="H263" s="86"/>
      <c r="I263" s="86"/>
      <c r="J263" s="86"/>
      <c r="K263" s="89"/>
      <c r="L263" s="89"/>
      <c r="M263" s="89"/>
      <c r="N263" s="89"/>
      <c r="O263" s="87"/>
      <c r="P263" s="87"/>
      <c r="Q263" s="1"/>
      <c r="R263" s="1"/>
      <c r="S263" s="1"/>
    </row>
    <row r="264" spans="1:34" x14ac:dyDescent="0.25">
      <c r="B264" s="86"/>
      <c r="C264" s="86"/>
      <c r="D264" s="115" t="str">
        <f ca="1">IF(OR(K$35=F$503,K$35=F$504),"First bullet: rehabilitation expenses of "&amp;TEXT(N(H181)-N(H179)+N(H187),"$#,##0")&amp;" is "&amp;IF(N(H181)-N(H179)+N(H187)&gt;20%*IF(N(H174)=0,0,N(H179)),"greater than",IF(N(H181)-N(H179)+N(H187)&lt;20%*IF(N(H174)=0,0,N(H179)),"less than","equal to"))&amp;" 20 percent of the adjusted basis of the acquired building ("&amp;TEXT(20%*IF(N(H174)=0,0,N(H179)),"$#,##0")&amp;").","")</f>
        <v>First bullet: rehabilitation expenses of $0 is equal to 20 percent of the adjusted basis of the acquired building ($0).</v>
      </c>
      <c r="E264" s="86"/>
      <c r="F264" s="86"/>
      <c r="G264" s="86"/>
      <c r="H264" s="86"/>
      <c r="I264" s="86"/>
      <c r="J264" s="86"/>
      <c r="K264" s="89"/>
      <c r="L264" s="89"/>
      <c r="M264" s="89"/>
      <c r="N264" s="89"/>
      <c r="O264" s="87"/>
      <c r="P264" s="87"/>
      <c r="Q264" s="1"/>
      <c r="R264" s="1"/>
      <c r="S264" s="1"/>
    </row>
    <row r="265" spans="1:34" x14ac:dyDescent="0.25">
      <c r="B265" s="86"/>
      <c r="C265" s="86"/>
      <c r="D265" s="115" t="str">
        <f>IF(OR(K$35=F$503,K$35=F$504),IF(OR(K$36="(enter a value)",I$256="(enter a percentage)",I$256=0),"Second bullet: qualified basis of the estimated rehabilitation expenses per low-income unit of $0 is less than $25,000.",IF(OR(K$35=F$503,K$35=F$504),"Second bullet: qualified basis of the estimated rehabilitation expenses per low-income unit of "&amp;TEXT((N(H181)-N(H179)+N(H187))*IF(I257="Yes",1.3,1)*N(I256)/100/ROUNDUP(N(K$36)*N(I256)/100,0),"$#,##0")&amp;" is "&amp;IF((N(H181)-N(H179)+N(H187))*IF(I257="Yes",1.3,1)*N(I256)/100/ROUNDUP(N(K$36)*N(I256)/100,0)&gt;25000,"greater than",IF((N(H181)-N(H179)+N(H187))*IF(I257="Yes",1.3,1)*N(I256)/100/ROUNDUP(N(K$36)*N(I256)/100,0)&lt;25000,"less than","equal to"))&amp;" $25,000.","")),"")</f>
        <v>Second bullet: qualified basis of the estimated rehabilitation expenses per low-income unit of $0 is less than $25,000.</v>
      </c>
      <c r="E265" s="86"/>
      <c r="F265" s="86"/>
      <c r="G265" s="86"/>
      <c r="H265" s="86"/>
      <c r="I265" s="86"/>
      <c r="J265" s="86"/>
      <c r="K265" s="89"/>
      <c r="L265" s="89"/>
      <c r="M265" s="89"/>
      <c r="N265" s="89"/>
      <c r="O265" s="87"/>
      <c r="P265" s="87"/>
      <c r="Q265" s="1"/>
      <c r="R265" s="1"/>
      <c r="S265" s="1"/>
    </row>
    <row r="266" spans="1:34" ht="3.75" customHeight="1" thickBot="1" x14ac:dyDescent="0.3">
      <c r="B266" s="86"/>
      <c r="C266" s="86"/>
      <c r="D266" s="86"/>
      <c r="E266" s="86"/>
      <c r="F266" s="86"/>
      <c r="G266" s="86"/>
      <c r="H266" s="86"/>
      <c r="I266" s="86"/>
      <c r="J266" s="86"/>
      <c r="K266" s="89"/>
      <c r="L266" s="89"/>
      <c r="M266" s="89"/>
      <c r="N266" s="89"/>
      <c r="O266" s="87"/>
      <c r="P266" s="87"/>
    </row>
    <row r="267" spans="1:34" ht="3.75" customHeight="1" x14ac:dyDescent="0.25">
      <c r="A267" s="85"/>
      <c r="B267" s="92"/>
      <c r="C267" s="92"/>
      <c r="D267" s="92"/>
      <c r="E267" s="92"/>
      <c r="F267" s="92"/>
      <c r="G267" s="92"/>
      <c r="H267" s="92"/>
      <c r="I267" s="92"/>
      <c r="J267" s="92"/>
      <c r="K267" s="93"/>
      <c r="L267" s="93"/>
      <c r="M267" s="93"/>
      <c r="N267" s="93"/>
      <c r="O267" s="94"/>
      <c r="P267" s="94"/>
      <c r="Q267" s="336" t="s">
        <v>227</v>
      </c>
      <c r="R267" s="337"/>
      <c r="S267" s="337"/>
      <c r="T267" s="337"/>
      <c r="U267" s="337"/>
      <c r="V267" s="337"/>
      <c r="W267" s="337"/>
      <c r="X267" s="337"/>
      <c r="Y267" s="337"/>
      <c r="Z267" s="338"/>
    </row>
    <row r="268" spans="1:34" ht="13.5" customHeight="1" x14ac:dyDescent="0.25">
      <c r="B268" s="64" t="str">
        <f>B$2</f>
        <v>RFA 2021-204 DEVELOPMENT COST PRO FORMA</v>
      </c>
      <c r="C268" s="86"/>
      <c r="D268" s="86"/>
      <c r="E268" s="86"/>
      <c r="F268" s="86"/>
      <c r="G268" s="86"/>
      <c r="H268" s="86"/>
      <c r="I268" s="86"/>
      <c r="J268" s="86"/>
      <c r="K268" s="89"/>
      <c r="L268" s="89"/>
      <c r="M268" s="89"/>
      <c r="N268" s="89"/>
      <c r="O268" s="87"/>
      <c r="P268" s="3" t="s">
        <v>248</v>
      </c>
      <c r="Q268" s="339"/>
      <c r="R268" s="340"/>
      <c r="S268" s="340"/>
      <c r="T268" s="340"/>
      <c r="U268" s="340"/>
      <c r="V268" s="340"/>
      <c r="W268" s="340"/>
      <c r="X268" s="340"/>
      <c r="Y268" s="340"/>
      <c r="Z268" s="341"/>
    </row>
    <row r="269" spans="1:34" x14ac:dyDescent="0.25">
      <c r="B269" s="86"/>
      <c r="C269" s="86"/>
      <c r="D269" s="86"/>
      <c r="E269" s="86"/>
      <c r="F269" s="86"/>
      <c r="G269" s="86"/>
      <c r="H269" s="86"/>
      <c r="I269" s="86"/>
      <c r="J269" s="86"/>
      <c r="K269" s="89"/>
      <c r="L269" s="89"/>
      <c r="M269" s="89"/>
      <c r="N269" s="89"/>
      <c r="O269" s="87"/>
      <c r="P269" s="87"/>
      <c r="Q269" s="339"/>
      <c r="R269" s="340"/>
      <c r="S269" s="340"/>
      <c r="T269" s="340"/>
      <c r="U269" s="340"/>
      <c r="V269" s="340"/>
      <c r="W269" s="340"/>
      <c r="X269" s="340"/>
      <c r="Y269" s="340"/>
      <c r="Z269" s="341"/>
    </row>
    <row r="270" spans="1:34" ht="13.8" thickBot="1" x14ac:dyDescent="0.3">
      <c r="B270" s="86"/>
      <c r="C270" s="86"/>
      <c r="D270" s="86"/>
      <c r="E270" s="86"/>
      <c r="F270" s="86"/>
      <c r="G270" s="86"/>
      <c r="H270" s="86"/>
      <c r="I270" s="86"/>
      <c r="J270" s="86"/>
      <c r="K270" s="89"/>
      <c r="L270" s="89"/>
      <c r="M270" s="89"/>
      <c r="N270" s="89"/>
      <c r="O270" s="87"/>
      <c r="P270" s="87"/>
      <c r="Q270" s="342"/>
      <c r="R270" s="343"/>
      <c r="S270" s="343"/>
      <c r="T270" s="343"/>
      <c r="U270" s="343"/>
      <c r="V270" s="343"/>
      <c r="W270" s="343"/>
      <c r="X270" s="343"/>
      <c r="Y270" s="343"/>
      <c r="Z270" s="344"/>
    </row>
    <row r="271" spans="1:34" x14ac:dyDescent="0.25">
      <c r="B271" s="23" t="s">
        <v>103</v>
      </c>
      <c r="C271" s="1"/>
      <c r="D271" s="1"/>
      <c r="E271" s="1"/>
      <c r="F271" s="1"/>
      <c r="G271" s="1"/>
      <c r="H271" s="1"/>
      <c r="I271" s="1"/>
      <c r="J271" s="1"/>
      <c r="K271" s="77"/>
      <c r="L271" s="70"/>
      <c r="M271" s="70"/>
      <c r="N271" s="89"/>
      <c r="O271" s="87"/>
      <c r="P271" s="87"/>
    </row>
    <row r="272" spans="1:34" x14ac:dyDescent="0.25">
      <c r="B272" s="23"/>
      <c r="C272" s="1"/>
      <c r="D272" s="1"/>
      <c r="E272" s="1"/>
      <c r="F272" s="1"/>
      <c r="G272" s="1"/>
      <c r="H272" s="57" t="s">
        <v>76</v>
      </c>
      <c r="I272" s="57"/>
      <c r="J272" s="1"/>
      <c r="K272" s="404" t="s">
        <v>318</v>
      </c>
      <c r="L272" s="404"/>
      <c r="M272" s="404"/>
      <c r="N272" s="404"/>
      <c r="O272" s="87"/>
      <c r="P272" s="205"/>
      <c r="R272" s="128"/>
      <c r="S272" s="128"/>
      <c r="T272" s="223"/>
      <c r="U272" s="223"/>
      <c r="V272" s="223"/>
      <c r="W272" s="223"/>
      <c r="X272" s="223"/>
      <c r="Y272" s="223"/>
      <c r="Z272" s="223"/>
      <c r="AA272" s="128"/>
      <c r="AB272" s="128"/>
      <c r="AC272" s="128"/>
      <c r="AD272" s="128"/>
      <c r="AE272" s="128"/>
      <c r="AF272" s="128"/>
      <c r="AG272" s="128"/>
      <c r="AH272" s="128"/>
    </row>
    <row r="273" spans="2:35" x14ac:dyDescent="0.25">
      <c r="B273" s="1"/>
      <c r="C273" s="1"/>
      <c r="D273" s="1"/>
      <c r="E273" s="1"/>
      <c r="F273" s="1"/>
      <c r="G273" s="1"/>
      <c r="H273" s="1"/>
      <c r="I273" s="1"/>
      <c r="J273" s="1"/>
      <c r="K273" s="66"/>
      <c r="L273" s="66"/>
      <c r="M273" s="66"/>
      <c r="N273" s="89"/>
      <c r="O273" s="213"/>
      <c r="P273" s="213"/>
      <c r="Q273" s="213"/>
      <c r="R273" s="168"/>
      <c r="S273" s="170"/>
      <c r="T273" s="128"/>
      <c r="U273" s="128"/>
      <c r="V273" s="128"/>
      <c r="W273" s="128"/>
      <c r="X273" s="128"/>
      <c r="Y273" s="128"/>
      <c r="Z273" s="128"/>
      <c r="AA273" s="128"/>
      <c r="AB273" s="128"/>
      <c r="AC273" s="128"/>
      <c r="AD273" s="128"/>
      <c r="AE273" s="128"/>
      <c r="AF273" s="128"/>
      <c r="AG273" s="128"/>
      <c r="AH273" s="128"/>
    </row>
    <row r="274" spans="2:35" ht="12.75" customHeight="1" x14ac:dyDescent="0.25">
      <c r="B274" s="30" t="s">
        <v>86</v>
      </c>
      <c r="C274" s="23" t="s">
        <v>85</v>
      </c>
      <c r="D274" s="1"/>
      <c r="E274" s="1"/>
      <c r="F274" s="1"/>
      <c r="G274" s="30" t="s">
        <v>9</v>
      </c>
      <c r="H274" s="67" t="str">
        <f ca="1">IF(N198="","",N198)</f>
        <v/>
      </c>
      <c r="I274" s="1"/>
      <c r="J274" s="36"/>
      <c r="O274" s="213"/>
      <c r="P274" s="213"/>
      <c r="Q274" s="213"/>
      <c r="R274" s="353"/>
      <c r="S274" s="353"/>
      <c r="T274" s="353"/>
      <c r="U274" s="226"/>
      <c r="V274" s="128"/>
      <c r="W274" s="128"/>
      <c r="X274" s="128"/>
      <c r="Y274" s="128"/>
      <c r="Z274" s="128"/>
      <c r="AA274" s="128"/>
      <c r="AB274" s="128"/>
      <c r="AC274" s="128"/>
      <c r="AD274" s="128"/>
      <c r="AE274" s="128"/>
      <c r="AF274" s="128"/>
      <c r="AG274" s="128"/>
      <c r="AH274" s="128"/>
    </row>
    <row r="275" spans="2:35" x14ac:dyDescent="0.25">
      <c r="B275" s="1"/>
      <c r="C275" s="1"/>
      <c r="D275" s="1"/>
      <c r="E275" s="1"/>
      <c r="F275" s="1"/>
      <c r="G275" s="1"/>
      <c r="H275" s="8"/>
      <c r="I275" s="1"/>
      <c r="J275" s="36"/>
      <c r="K275" s="42"/>
      <c r="L275" s="42"/>
      <c r="M275" s="42"/>
      <c r="N275" s="89"/>
      <c r="O275" s="213"/>
      <c r="P275" s="213"/>
      <c r="Q275" s="213"/>
      <c r="R275" s="352"/>
      <c r="S275" s="352"/>
      <c r="T275" s="352"/>
      <c r="U275" s="227"/>
      <c r="V275" s="128"/>
      <c r="W275" s="128"/>
      <c r="X275" s="128"/>
      <c r="Y275" s="128"/>
      <c r="Z275" s="128"/>
      <c r="AA275" s="128"/>
      <c r="AB275" s="128"/>
      <c r="AC275" s="128"/>
      <c r="AD275" s="223"/>
      <c r="AE275" s="223"/>
      <c r="AF275" s="223"/>
      <c r="AG275" s="223"/>
      <c r="AH275" s="223"/>
      <c r="AI275" s="223"/>
    </row>
    <row r="276" spans="2:35" x14ac:dyDescent="0.25">
      <c r="B276" s="30" t="s">
        <v>84</v>
      </c>
      <c r="C276" s="23" t="s">
        <v>110</v>
      </c>
      <c r="D276" s="1"/>
      <c r="E276" s="1"/>
      <c r="F276" s="1"/>
      <c r="G276" s="1"/>
      <c r="H276" s="8"/>
      <c r="I276" s="1"/>
      <c r="J276" s="36"/>
      <c r="K276" s="42"/>
      <c r="L276" s="42"/>
      <c r="M276" s="42"/>
      <c r="N276" s="89"/>
      <c r="O276" s="213"/>
      <c r="P276" s="213"/>
      <c r="Q276" s="220" t="s">
        <v>325</v>
      </c>
      <c r="R276" s="128"/>
      <c r="S276" s="128"/>
      <c r="T276" s="128"/>
      <c r="U276" s="128"/>
      <c r="V276" s="128"/>
      <c r="W276" s="128"/>
      <c r="X276" s="128"/>
      <c r="Y276" s="128"/>
      <c r="Z276" s="128"/>
      <c r="AA276" s="128"/>
      <c r="AB276" s="128"/>
      <c r="AC276" s="128"/>
      <c r="AD276" s="223"/>
      <c r="AE276" s="223"/>
      <c r="AF276" s="223"/>
      <c r="AG276" s="223"/>
      <c r="AH276" s="223"/>
      <c r="AI276" s="223"/>
    </row>
    <row r="277" spans="2:35" x14ac:dyDescent="0.25">
      <c r="B277" s="1"/>
      <c r="C277" s="1"/>
      <c r="D277" s="1"/>
      <c r="E277" s="1"/>
      <c r="F277" s="1"/>
      <c r="G277" s="46"/>
      <c r="H277" s="58"/>
      <c r="I277" s="1"/>
      <c r="J277" s="36"/>
      <c r="K277" s="42"/>
      <c r="L277" s="42"/>
      <c r="M277" s="42"/>
      <c r="N277" s="89"/>
      <c r="O277" s="213"/>
      <c r="P277" s="213"/>
      <c r="Q277" s="213"/>
      <c r="R277" s="128"/>
      <c r="S277" s="128"/>
      <c r="T277" s="128"/>
      <c r="U277" s="128"/>
      <c r="V277" s="128"/>
      <c r="W277" s="128"/>
      <c r="X277" s="128"/>
      <c r="Y277" s="128"/>
      <c r="Z277" s="128"/>
      <c r="AA277" s="128"/>
      <c r="AB277" s="128"/>
      <c r="AC277" s="128"/>
      <c r="AD277" s="223"/>
      <c r="AE277" s="223"/>
      <c r="AF277" s="223"/>
      <c r="AG277" s="223"/>
      <c r="AH277" s="223"/>
      <c r="AI277" s="223"/>
    </row>
    <row r="278" spans="2:35" ht="12.75" customHeight="1" x14ac:dyDescent="0.25">
      <c r="B278" s="111">
        <f>MAX(B$277:B277)+1</f>
        <v>1</v>
      </c>
      <c r="C278" s="1" t="s">
        <v>78</v>
      </c>
      <c r="D278" s="1"/>
      <c r="E278" s="1"/>
      <c r="F278" s="1"/>
      <c r="G278" s="46" t="s">
        <v>9</v>
      </c>
      <c r="H278" s="82"/>
      <c r="I278" s="1"/>
      <c r="J278" s="36"/>
      <c r="K278" s="351" t="s">
        <v>232</v>
      </c>
      <c r="L278" s="351"/>
      <c r="M278" s="351"/>
      <c r="N278" s="351"/>
      <c r="O278" s="213"/>
      <c r="P278" s="213"/>
      <c r="Q278" s="221">
        <f>IF(N(K$36)=0,0,N(H278)/K$36)</f>
        <v>0</v>
      </c>
      <c r="R278" s="168"/>
      <c r="S278" s="128"/>
      <c r="T278" s="128"/>
      <c r="U278" s="128"/>
      <c r="V278" s="128"/>
      <c r="W278" s="128"/>
      <c r="X278" s="128"/>
      <c r="Y278" s="128"/>
      <c r="Z278" s="128"/>
      <c r="AA278" s="128"/>
      <c r="AB278" s="128"/>
      <c r="AC278" s="128"/>
      <c r="AD278" s="223"/>
      <c r="AE278" s="223"/>
      <c r="AF278" s="223"/>
      <c r="AG278" s="223"/>
      <c r="AH278" s="223"/>
      <c r="AI278" s="223"/>
    </row>
    <row r="279" spans="2:35" x14ac:dyDescent="0.25">
      <c r="B279" s="110"/>
      <c r="C279" s="1"/>
      <c r="D279" s="1"/>
      <c r="E279" s="1"/>
      <c r="F279" s="1"/>
      <c r="G279" s="46"/>
      <c r="H279" s="58"/>
      <c r="I279" s="1"/>
      <c r="J279" s="36"/>
      <c r="K279" s="42"/>
      <c r="L279" s="42"/>
      <c r="M279" s="42"/>
      <c r="N279" s="89"/>
      <c r="O279" s="213"/>
      <c r="P279" s="213"/>
      <c r="Q279" s="213"/>
      <c r="R279" s="369"/>
      <c r="S279" s="369"/>
      <c r="T279" s="369"/>
      <c r="U279" s="369"/>
      <c r="V279" s="369"/>
      <c r="W279" s="369"/>
      <c r="X279" s="369"/>
      <c r="Y279" s="369"/>
      <c r="Z279" s="369"/>
      <c r="AA279" s="369"/>
      <c r="AB279" s="369"/>
      <c r="AC279" s="128"/>
      <c r="AD279" s="223"/>
      <c r="AE279" s="223"/>
      <c r="AF279" s="223"/>
      <c r="AG279" s="223"/>
      <c r="AH279" s="223"/>
      <c r="AI279" s="223"/>
    </row>
    <row r="280" spans="2:35" x14ac:dyDescent="0.25">
      <c r="B280" s="111">
        <f>MAX(B$277:B279)+1</f>
        <v>2</v>
      </c>
      <c r="C280" s="1" t="s">
        <v>79</v>
      </c>
      <c r="D280" s="1"/>
      <c r="E280" s="1"/>
      <c r="F280" s="1"/>
      <c r="G280" s="46" t="s">
        <v>9</v>
      </c>
      <c r="H280" s="82"/>
      <c r="I280" s="1"/>
      <c r="J280" s="36"/>
      <c r="K280" s="351" t="s">
        <v>232</v>
      </c>
      <c r="L280" s="351"/>
      <c r="M280" s="351"/>
      <c r="N280" s="351"/>
      <c r="O280" s="213"/>
      <c r="P280" s="213"/>
      <c r="Q280" s="221">
        <f>IF(N(K$36)=0,0,N(H280)/K$36)</f>
        <v>0</v>
      </c>
      <c r="R280" s="369"/>
      <c r="S280" s="369"/>
      <c r="T280" s="369"/>
      <c r="U280" s="369"/>
      <c r="V280" s="369"/>
      <c r="W280" s="369"/>
      <c r="X280" s="369"/>
      <c r="Y280" s="369"/>
      <c r="Z280" s="369"/>
      <c r="AA280" s="369"/>
      <c r="AB280" s="369"/>
      <c r="AC280" s="128"/>
      <c r="AD280" s="223"/>
      <c r="AE280" s="223"/>
      <c r="AF280" s="223"/>
      <c r="AG280" s="223"/>
      <c r="AH280" s="223"/>
      <c r="AI280" s="223"/>
    </row>
    <row r="281" spans="2:35" ht="12.75" customHeight="1" x14ac:dyDescent="0.25">
      <c r="B281" s="1"/>
      <c r="C281" s="1"/>
      <c r="D281" s="1"/>
      <c r="E281" s="1"/>
      <c r="F281" s="1"/>
      <c r="G281" s="46"/>
      <c r="H281" s="58"/>
      <c r="I281" s="1"/>
      <c r="J281" s="36"/>
      <c r="K281" s="42"/>
      <c r="L281" s="42"/>
      <c r="M281" s="42"/>
      <c r="N281" s="89"/>
      <c r="O281" s="213"/>
      <c r="P281" s="213"/>
      <c r="Q281" s="213"/>
      <c r="R281" s="128"/>
      <c r="S281" s="128"/>
      <c r="T281" s="128"/>
      <c r="U281" s="128"/>
      <c r="V281" s="128"/>
      <c r="W281" s="128"/>
      <c r="X281" s="128"/>
      <c r="Y281" s="128"/>
      <c r="Z281" s="128"/>
      <c r="AA281" s="128"/>
      <c r="AB281" s="128"/>
      <c r="AC281" s="128"/>
      <c r="AD281" s="223"/>
      <c r="AE281" s="223"/>
      <c r="AF281" s="223"/>
      <c r="AG281" s="223"/>
      <c r="AH281" s="223"/>
      <c r="AI281" s="223"/>
    </row>
    <row r="282" spans="2:35" x14ac:dyDescent="0.25">
      <c r="B282" s="111">
        <f>MAX(B$277:B281)+1</f>
        <v>3</v>
      </c>
      <c r="C282" s="1" t="s">
        <v>80</v>
      </c>
      <c r="D282" s="1"/>
      <c r="E282" s="1"/>
      <c r="F282" s="1"/>
      <c r="G282" s="46" t="s">
        <v>9</v>
      </c>
      <c r="H282" s="82"/>
      <c r="I282" s="1"/>
      <c r="J282" s="36"/>
      <c r="K282" s="351" t="s">
        <v>232</v>
      </c>
      <c r="L282" s="351"/>
      <c r="M282" s="351"/>
      <c r="N282" s="351"/>
      <c r="O282" s="213"/>
      <c r="P282" s="213"/>
      <c r="Q282" s="221">
        <f>IF(N(K$36)=0,0,N(H282)/K$36)</f>
        <v>0</v>
      </c>
      <c r="R282" s="168"/>
      <c r="S282" s="128"/>
      <c r="T282" s="128"/>
      <c r="U282" s="223"/>
      <c r="V282" s="223"/>
      <c r="W282" s="223"/>
      <c r="X282" s="53"/>
      <c r="Y282" s="128"/>
      <c r="Z282" s="128"/>
      <c r="AA282" s="128"/>
      <c r="AB282" s="128"/>
      <c r="AC282" s="128"/>
      <c r="AD282" s="223"/>
      <c r="AE282" s="223"/>
      <c r="AF282" s="223"/>
      <c r="AG282" s="223"/>
      <c r="AH282" s="223"/>
      <c r="AI282" s="223"/>
    </row>
    <row r="283" spans="2:35" x14ac:dyDescent="0.25">
      <c r="B283" s="1"/>
      <c r="C283" s="1"/>
      <c r="D283" s="1"/>
      <c r="E283" s="1"/>
      <c r="F283" s="1"/>
      <c r="G283" s="46"/>
      <c r="H283" s="58"/>
      <c r="I283" s="1"/>
      <c r="J283" s="36"/>
      <c r="K283" s="42"/>
      <c r="L283" s="42"/>
      <c r="M283" s="42"/>
      <c r="N283" s="89"/>
      <c r="O283" s="213"/>
      <c r="P283" s="213"/>
      <c r="Q283" s="213"/>
      <c r="R283" s="354"/>
      <c r="S283" s="354"/>
      <c r="T283" s="354"/>
      <c r="U283" s="228"/>
      <c r="V283" s="223"/>
      <c r="W283" s="223"/>
      <c r="X283" s="128"/>
      <c r="Y283" s="128"/>
      <c r="Z283" s="128"/>
      <c r="AA283" s="128"/>
      <c r="AB283" s="128"/>
      <c r="AC283" s="223"/>
      <c r="AD283" s="223"/>
      <c r="AE283" s="223"/>
      <c r="AF283" s="223"/>
      <c r="AG283" s="223"/>
      <c r="AH283" s="223"/>
      <c r="AI283" s="223"/>
    </row>
    <row r="284" spans="2:35" ht="12.75" customHeight="1" x14ac:dyDescent="0.25">
      <c r="B284" s="111">
        <f>MAX(B$277:B283)+1</f>
        <v>4</v>
      </c>
      <c r="C284" s="1" t="s">
        <v>307</v>
      </c>
      <c r="D284" s="1"/>
      <c r="E284" s="1"/>
      <c r="F284" s="1"/>
      <c r="G284" s="46" t="s">
        <v>9</v>
      </c>
      <c r="H284" s="82"/>
      <c r="I284" s="1"/>
      <c r="J284" s="36"/>
      <c r="K284" s="351" t="s">
        <v>232</v>
      </c>
      <c r="L284" s="351"/>
      <c r="M284" s="351"/>
      <c r="N284" s="351"/>
      <c r="O284" s="213"/>
      <c r="P284" s="213"/>
      <c r="Q284" s="221">
        <f>IF(N(K$36)=0,0,N(H284)/K$36)</f>
        <v>0</v>
      </c>
      <c r="R284" s="128"/>
      <c r="S284" s="128"/>
      <c r="T284" s="128"/>
      <c r="U284" s="128"/>
      <c r="V284" s="128"/>
      <c r="W284" s="128"/>
      <c r="X284" s="128"/>
      <c r="Y284" s="128"/>
      <c r="Z284" s="128"/>
      <c r="AA284" s="128"/>
      <c r="AB284" s="128"/>
      <c r="AC284" s="223"/>
      <c r="AD284" s="223"/>
      <c r="AE284" s="223"/>
      <c r="AF284" s="223"/>
      <c r="AG284" s="223"/>
      <c r="AH284" s="223"/>
      <c r="AI284" s="223"/>
    </row>
    <row r="285" spans="2:35" ht="12.75" customHeight="1" x14ac:dyDescent="0.25">
      <c r="B285" s="66"/>
      <c r="C285" s="66"/>
      <c r="D285" s="66"/>
      <c r="E285" s="66"/>
      <c r="F285" s="66"/>
      <c r="G285" s="162"/>
      <c r="H285" s="58"/>
      <c r="I285" s="66"/>
      <c r="J285" s="42"/>
      <c r="K285" s="42"/>
      <c r="L285" s="42"/>
      <c r="M285" s="42"/>
      <c r="N285" s="89"/>
      <c r="O285" s="213"/>
      <c r="P285" s="213"/>
      <c r="Q285" s="213"/>
      <c r="AC285" s="223"/>
      <c r="AD285" s="223"/>
      <c r="AE285" s="223"/>
      <c r="AF285" s="223"/>
      <c r="AG285" s="223"/>
      <c r="AH285" s="223"/>
      <c r="AI285" s="223"/>
    </row>
    <row r="286" spans="2:35" x14ac:dyDescent="0.25">
      <c r="B286" s="111">
        <f>MAX(B$277:B285)+1</f>
        <v>5</v>
      </c>
      <c r="C286" s="66" t="s">
        <v>308</v>
      </c>
      <c r="D286" s="66"/>
      <c r="E286" s="66"/>
      <c r="F286" s="66"/>
      <c r="G286" s="162" t="s">
        <v>9</v>
      </c>
      <c r="H286" s="83"/>
      <c r="I286" s="66"/>
      <c r="J286" s="42"/>
      <c r="K286" s="351" t="s">
        <v>232</v>
      </c>
      <c r="L286" s="351"/>
      <c r="M286" s="351"/>
      <c r="N286" s="351"/>
      <c r="O286" s="213"/>
      <c r="P286" s="213"/>
      <c r="Q286" s="221">
        <f>IF(N(K$36)=0,0,N(H286)/K$36)</f>
        <v>0</v>
      </c>
      <c r="R286" s="213"/>
      <c r="S286" s="223"/>
      <c r="T286" s="223"/>
      <c r="U286" s="223"/>
      <c r="V286" s="223"/>
      <c r="W286" s="223"/>
      <c r="X286" s="223"/>
      <c r="Y286" s="223"/>
      <c r="Z286" s="223"/>
      <c r="AA286" s="223"/>
      <c r="AB286" s="223"/>
      <c r="AC286" s="223"/>
      <c r="AD286" s="223"/>
      <c r="AE286" s="223"/>
      <c r="AF286" s="223"/>
      <c r="AG286" s="223"/>
      <c r="AH286" s="223"/>
      <c r="AI286" s="223"/>
    </row>
    <row r="287" spans="2:35" x14ac:dyDescent="0.25">
      <c r="B287" s="66"/>
      <c r="C287" s="66"/>
      <c r="D287" s="66"/>
      <c r="E287" s="66"/>
      <c r="F287" s="66"/>
      <c r="G287" s="162"/>
      <c r="H287" s="58"/>
      <c r="I287" s="66"/>
      <c r="J287" s="42"/>
      <c r="K287" s="42"/>
      <c r="L287" s="42"/>
      <c r="M287" s="42"/>
      <c r="N287" s="89"/>
      <c r="O287" s="213"/>
      <c r="P287" s="213"/>
      <c r="Q287" s="213"/>
      <c r="X287" s="223"/>
      <c r="Y287" s="223"/>
      <c r="Z287" s="223"/>
      <c r="AA287" s="223"/>
      <c r="AB287" s="223"/>
      <c r="AC287" s="223"/>
      <c r="AD287" s="223"/>
      <c r="AE287" s="223"/>
      <c r="AF287" s="223"/>
      <c r="AG287" s="223"/>
      <c r="AH287" s="223"/>
      <c r="AI287" s="223"/>
    </row>
    <row r="288" spans="2:35" ht="12.75" customHeight="1" x14ac:dyDescent="0.25">
      <c r="B288" s="111">
        <f>MAX(B$277:B287)+1</f>
        <v>6</v>
      </c>
      <c r="C288" s="88" t="s">
        <v>309</v>
      </c>
      <c r="G288" s="46" t="s">
        <v>9</v>
      </c>
      <c r="H288" s="83"/>
      <c r="I288" s="1"/>
      <c r="J288" s="60"/>
      <c r="K288" s="351" t="s">
        <v>232</v>
      </c>
      <c r="L288" s="351"/>
      <c r="M288" s="351"/>
      <c r="N288" s="351"/>
      <c r="O288" s="213"/>
      <c r="P288" s="213"/>
      <c r="Q288" s="221">
        <f>IF(N(K$36)=0,0,N(H288)/K$36)</f>
        <v>0</v>
      </c>
      <c r="X288" s="223"/>
      <c r="Y288" s="223"/>
      <c r="Z288" s="223"/>
      <c r="AA288" s="223"/>
      <c r="AB288" s="223"/>
      <c r="AC288" s="223"/>
      <c r="AD288" s="223"/>
      <c r="AE288" s="223"/>
      <c r="AF288" s="223"/>
      <c r="AG288" s="223"/>
      <c r="AH288" s="223"/>
      <c r="AI288" s="223"/>
    </row>
    <row r="289" spans="2:35" ht="12.75" customHeight="1" x14ac:dyDescent="0.25">
      <c r="B289" s="1"/>
      <c r="C289" s="1"/>
      <c r="D289" s="1"/>
      <c r="E289" s="1"/>
      <c r="F289" s="1"/>
      <c r="G289" s="46"/>
      <c r="H289" s="58"/>
      <c r="I289" s="1"/>
      <c r="J289" s="36"/>
      <c r="K289" s="42"/>
      <c r="L289" s="42"/>
      <c r="M289" s="42"/>
      <c r="N289" s="89"/>
      <c r="O289" s="213"/>
      <c r="P289" s="213"/>
      <c r="Q289" s="213"/>
      <c r="R289" s="213"/>
      <c r="S289" s="223"/>
      <c r="T289" s="223"/>
      <c r="U289" s="223"/>
      <c r="V289" s="223"/>
      <c r="W289" s="223"/>
      <c r="X289" s="223"/>
      <c r="Y289" s="223"/>
      <c r="Z289" s="223"/>
      <c r="AA289" s="223"/>
      <c r="AB289" s="223"/>
      <c r="AC289" s="223"/>
      <c r="AD289" s="223"/>
      <c r="AE289" s="223"/>
      <c r="AF289" s="223"/>
      <c r="AG289" s="223"/>
      <c r="AH289" s="223"/>
      <c r="AI289" s="223"/>
    </row>
    <row r="290" spans="2:35" ht="12.75" customHeight="1" x14ac:dyDescent="0.25">
      <c r="B290" s="111">
        <f>MAX(B$277:B289)+1</f>
        <v>7</v>
      </c>
      <c r="C290" s="1" t="s">
        <v>310</v>
      </c>
      <c r="D290" s="1"/>
      <c r="E290" s="1"/>
      <c r="F290" s="1"/>
      <c r="G290" s="46" t="s">
        <v>9</v>
      </c>
      <c r="H290" s="83"/>
      <c r="I290" s="1"/>
      <c r="J290" s="36"/>
      <c r="K290" s="351" t="s">
        <v>232</v>
      </c>
      <c r="L290" s="351"/>
      <c r="M290" s="351"/>
      <c r="N290" s="351"/>
      <c r="O290" s="213"/>
      <c r="P290" s="213"/>
      <c r="Q290" s="221">
        <f>IF(N(K$36)=0,0,N(H290)/K$36)</f>
        <v>0</v>
      </c>
      <c r="R290" s="213"/>
      <c r="S290" s="223"/>
      <c r="T290" s="223"/>
      <c r="U290" s="223"/>
      <c r="V290" s="223"/>
      <c r="W290" s="223"/>
      <c r="X290" s="223"/>
      <c r="Y290" s="223"/>
      <c r="Z290" s="223"/>
      <c r="AA290" s="223"/>
      <c r="AB290" s="223"/>
      <c r="AC290" s="223"/>
      <c r="AD290" s="223"/>
      <c r="AE290" s="223"/>
      <c r="AF290" s="223"/>
      <c r="AG290" s="223"/>
      <c r="AH290" s="223"/>
      <c r="AI290" s="223"/>
    </row>
    <row r="291" spans="2:35" ht="12.75" customHeight="1" x14ac:dyDescent="0.25">
      <c r="B291" s="1"/>
      <c r="C291" s="1"/>
      <c r="D291" s="1"/>
      <c r="E291" s="1"/>
      <c r="F291" s="1"/>
      <c r="G291" s="46"/>
      <c r="H291" s="58"/>
      <c r="I291" s="1"/>
      <c r="J291" s="36"/>
      <c r="K291" s="42"/>
      <c r="L291" s="42"/>
      <c r="M291" s="42"/>
      <c r="N291" s="89"/>
      <c r="O291" s="213"/>
      <c r="P291" s="213"/>
      <c r="Q291" s="213"/>
      <c r="R291" s="213"/>
      <c r="S291" s="223"/>
      <c r="T291" s="223"/>
      <c r="U291" s="223"/>
      <c r="V291" s="223"/>
      <c r="W291" s="223"/>
      <c r="X291" s="223"/>
      <c r="Y291" s="223"/>
      <c r="Z291" s="223"/>
      <c r="AA291" s="223"/>
      <c r="AB291" s="223"/>
      <c r="AC291" s="223"/>
      <c r="AD291" s="223"/>
      <c r="AE291" s="223"/>
      <c r="AF291" s="223"/>
      <c r="AG291" s="223"/>
      <c r="AH291" s="223"/>
      <c r="AI291" s="223"/>
    </row>
    <row r="292" spans="2:35" ht="12.75" customHeight="1" x14ac:dyDescent="0.25">
      <c r="B292" s="111">
        <f>MAX(B$277:B291)+1</f>
        <v>8</v>
      </c>
      <c r="C292" s="1" t="s">
        <v>316</v>
      </c>
      <c r="D292" s="1"/>
      <c r="E292" s="1"/>
      <c r="F292" s="1"/>
      <c r="G292" s="46" t="s">
        <v>9</v>
      </c>
      <c r="H292" s="83"/>
      <c r="I292" s="1"/>
      <c r="J292" s="36"/>
      <c r="K292" s="351" t="s">
        <v>232</v>
      </c>
      <c r="L292" s="351"/>
      <c r="M292" s="351"/>
      <c r="N292" s="351"/>
      <c r="O292" s="213"/>
      <c r="P292" s="213"/>
      <c r="Q292" s="221">
        <f>IF(N(K$36)=0,0,N(H292)/K$36)</f>
        <v>0</v>
      </c>
      <c r="R292" s="213"/>
      <c r="S292" s="223"/>
      <c r="T292" s="223"/>
      <c r="U292" s="223"/>
      <c r="V292" s="223"/>
      <c r="W292" s="223"/>
      <c r="X292" s="223"/>
      <c r="Y292" s="223"/>
      <c r="Z292" s="223"/>
      <c r="AA292" s="223"/>
      <c r="AB292" s="223"/>
      <c r="AC292" s="223"/>
      <c r="AD292" s="223"/>
      <c r="AE292" s="223"/>
      <c r="AF292" s="223"/>
      <c r="AG292" s="223"/>
      <c r="AH292" s="223"/>
      <c r="AI292" s="223"/>
    </row>
    <row r="293" spans="2:35" ht="12.75" customHeight="1" x14ac:dyDescent="0.25">
      <c r="B293" s="1"/>
      <c r="C293" s="1"/>
      <c r="D293" s="1"/>
      <c r="E293" s="1"/>
      <c r="F293" s="1"/>
      <c r="G293" s="46"/>
      <c r="H293" s="58"/>
      <c r="I293" s="1"/>
      <c r="J293" s="36"/>
      <c r="K293" s="42"/>
      <c r="L293" s="42"/>
      <c r="M293" s="42"/>
      <c r="N293" s="89"/>
      <c r="O293" s="213"/>
      <c r="P293" s="213"/>
      <c r="Q293" s="213"/>
      <c r="R293" s="213"/>
      <c r="S293" s="223"/>
      <c r="T293" s="223"/>
      <c r="U293" s="223"/>
      <c r="V293" s="223"/>
      <c r="W293" s="223"/>
      <c r="X293" s="223"/>
      <c r="Y293" s="223"/>
      <c r="Z293" s="223"/>
      <c r="AA293" s="223"/>
      <c r="AB293" s="223"/>
      <c r="AC293" s="223"/>
      <c r="AD293" s="223"/>
      <c r="AE293" s="223"/>
      <c r="AF293" s="223"/>
      <c r="AG293" s="223"/>
      <c r="AH293" s="223"/>
      <c r="AI293" s="223"/>
    </row>
    <row r="294" spans="2:35" ht="12.75" customHeight="1" x14ac:dyDescent="0.25">
      <c r="B294" s="111">
        <f>MAX(B$277:B293)+1</f>
        <v>9</v>
      </c>
      <c r="C294" s="1" t="s">
        <v>323</v>
      </c>
      <c r="D294" s="1"/>
      <c r="E294" s="1"/>
      <c r="F294" s="1"/>
      <c r="G294" s="46" t="s">
        <v>9</v>
      </c>
      <c r="H294" s="83"/>
      <c r="I294" s="1"/>
      <c r="J294" s="36"/>
      <c r="K294" s="351" t="s">
        <v>232</v>
      </c>
      <c r="L294" s="351"/>
      <c r="M294" s="351"/>
      <c r="N294" s="351"/>
      <c r="O294" s="213"/>
      <c r="P294" s="213"/>
      <c r="Q294" s="221">
        <f>IF(N(K$36)=0,0,N(H294)/K$36)</f>
        <v>0</v>
      </c>
      <c r="R294" s="213"/>
      <c r="S294" s="223"/>
      <c r="T294" s="223"/>
      <c r="U294" s="223"/>
      <c r="V294" s="223"/>
      <c r="W294" s="223"/>
      <c r="X294" s="223"/>
      <c r="Y294" s="223"/>
      <c r="Z294" s="223"/>
      <c r="AA294" s="223"/>
      <c r="AB294" s="223"/>
      <c r="AC294" s="223"/>
      <c r="AD294" s="223"/>
      <c r="AE294" s="223"/>
      <c r="AF294" s="223"/>
      <c r="AG294" s="223"/>
      <c r="AH294" s="223"/>
      <c r="AI294" s="223"/>
    </row>
    <row r="295" spans="2:35" ht="12.75" customHeight="1" x14ac:dyDescent="0.25">
      <c r="B295" s="1"/>
      <c r="C295" s="1"/>
      <c r="D295" s="1"/>
      <c r="E295" s="1"/>
      <c r="F295" s="1"/>
      <c r="G295" s="46"/>
      <c r="H295" s="58"/>
      <c r="I295" s="1"/>
      <c r="J295" s="36"/>
      <c r="K295" s="42"/>
      <c r="L295" s="42"/>
      <c r="M295" s="42"/>
      <c r="N295" s="89"/>
      <c r="O295" s="213"/>
      <c r="P295" s="213"/>
      <c r="Q295" s="213"/>
      <c r="R295" s="213"/>
      <c r="S295" s="223"/>
      <c r="T295" s="223"/>
      <c r="U295" s="223"/>
      <c r="V295" s="223"/>
      <c r="W295" s="223"/>
      <c r="X295" s="223"/>
      <c r="Y295" s="223"/>
      <c r="Z295" s="223"/>
      <c r="AA295" s="223"/>
      <c r="AB295" s="223"/>
      <c r="AC295" s="223"/>
      <c r="AD295" s="223"/>
      <c r="AE295" s="223"/>
      <c r="AF295" s="223"/>
      <c r="AG295" s="223"/>
      <c r="AH295" s="223"/>
      <c r="AI295" s="223"/>
    </row>
    <row r="296" spans="2:35" ht="12.75" customHeight="1" x14ac:dyDescent="0.25">
      <c r="B296" s="111">
        <f>MAX(B$277:B295)+1</f>
        <v>10</v>
      </c>
      <c r="C296" s="1" t="s">
        <v>317</v>
      </c>
      <c r="D296" s="1"/>
      <c r="E296" s="1"/>
      <c r="F296" s="1"/>
      <c r="G296" s="46" t="s">
        <v>9</v>
      </c>
      <c r="H296" s="83"/>
      <c r="I296" s="1"/>
      <c r="J296" s="36"/>
      <c r="K296" s="351" t="s">
        <v>232</v>
      </c>
      <c r="L296" s="351"/>
      <c r="M296" s="351"/>
      <c r="N296" s="351"/>
      <c r="O296" s="213"/>
      <c r="P296" s="213"/>
      <c r="Q296" s="221">
        <f>IF(N(K$36)=0,0,N(H296)/K$36)</f>
        <v>0</v>
      </c>
      <c r="R296" s="213"/>
      <c r="S296" s="223"/>
      <c r="T296" s="223"/>
      <c r="U296" s="223"/>
      <c r="V296" s="223"/>
      <c r="W296" s="223"/>
      <c r="X296" s="223"/>
      <c r="Y296" s="223"/>
      <c r="Z296" s="223"/>
      <c r="AA296" s="223"/>
      <c r="AB296" s="223"/>
      <c r="AC296" s="223"/>
      <c r="AD296" s="223"/>
      <c r="AE296" s="223"/>
      <c r="AF296" s="223"/>
      <c r="AG296" s="223"/>
      <c r="AH296" s="223"/>
      <c r="AI296" s="223"/>
    </row>
    <row r="297" spans="2:35" ht="12.75" customHeight="1" x14ac:dyDescent="0.25">
      <c r="B297" s="1"/>
      <c r="C297" s="1"/>
      <c r="D297" s="1"/>
      <c r="E297" s="1"/>
      <c r="F297" s="1"/>
      <c r="G297" s="46"/>
      <c r="H297" s="58"/>
      <c r="I297" s="1"/>
      <c r="J297" s="36"/>
      <c r="K297" s="42"/>
      <c r="L297" s="42"/>
      <c r="M297" s="42"/>
      <c r="N297" s="89"/>
      <c r="O297" s="213"/>
      <c r="P297" s="213"/>
      <c r="Q297" s="213"/>
      <c r="R297" s="213"/>
      <c r="S297" s="223"/>
      <c r="T297" s="223"/>
      <c r="U297" s="223"/>
      <c r="V297" s="223"/>
      <c r="W297" s="223"/>
      <c r="X297" s="223"/>
      <c r="Y297" s="223"/>
      <c r="Z297" s="223"/>
      <c r="AA297" s="223"/>
      <c r="AB297" s="223"/>
      <c r="AC297" s="223"/>
      <c r="AD297" s="223"/>
      <c r="AE297" s="223"/>
      <c r="AF297" s="223"/>
      <c r="AG297" s="223"/>
      <c r="AH297" s="223"/>
      <c r="AI297" s="223"/>
    </row>
    <row r="298" spans="2:35" x14ac:dyDescent="0.25">
      <c r="B298" s="111">
        <f>MAX(B$277:B297)+1</f>
        <v>11</v>
      </c>
      <c r="C298" s="1" t="s">
        <v>77</v>
      </c>
      <c r="D298" s="1"/>
      <c r="E298" s="1"/>
      <c r="F298" s="1"/>
      <c r="G298" s="1"/>
      <c r="H298" s="8"/>
      <c r="I298" s="1"/>
      <c r="J298" s="36"/>
      <c r="K298" s="42"/>
      <c r="L298" s="42"/>
      <c r="M298" s="66"/>
      <c r="N298" s="89"/>
      <c r="O298" s="213"/>
      <c r="P298" s="213"/>
      <c r="Q298" s="213"/>
      <c r="R298" s="213"/>
      <c r="S298" s="223"/>
      <c r="T298" s="223"/>
      <c r="U298" s="223"/>
      <c r="V298" s="223"/>
      <c r="W298" s="223"/>
      <c r="X298" s="223"/>
      <c r="Y298" s="223"/>
      <c r="Z298" s="223"/>
      <c r="AA298" s="223"/>
      <c r="AB298" s="223"/>
      <c r="AC298" s="223"/>
      <c r="AD298" s="223"/>
      <c r="AE298" s="223"/>
      <c r="AF298" s="223"/>
      <c r="AG298" s="223"/>
      <c r="AH298" s="223"/>
      <c r="AI298" s="223"/>
    </row>
    <row r="299" spans="2:35" x14ac:dyDescent="0.25">
      <c r="B299" s="1"/>
      <c r="C299" s="1" t="s">
        <v>96</v>
      </c>
      <c r="D299" s="1"/>
      <c r="E299" s="1"/>
      <c r="F299" s="1"/>
      <c r="G299" s="1"/>
      <c r="H299" s="8"/>
      <c r="I299" s="1"/>
      <c r="J299" s="36"/>
      <c r="K299" s="42"/>
      <c r="L299" s="42"/>
      <c r="M299" s="66"/>
      <c r="N299" s="89"/>
      <c r="O299" s="213"/>
      <c r="P299" s="213"/>
      <c r="Q299" s="213"/>
      <c r="R299" s="213"/>
      <c r="S299" s="223"/>
      <c r="T299" s="223"/>
      <c r="U299" s="223"/>
      <c r="V299" s="223"/>
      <c r="W299" s="223"/>
      <c r="X299" s="223"/>
      <c r="Y299" s="223"/>
      <c r="Z299" s="223"/>
      <c r="AA299" s="223"/>
      <c r="AB299" s="223"/>
      <c r="AC299" s="223"/>
      <c r="AD299" s="223"/>
      <c r="AE299" s="223"/>
      <c r="AF299" s="223"/>
      <c r="AG299" s="223"/>
      <c r="AH299" s="223"/>
      <c r="AI299" s="223"/>
    </row>
    <row r="300" spans="2:35" x14ac:dyDescent="0.25">
      <c r="B300" s="1"/>
      <c r="C300" s="1" t="s">
        <v>97</v>
      </c>
      <c r="D300" s="1"/>
      <c r="E300" s="1"/>
      <c r="F300" s="1"/>
      <c r="G300" s="1"/>
      <c r="H300" s="7"/>
      <c r="I300" s="1"/>
      <c r="J300" s="1"/>
      <c r="K300" s="66"/>
      <c r="L300" s="66"/>
      <c r="M300" s="66"/>
      <c r="N300" s="89"/>
      <c r="O300" s="87"/>
      <c r="P300" s="87"/>
      <c r="S300" s="223"/>
      <c r="T300" s="223"/>
      <c r="U300" s="223"/>
      <c r="V300" s="223"/>
      <c r="W300" s="223"/>
      <c r="X300" s="223"/>
      <c r="Y300" s="223"/>
      <c r="Z300" s="223"/>
      <c r="AA300" s="223"/>
      <c r="AB300" s="223"/>
      <c r="AC300" s="223"/>
      <c r="AD300" s="223"/>
      <c r="AE300" s="223"/>
      <c r="AF300" s="223"/>
      <c r="AG300" s="223"/>
      <c r="AH300" s="223"/>
      <c r="AI300" s="223"/>
    </row>
    <row r="301" spans="2:35" x14ac:dyDescent="0.25">
      <c r="B301" s="1"/>
      <c r="C301" s="1" t="s">
        <v>98</v>
      </c>
      <c r="D301" s="1"/>
      <c r="E301" s="1"/>
      <c r="F301" s="1"/>
      <c r="G301" s="46"/>
      <c r="H301" s="104"/>
      <c r="I301" s="1"/>
      <c r="J301" s="60"/>
      <c r="K301" s="105"/>
      <c r="L301" s="38"/>
      <c r="M301" s="66"/>
      <c r="N301" s="89"/>
      <c r="O301" s="87"/>
      <c r="P301" s="87"/>
      <c r="S301" s="223"/>
      <c r="T301" s="223"/>
      <c r="U301" s="223"/>
      <c r="V301" s="223"/>
      <c r="W301" s="223"/>
      <c r="X301" s="223"/>
      <c r="Y301" s="223"/>
      <c r="Z301" s="223"/>
      <c r="AA301" s="223"/>
      <c r="AB301" s="223"/>
      <c r="AC301" s="223"/>
      <c r="AD301" s="223"/>
      <c r="AE301" s="223"/>
      <c r="AF301" s="223"/>
      <c r="AG301" s="223"/>
      <c r="AH301" s="223"/>
      <c r="AI301" s="223"/>
    </row>
    <row r="302" spans="2:35" x14ac:dyDescent="0.25">
      <c r="B302" s="1"/>
      <c r="C302" s="1" t="s">
        <v>99</v>
      </c>
      <c r="D302" s="1"/>
      <c r="E302" s="1"/>
      <c r="F302" s="1"/>
      <c r="G302" s="46"/>
      <c r="H302" s="104"/>
      <c r="I302" s="1"/>
      <c r="J302" s="60"/>
      <c r="K302" s="105"/>
      <c r="L302" s="38"/>
      <c r="M302" s="66"/>
      <c r="N302" s="89"/>
      <c r="O302" s="87"/>
      <c r="P302" s="87"/>
      <c r="S302" s="223"/>
      <c r="T302" s="223"/>
      <c r="U302" s="223"/>
      <c r="V302" s="223"/>
      <c r="W302" s="223"/>
      <c r="X302" s="223"/>
      <c r="Y302" s="223"/>
      <c r="Z302" s="223"/>
      <c r="AA302" s="223"/>
      <c r="AB302" s="223"/>
      <c r="AC302" s="223"/>
      <c r="AD302" s="223"/>
      <c r="AE302" s="223"/>
      <c r="AF302" s="223"/>
      <c r="AG302" s="223"/>
      <c r="AH302" s="223"/>
      <c r="AI302" s="223"/>
    </row>
    <row r="303" spans="2:35" x14ac:dyDescent="0.25">
      <c r="B303" s="1"/>
      <c r="C303" s="1" t="s">
        <v>100</v>
      </c>
      <c r="D303" s="1"/>
      <c r="E303" s="1"/>
      <c r="F303" s="1"/>
      <c r="G303" s="46"/>
      <c r="H303" s="104"/>
      <c r="I303" s="1"/>
      <c r="J303" s="60"/>
      <c r="K303" s="105"/>
      <c r="L303" s="38"/>
      <c r="M303" s="66"/>
      <c r="N303" s="89"/>
      <c r="O303" s="87"/>
      <c r="P303" s="87"/>
      <c r="S303" s="223"/>
      <c r="T303" s="223"/>
      <c r="U303" s="223"/>
      <c r="V303" s="223"/>
      <c r="W303" s="223"/>
      <c r="X303" s="223"/>
      <c r="Y303" s="223"/>
      <c r="Z303" s="223"/>
      <c r="AA303" s="223"/>
      <c r="AB303" s="223"/>
      <c r="AC303" s="223"/>
      <c r="AD303" s="223"/>
      <c r="AE303" s="223"/>
      <c r="AF303" s="223"/>
      <c r="AG303" s="223"/>
      <c r="AH303" s="223"/>
      <c r="AI303" s="223"/>
    </row>
    <row r="304" spans="2:35" x14ac:dyDescent="0.25">
      <c r="B304" s="1"/>
      <c r="C304" s="1" t="s">
        <v>101</v>
      </c>
      <c r="D304" s="1"/>
      <c r="E304" s="1"/>
      <c r="F304" s="1"/>
      <c r="G304" s="46" t="s">
        <v>9</v>
      </c>
      <c r="H304" s="82"/>
      <c r="I304" s="1"/>
      <c r="J304" s="60"/>
      <c r="K304" s="105"/>
      <c r="L304" s="38"/>
      <c r="M304" s="66"/>
      <c r="N304" s="89"/>
      <c r="O304" s="87"/>
      <c r="P304" s="87"/>
      <c r="Q304" s="221">
        <f>IF(N(K$36)=0,0,N(H304)/K$36)</f>
        <v>0</v>
      </c>
      <c r="S304" s="223"/>
      <c r="T304" s="223"/>
      <c r="U304" s="223"/>
      <c r="V304" s="223"/>
      <c r="W304" s="223"/>
      <c r="X304" s="223"/>
      <c r="Y304" s="223"/>
      <c r="Z304" s="223"/>
      <c r="AA304" s="223"/>
      <c r="AB304" s="223"/>
      <c r="AC304" s="223"/>
      <c r="AD304" s="223"/>
      <c r="AE304" s="223"/>
      <c r="AF304" s="223"/>
      <c r="AG304" s="223"/>
      <c r="AH304" s="223"/>
      <c r="AI304" s="223"/>
    </row>
    <row r="305" spans="1:35" x14ac:dyDescent="0.25">
      <c r="B305" s="1"/>
      <c r="C305" s="1"/>
      <c r="D305" s="1"/>
      <c r="E305" s="1"/>
      <c r="F305" s="1"/>
      <c r="G305" s="1"/>
      <c r="H305" s="106"/>
      <c r="I305" s="1"/>
      <c r="J305" s="60"/>
      <c r="K305" s="105"/>
      <c r="L305" s="38"/>
      <c r="M305" s="66"/>
      <c r="N305" s="89"/>
      <c r="O305" s="87"/>
      <c r="P305" s="87"/>
      <c r="S305" s="223"/>
      <c r="T305" s="223"/>
      <c r="U305" s="223"/>
      <c r="V305" s="223"/>
      <c r="W305" s="223"/>
      <c r="X305" s="223"/>
      <c r="Y305" s="223"/>
      <c r="Z305" s="223"/>
      <c r="AA305" s="223"/>
      <c r="AB305" s="223"/>
      <c r="AC305" s="223"/>
      <c r="AD305" s="223"/>
      <c r="AE305" s="223"/>
      <c r="AF305" s="223"/>
      <c r="AG305" s="223"/>
      <c r="AH305" s="223"/>
      <c r="AI305" s="223"/>
    </row>
    <row r="306" spans="1:35" x14ac:dyDescent="0.25">
      <c r="B306" s="111">
        <f>MAX(B$277:B305)+1</f>
        <v>12</v>
      </c>
      <c r="C306" s="61" t="s">
        <v>74</v>
      </c>
      <c r="D306" s="1"/>
      <c r="E306" s="391"/>
      <c r="F306" s="391"/>
      <c r="G306" s="46" t="s">
        <v>9</v>
      </c>
      <c r="H306" s="82"/>
      <c r="I306" s="1"/>
      <c r="J306" s="60"/>
      <c r="K306" s="105"/>
      <c r="L306" s="38"/>
      <c r="M306" s="66"/>
      <c r="N306" s="89"/>
      <c r="O306" s="87"/>
      <c r="P306" s="87"/>
      <c r="Q306" s="221">
        <f>IF(N(K$36)=0,0,N(H306)/K$36)</f>
        <v>0</v>
      </c>
      <c r="S306" s="223"/>
      <c r="T306" s="223"/>
      <c r="U306" s="223"/>
      <c r="V306" s="223"/>
      <c r="W306" s="223"/>
      <c r="X306" s="223"/>
      <c r="Y306" s="223"/>
      <c r="Z306" s="223"/>
      <c r="AA306" s="223"/>
      <c r="AB306" s="223"/>
      <c r="AC306" s="223"/>
      <c r="AD306" s="223"/>
      <c r="AE306" s="223"/>
      <c r="AF306" s="223"/>
      <c r="AG306" s="223"/>
      <c r="AH306" s="223"/>
      <c r="AI306" s="223"/>
    </row>
    <row r="307" spans="1:35" ht="12.75" customHeight="1" x14ac:dyDescent="0.25">
      <c r="B307" s="86"/>
      <c r="C307" s="86"/>
      <c r="D307" s="86"/>
      <c r="E307" s="86"/>
      <c r="F307" s="86"/>
      <c r="G307" s="86"/>
      <c r="H307" s="91"/>
      <c r="I307" s="86"/>
      <c r="J307" s="60"/>
      <c r="K307" s="105"/>
      <c r="L307" s="38"/>
      <c r="M307" s="66"/>
      <c r="N307" s="89"/>
      <c r="O307" s="87"/>
      <c r="P307" s="87"/>
      <c r="S307" s="223"/>
      <c r="T307" s="223"/>
      <c r="U307" s="223"/>
      <c r="V307" s="223"/>
      <c r="W307" s="223"/>
      <c r="X307" s="223"/>
      <c r="Y307" s="223"/>
      <c r="Z307" s="223"/>
      <c r="AA307" s="223"/>
      <c r="AB307" s="223"/>
      <c r="AC307" s="223"/>
      <c r="AD307" s="223"/>
      <c r="AE307" s="223"/>
      <c r="AF307" s="223"/>
      <c r="AG307" s="223"/>
      <c r="AH307" s="223"/>
      <c r="AI307" s="223"/>
    </row>
    <row r="308" spans="1:35" x14ac:dyDescent="0.25">
      <c r="B308" s="111">
        <f>MAX(B$277:B307)+1</f>
        <v>13</v>
      </c>
      <c r="C308" s="1" t="s">
        <v>74</v>
      </c>
      <c r="D308" s="1"/>
      <c r="E308" s="391"/>
      <c r="F308" s="391"/>
      <c r="G308" s="46" t="s">
        <v>9</v>
      </c>
      <c r="H308" s="82"/>
      <c r="I308" s="1"/>
      <c r="J308" s="60"/>
      <c r="K308" s="105"/>
      <c r="L308" s="38"/>
      <c r="M308" s="66"/>
      <c r="N308" s="89"/>
      <c r="O308" s="87"/>
      <c r="P308" s="87"/>
      <c r="Q308" s="221">
        <f>IF(N(K$36)=0,0,N(H308)/K$36)</f>
        <v>0</v>
      </c>
      <c r="S308" s="223"/>
      <c r="T308" s="223"/>
      <c r="U308" s="223"/>
      <c r="V308" s="223"/>
      <c r="W308" s="223"/>
      <c r="X308" s="223"/>
      <c r="Y308" s="223"/>
      <c r="Z308" s="223"/>
      <c r="AA308" s="223"/>
      <c r="AB308" s="223"/>
      <c r="AC308" s="223"/>
      <c r="AD308" s="223"/>
      <c r="AE308" s="223"/>
      <c r="AF308" s="223"/>
      <c r="AG308" s="223"/>
      <c r="AH308" s="223"/>
      <c r="AI308" s="223"/>
    </row>
    <row r="309" spans="1:35" ht="12.75" customHeight="1" x14ac:dyDescent="0.25">
      <c r="B309" s="59"/>
      <c r="C309" s="1"/>
      <c r="D309" s="1"/>
      <c r="E309" s="65"/>
      <c r="F309" s="65"/>
      <c r="G309" s="46"/>
      <c r="H309" s="107"/>
      <c r="I309" s="1"/>
      <c r="J309" s="60"/>
      <c r="K309" s="105"/>
      <c r="L309" s="38"/>
      <c r="M309" s="66"/>
      <c r="N309" s="89"/>
      <c r="O309" s="87"/>
      <c r="P309" s="87"/>
      <c r="S309" s="223"/>
      <c r="T309" s="223"/>
      <c r="U309" s="223"/>
      <c r="V309" s="223"/>
      <c r="W309" s="223"/>
      <c r="X309" s="223"/>
      <c r="Y309" s="223"/>
      <c r="Z309" s="223"/>
      <c r="AA309" s="223"/>
      <c r="AB309" s="223"/>
      <c r="AC309" s="223"/>
      <c r="AD309" s="223"/>
      <c r="AE309" s="223"/>
      <c r="AF309" s="223"/>
      <c r="AG309" s="223"/>
      <c r="AH309" s="223"/>
      <c r="AI309" s="223"/>
    </row>
    <row r="310" spans="1:35" ht="12.75" customHeight="1" x14ac:dyDescent="0.25">
      <c r="B310" s="111">
        <f>MAX(B$277:B309)+1</f>
        <v>14</v>
      </c>
      <c r="C310" s="1" t="s">
        <v>81</v>
      </c>
      <c r="D310" s="1"/>
      <c r="E310" s="1"/>
      <c r="F310" s="1"/>
      <c r="G310" s="46" t="s">
        <v>9</v>
      </c>
      <c r="H310" s="82"/>
      <c r="I310" s="1"/>
      <c r="J310" s="60"/>
      <c r="K310" s="105"/>
      <c r="L310" s="38"/>
      <c r="M310" s="66"/>
      <c r="N310" s="89"/>
      <c r="O310" s="87"/>
      <c r="P310" s="87"/>
      <c r="Q310" s="221">
        <f>IF(N(K$36)=0,0,N(H310)/K$36)</f>
        <v>0</v>
      </c>
      <c r="S310" s="223"/>
      <c r="T310" s="223"/>
      <c r="U310" s="223"/>
      <c r="V310" s="223"/>
      <c r="W310" s="223"/>
      <c r="X310" s="223"/>
      <c r="Y310" s="223"/>
      <c r="Z310" s="223"/>
      <c r="AA310" s="223"/>
      <c r="AB310" s="223"/>
      <c r="AC310" s="223"/>
      <c r="AD310" s="223"/>
      <c r="AE310" s="223"/>
      <c r="AF310" s="223"/>
      <c r="AG310" s="223"/>
      <c r="AH310" s="223"/>
      <c r="AI310" s="223"/>
    </row>
    <row r="311" spans="1:35" x14ac:dyDescent="0.25">
      <c r="B311" s="86"/>
      <c r="C311" s="86"/>
      <c r="D311" s="86"/>
      <c r="E311" s="86"/>
      <c r="F311" s="86"/>
      <c r="G311" s="86"/>
      <c r="H311" s="91"/>
      <c r="I311" s="86"/>
      <c r="J311" s="60"/>
      <c r="K311" s="105"/>
      <c r="L311" s="38"/>
      <c r="M311" s="66"/>
      <c r="N311" s="89"/>
      <c r="O311" s="87"/>
      <c r="P311" s="87"/>
      <c r="S311" s="223"/>
      <c r="T311" s="223"/>
      <c r="U311" s="223"/>
      <c r="V311" s="223"/>
      <c r="W311" s="223"/>
      <c r="X311" s="223"/>
      <c r="Y311" s="223"/>
      <c r="Z311" s="223"/>
      <c r="AA311" s="223"/>
      <c r="AB311" s="223"/>
      <c r="AC311" s="223"/>
      <c r="AD311" s="223"/>
      <c r="AE311" s="223"/>
      <c r="AF311" s="223"/>
      <c r="AG311" s="223"/>
      <c r="AH311" s="223"/>
      <c r="AI311" s="223"/>
    </row>
    <row r="312" spans="1:35" ht="13.8" thickBot="1" x14ac:dyDescent="0.3">
      <c r="B312" s="112">
        <f>MAX(B$277:B311)+1</f>
        <v>15</v>
      </c>
      <c r="C312" s="23" t="s">
        <v>111</v>
      </c>
      <c r="D312" s="1"/>
      <c r="E312" s="1"/>
      <c r="F312" s="1"/>
      <c r="G312" s="46" t="s">
        <v>9</v>
      </c>
      <c r="H312" s="81" t="str">
        <f>IF(SUM(H277:H311)&lt;1,"",SUM(H277:H311))</f>
        <v/>
      </c>
      <c r="I312" s="86"/>
      <c r="J312" s="1"/>
      <c r="K312" s="42"/>
      <c r="L312" s="66"/>
      <c r="M312" s="66"/>
      <c r="N312" s="89"/>
      <c r="O312" s="87"/>
      <c r="P312" s="87"/>
      <c r="Q312" s="221">
        <f>IF(N(K$36)=0,0,N(H312)/K$36)</f>
        <v>0</v>
      </c>
      <c r="S312" s="223"/>
      <c r="T312" s="223"/>
      <c r="U312" s="223"/>
      <c r="V312" s="223"/>
      <c r="W312" s="223"/>
      <c r="X312" s="223"/>
      <c r="Y312" s="223"/>
      <c r="Z312" s="223"/>
      <c r="AA312" s="223"/>
      <c r="AB312" s="223"/>
      <c r="AC312" s="223"/>
      <c r="AD312" s="223"/>
      <c r="AE312" s="223"/>
      <c r="AF312" s="223"/>
      <c r="AG312" s="223"/>
      <c r="AH312" s="223"/>
      <c r="AI312" s="223"/>
    </row>
    <row r="313" spans="1:35" ht="13.8" thickTop="1" x14ac:dyDescent="0.25">
      <c r="B313" s="86"/>
      <c r="C313" s="86"/>
      <c r="D313" s="86"/>
      <c r="E313" s="86"/>
      <c r="F313" s="86"/>
      <c r="G313" s="86"/>
      <c r="H313" s="90"/>
      <c r="I313" s="86"/>
      <c r="J313" s="86"/>
      <c r="K313" s="89"/>
      <c r="L313" s="66"/>
      <c r="M313" s="66"/>
      <c r="N313" s="89"/>
      <c r="O313" s="87"/>
      <c r="P313" s="87"/>
    </row>
    <row r="314" spans="1:35" x14ac:dyDescent="0.25">
      <c r="B314" s="30" t="s">
        <v>61</v>
      </c>
      <c r="C314" s="23" t="s">
        <v>112</v>
      </c>
      <c r="D314" s="23"/>
      <c r="E314" s="23"/>
      <c r="F314" s="23"/>
      <c r="G314" s="1"/>
      <c r="H314" s="13"/>
      <c r="I314" s="1"/>
      <c r="J314" s="36"/>
      <c r="P314" s="87"/>
    </row>
    <row r="315" spans="1:35" x14ac:dyDescent="0.25">
      <c r="B315" s="30"/>
      <c r="C315" s="23"/>
      <c r="D315" s="26" t="str">
        <f>"(B."&amp;TEXT(B312,"0")&amp;". "&amp;C312&amp;", "</f>
        <v xml:space="preserve">(B.15. Total Construction Sources, </v>
      </c>
      <c r="E315" s="23"/>
      <c r="F315" s="23"/>
      <c r="G315" s="1"/>
      <c r="H315" s="13"/>
      <c r="I315" s="1"/>
      <c r="J315" s="36"/>
      <c r="P315" s="125" t="str">
        <f ca="1">IF(N(H316)&lt;0,"**","")</f>
        <v/>
      </c>
    </row>
    <row r="316" spans="1:35" ht="13.8" thickBot="1" x14ac:dyDescent="0.3">
      <c r="B316" s="23"/>
      <c r="C316" s="86"/>
      <c r="D316" s="26" t="str">
        <f>" less "&amp;B274&amp;" "&amp;C274&amp;"):"</f>
        <v xml:space="preserve"> less A. Total Development Costs):</v>
      </c>
      <c r="E316" s="23"/>
      <c r="F316" s="23"/>
      <c r="G316" s="30" t="s">
        <v>9</v>
      </c>
      <c r="H316" s="81" t="str">
        <f ca="1">IF(AND(N(H312)=0,N(H274)=0),"",N(H312)-N(H274))</f>
        <v/>
      </c>
      <c r="I316" s="1"/>
      <c r="J316" s="36" t="s">
        <v>94</v>
      </c>
      <c r="K316" s="66"/>
      <c r="L316" s="66"/>
      <c r="M316" s="66"/>
      <c r="N316" s="89"/>
      <c r="O316" s="87"/>
      <c r="P316" s="87"/>
      <c r="Q316" s="88" t="str">
        <f ca="1">IF(N(H316)=0,"Construction Funding Sources are equal to Total Development Costs.",IF(N(H316)&lt;0,"There is a shortfall in Construction Funding Sources which must be corrected.","There is a surplus of Construction Funding Sources which is permitted at time of Application."))</f>
        <v>Construction Funding Sources are equal to Total Development Costs.</v>
      </c>
    </row>
    <row r="317" spans="1:35" ht="13.8" thickTop="1" x14ac:dyDescent="0.25">
      <c r="B317" s="86"/>
      <c r="C317" s="86"/>
      <c r="D317" s="86"/>
      <c r="E317" s="86"/>
      <c r="F317" s="86"/>
      <c r="G317" s="86"/>
      <c r="H317" s="86"/>
      <c r="I317" s="86"/>
      <c r="J317" s="86"/>
      <c r="K317" s="89"/>
      <c r="L317" s="89"/>
      <c r="M317" s="89"/>
      <c r="N317" s="89"/>
      <c r="O317" s="87"/>
      <c r="P317" s="87"/>
    </row>
    <row r="318" spans="1:35" ht="13.8" thickBot="1" x14ac:dyDescent="0.3">
      <c r="B318" s="23" t="s">
        <v>93</v>
      </c>
      <c r="C318" s="86"/>
      <c r="D318" s="1"/>
      <c r="E318" s="1"/>
      <c r="F318" s="1"/>
      <c r="G318" s="1"/>
      <c r="H318" s="1"/>
      <c r="I318" s="1"/>
      <c r="J318" s="1"/>
      <c r="K318" s="66"/>
      <c r="L318" s="66"/>
      <c r="M318" s="66"/>
      <c r="N318" s="89"/>
      <c r="O318" s="87"/>
      <c r="P318" s="87"/>
    </row>
    <row r="319" spans="1:35" ht="3.75" customHeight="1" x14ac:dyDescent="0.25">
      <c r="A319" s="85"/>
      <c r="B319" s="62"/>
      <c r="C319" s="62"/>
      <c r="D319" s="63"/>
      <c r="E319" s="63"/>
      <c r="F319" s="63"/>
      <c r="G319" s="63"/>
      <c r="H319" s="63"/>
      <c r="I319" s="63"/>
      <c r="J319" s="63"/>
      <c r="K319" s="78"/>
      <c r="L319" s="79"/>
      <c r="M319" s="78"/>
      <c r="N319" s="93"/>
      <c r="O319" s="94"/>
      <c r="P319" s="94"/>
      <c r="Q319" s="336" t="s">
        <v>227</v>
      </c>
      <c r="R319" s="337"/>
      <c r="S319" s="337"/>
      <c r="T319" s="337"/>
      <c r="U319" s="337"/>
      <c r="V319" s="337"/>
      <c r="W319" s="337"/>
      <c r="X319" s="337"/>
      <c r="Y319" s="337"/>
      <c r="Z319" s="338"/>
    </row>
    <row r="320" spans="1:35" x14ac:dyDescent="0.25">
      <c r="B320" s="64" t="str">
        <f>B$2</f>
        <v>RFA 2021-204 DEVELOPMENT COST PRO FORMA</v>
      </c>
      <c r="C320" s="86"/>
      <c r="D320" s="86"/>
      <c r="E320" s="86"/>
      <c r="F320" s="86"/>
      <c r="G320" s="86"/>
      <c r="H320" s="86"/>
      <c r="I320" s="86"/>
      <c r="J320" s="86"/>
      <c r="K320" s="89"/>
      <c r="L320" s="89"/>
      <c r="M320" s="89"/>
      <c r="N320" s="89"/>
      <c r="O320" s="87"/>
      <c r="P320" s="3" t="s">
        <v>249</v>
      </c>
      <c r="Q320" s="339"/>
      <c r="R320" s="340"/>
      <c r="S320" s="340"/>
      <c r="T320" s="340"/>
      <c r="U320" s="340"/>
      <c r="V320" s="340"/>
      <c r="W320" s="340"/>
      <c r="X320" s="340"/>
      <c r="Y320" s="340"/>
      <c r="Z320" s="341"/>
    </row>
    <row r="321" spans="2:34" x14ac:dyDescent="0.25">
      <c r="B321" s="33"/>
      <c r="C321" s="33"/>
      <c r="D321" s="33"/>
      <c r="E321" s="33"/>
      <c r="F321" s="33"/>
      <c r="G321" s="33"/>
      <c r="H321" s="33"/>
      <c r="I321" s="33"/>
      <c r="J321" s="33"/>
      <c r="K321" s="70"/>
      <c r="L321" s="80"/>
      <c r="M321" s="70"/>
      <c r="N321" s="89"/>
      <c r="O321" s="87"/>
      <c r="P321" s="87"/>
      <c r="Q321" s="339"/>
      <c r="R321" s="340"/>
      <c r="S321" s="340"/>
      <c r="T321" s="340"/>
      <c r="U321" s="340"/>
      <c r="V321" s="340"/>
      <c r="W321" s="340"/>
      <c r="X321" s="340"/>
      <c r="Y321" s="340"/>
      <c r="Z321" s="341"/>
    </row>
    <row r="322" spans="2:34" ht="13.8" thickBot="1" x14ac:dyDescent="0.3">
      <c r="B322" s="33"/>
      <c r="C322" s="33"/>
      <c r="D322" s="33"/>
      <c r="E322" s="33"/>
      <c r="F322" s="33"/>
      <c r="G322" s="33"/>
      <c r="H322" s="33"/>
      <c r="I322" s="33"/>
      <c r="J322" s="33"/>
      <c r="K322" s="70"/>
      <c r="L322" s="80"/>
      <c r="M322" s="70"/>
      <c r="N322" s="89"/>
      <c r="O322" s="87"/>
      <c r="P322" s="87"/>
      <c r="Q322" s="342"/>
      <c r="R322" s="343"/>
      <c r="S322" s="343"/>
      <c r="T322" s="343"/>
      <c r="U322" s="343"/>
      <c r="V322" s="343"/>
      <c r="W322" s="343"/>
      <c r="X322" s="343"/>
      <c r="Y322" s="343"/>
      <c r="Z322" s="344"/>
    </row>
    <row r="323" spans="2:34" x14ac:dyDescent="0.25">
      <c r="B323" s="23" t="s">
        <v>83</v>
      </c>
      <c r="C323" s="1"/>
      <c r="D323" s="1"/>
      <c r="E323" s="1"/>
      <c r="F323" s="1"/>
      <c r="G323" s="1"/>
      <c r="H323" s="1"/>
      <c r="I323" s="1"/>
      <c r="J323" s="1"/>
      <c r="K323" s="77"/>
      <c r="L323" s="70"/>
      <c r="M323" s="70"/>
      <c r="N323" s="89"/>
      <c r="O323" s="87"/>
      <c r="P323" s="87"/>
    </row>
    <row r="324" spans="2:34" x14ac:dyDescent="0.25">
      <c r="B324" s="23"/>
      <c r="C324" s="1"/>
      <c r="D324" s="1"/>
      <c r="E324" s="1"/>
      <c r="F324" s="1"/>
      <c r="G324" s="1"/>
      <c r="H324" s="57" t="s">
        <v>76</v>
      </c>
      <c r="I324" s="57"/>
      <c r="J324" s="1"/>
      <c r="K324" s="404" t="s">
        <v>318</v>
      </c>
      <c r="L324" s="404"/>
      <c r="M324" s="404"/>
      <c r="N324" s="404"/>
      <c r="O324" s="87"/>
      <c r="P324" s="87"/>
      <c r="Q324" s="168"/>
      <c r="R324" s="128"/>
      <c r="S324" s="128"/>
      <c r="T324" s="223"/>
      <c r="U324" s="223"/>
      <c r="V324" s="223"/>
      <c r="W324" s="223"/>
      <c r="X324" s="223"/>
      <c r="Y324" s="223"/>
      <c r="Z324" s="223"/>
      <c r="AA324" s="128"/>
      <c r="AB324" s="128"/>
      <c r="AC324" s="128"/>
      <c r="AD324" s="128"/>
      <c r="AE324" s="128"/>
      <c r="AF324" s="128"/>
      <c r="AG324" s="128"/>
      <c r="AH324" s="128"/>
    </row>
    <row r="325" spans="2:34" x14ac:dyDescent="0.25">
      <c r="B325" s="1"/>
      <c r="C325" s="1"/>
      <c r="D325" s="1"/>
      <c r="E325" s="1"/>
      <c r="F325" s="1"/>
      <c r="G325" s="1"/>
      <c r="H325" s="1"/>
      <c r="I325" s="1"/>
      <c r="J325" s="1"/>
      <c r="K325" s="66"/>
      <c r="L325" s="66"/>
      <c r="M325" s="66"/>
      <c r="N325" s="89"/>
      <c r="O325" s="87"/>
      <c r="P325" s="87"/>
      <c r="Q325" s="169"/>
      <c r="R325" s="168"/>
      <c r="S325" s="170"/>
      <c r="T325" s="128"/>
      <c r="U325" s="128"/>
      <c r="V325" s="128"/>
      <c r="W325" s="128"/>
      <c r="X325" s="128"/>
      <c r="Y325" s="128"/>
      <c r="Z325" s="128"/>
      <c r="AA325" s="128"/>
      <c r="AB325" s="128"/>
      <c r="AC325" s="128"/>
      <c r="AD325" s="128"/>
      <c r="AE325" s="128"/>
      <c r="AF325" s="128"/>
      <c r="AG325" s="128"/>
      <c r="AH325" s="128"/>
    </row>
    <row r="326" spans="2:34" x14ac:dyDescent="0.25">
      <c r="B326" s="30" t="s">
        <v>86</v>
      </c>
      <c r="C326" s="23" t="s">
        <v>85</v>
      </c>
      <c r="D326" s="1"/>
      <c r="E326" s="1"/>
      <c r="F326" s="1"/>
      <c r="G326" s="30" t="s">
        <v>9</v>
      </c>
      <c r="H326" s="67" t="str">
        <f ca="1">IF(N198="","",N198)</f>
        <v/>
      </c>
      <c r="I326" s="1"/>
      <c r="J326" s="1"/>
      <c r="K326" s="66"/>
      <c r="L326" s="66"/>
      <c r="M326" s="66"/>
      <c r="N326" s="89"/>
      <c r="O326" s="87"/>
      <c r="P326" s="210"/>
      <c r="Q326" s="209"/>
      <c r="R326" s="353"/>
      <c r="S326" s="353"/>
      <c r="T326" s="353"/>
      <c r="U326" s="226"/>
      <c r="V326" s="128"/>
      <c r="W326" s="128"/>
      <c r="X326" s="128"/>
      <c r="Y326" s="128"/>
      <c r="Z326" s="128"/>
      <c r="AA326" s="128"/>
      <c r="AB326" s="128"/>
      <c r="AC326" s="128"/>
      <c r="AD326" s="128"/>
      <c r="AE326" s="128"/>
      <c r="AF326" s="128"/>
      <c r="AG326" s="128"/>
      <c r="AH326" s="128"/>
    </row>
    <row r="327" spans="2:34" x14ac:dyDescent="0.25">
      <c r="B327" s="1"/>
      <c r="C327" s="1"/>
      <c r="D327" s="1"/>
      <c r="E327" s="1"/>
      <c r="F327" s="1"/>
      <c r="G327" s="1"/>
      <c r="H327" s="7"/>
      <c r="I327" s="1"/>
      <c r="J327" s="1"/>
      <c r="K327" s="66"/>
      <c r="L327" s="66"/>
      <c r="M327" s="66"/>
      <c r="N327" s="89"/>
      <c r="O327" s="87"/>
      <c r="P327" s="210"/>
      <c r="Q327" s="210"/>
      <c r="R327" s="352"/>
      <c r="S327" s="352"/>
      <c r="T327" s="352"/>
      <c r="U327" s="227"/>
      <c r="V327" s="128"/>
      <c r="W327" s="128"/>
      <c r="X327" s="128"/>
      <c r="Y327" s="128"/>
      <c r="Z327" s="128"/>
      <c r="AA327" s="128"/>
      <c r="AB327" s="128"/>
      <c r="AC327" s="128"/>
      <c r="AD327" s="223"/>
      <c r="AE327" s="223"/>
      <c r="AF327" s="223"/>
      <c r="AG327" s="223"/>
      <c r="AH327" s="223"/>
    </row>
    <row r="328" spans="2:34" x14ac:dyDescent="0.25">
      <c r="B328" s="30" t="s">
        <v>84</v>
      </c>
      <c r="C328" s="23" t="s">
        <v>87</v>
      </c>
      <c r="D328" s="1"/>
      <c r="E328" s="1"/>
      <c r="F328" s="1"/>
      <c r="G328" s="1"/>
      <c r="H328" s="7"/>
      <c r="I328" s="1"/>
      <c r="J328" s="1"/>
      <c r="K328" s="66"/>
      <c r="L328" s="66"/>
      <c r="M328" s="66"/>
      <c r="N328" s="89"/>
      <c r="O328" s="87"/>
      <c r="P328" s="210"/>
      <c r="Q328" s="220" t="s">
        <v>325</v>
      </c>
      <c r="R328" s="128"/>
      <c r="S328" s="128"/>
      <c r="T328" s="128"/>
      <c r="U328" s="128"/>
      <c r="V328" s="128"/>
      <c r="W328" s="128"/>
      <c r="X328" s="128"/>
      <c r="Y328" s="128"/>
      <c r="Z328" s="128"/>
      <c r="AA328" s="128"/>
      <c r="AB328" s="128"/>
      <c r="AC328" s="128"/>
      <c r="AD328" s="223"/>
      <c r="AE328" s="223"/>
      <c r="AF328" s="223"/>
      <c r="AG328" s="223"/>
      <c r="AH328" s="223"/>
    </row>
    <row r="329" spans="2:34" ht="12.75" customHeight="1" x14ac:dyDescent="0.25">
      <c r="B329" s="1"/>
      <c r="C329" s="1"/>
      <c r="D329" s="1"/>
      <c r="E329" s="1"/>
      <c r="F329" s="1"/>
      <c r="G329" s="46"/>
      <c r="H329" s="16"/>
      <c r="I329" s="1"/>
      <c r="J329" s="1"/>
      <c r="K329" s="66"/>
      <c r="L329" s="66"/>
      <c r="M329" s="66"/>
      <c r="N329" s="89"/>
      <c r="O329" s="87"/>
      <c r="P329" s="210"/>
      <c r="Q329" s="213"/>
      <c r="R329" s="128"/>
      <c r="S329" s="128"/>
      <c r="T329" s="128"/>
      <c r="U329" s="128"/>
      <c r="V329" s="128"/>
      <c r="W329" s="128"/>
      <c r="X329" s="128"/>
      <c r="Y329" s="128"/>
      <c r="Z329" s="128"/>
      <c r="AA329" s="128"/>
      <c r="AB329" s="128"/>
      <c r="AC329" s="128"/>
      <c r="AD329" s="223"/>
      <c r="AE329" s="223"/>
      <c r="AF329" s="223"/>
      <c r="AG329" s="223"/>
      <c r="AH329" s="223"/>
    </row>
    <row r="330" spans="2:34" ht="12.75" customHeight="1" x14ac:dyDescent="0.25">
      <c r="B330" s="111">
        <f>MAX(B$329:B329)+1</f>
        <v>1</v>
      </c>
      <c r="C330" s="1" t="str">
        <f>C278</f>
        <v>First Mortgage Financing</v>
      </c>
      <c r="D330" s="1"/>
      <c r="E330" s="1"/>
      <c r="F330" s="1"/>
      <c r="G330" s="46" t="s">
        <v>9</v>
      </c>
      <c r="H330" s="83"/>
      <c r="I330" s="1"/>
      <c r="J330" s="1"/>
      <c r="K330" s="351" t="s">
        <v>232</v>
      </c>
      <c r="L330" s="351"/>
      <c r="M330" s="351"/>
      <c r="N330" s="351"/>
      <c r="O330" s="87"/>
      <c r="P330" s="211"/>
      <c r="Q330" s="221">
        <f>IF(N(K$36)=0,0,N(H330)/K$36)</f>
        <v>0</v>
      </c>
      <c r="R330" s="168"/>
      <c r="S330" s="128"/>
      <c r="T330" s="128"/>
      <c r="U330" s="128"/>
      <c r="V330" s="128"/>
      <c r="W330" s="128"/>
      <c r="X330" s="128"/>
      <c r="Y330" s="128"/>
      <c r="Z330" s="128"/>
      <c r="AA330" s="128"/>
      <c r="AB330" s="128"/>
      <c r="AC330" s="128"/>
      <c r="AD330" s="223"/>
      <c r="AE330" s="223"/>
      <c r="AF330" s="223"/>
      <c r="AG330" s="223"/>
      <c r="AH330" s="223"/>
    </row>
    <row r="331" spans="2:34" ht="12.75" customHeight="1" x14ac:dyDescent="0.25">
      <c r="B331" s="1"/>
      <c r="C331" s="1"/>
      <c r="D331" s="1"/>
      <c r="E331" s="1"/>
      <c r="F331" s="1"/>
      <c r="G331" s="46"/>
      <c r="H331" s="113"/>
      <c r="I331" s="1"/>
      <c r="J331" s="1"/>
      <c r="K331" s="42"/>
      <c r="L331" s="42"/>
      <c r="M331" s="42"/>
      <c r="N331" s="89"/>
      <c r="O331" s="87"/>
      <c r="P331" s="210"/>
      <c r="Q331" s="213"/>
      <c r="R331" s="369"/>
      <c r="S331" s="369"/>
      <c r="T331" s="369"/>
      <c r="U331" s="369"/>
      <c r="V331" s="369"/>
      <c r="W331" s="369"/>
      <c r="X331" s="369"/>
      <c r="Y331" s="369"/>
      <c r="Z331" s="369"/>
      <c r="AA331" s="369"/>
      <c r="AB331" s="369"/>
      <c r="AC331" s="128"/>
      <c r="AD331" s="223"/>
      <c r="AE331" s="223"/>
      <c r="AF331" s="223"/>
      <c r="AG331" s="223"/>
      <c r="AH331" s="223"/>
    </row>
    <row r="332" spans="2:34" x14ac:dyDescent="0.25">
      <c r="B332" s="111">
        <f>MAX(B$329:B331)+1</f>
        <v>2</v>
      </c>
      <c r="C332" s="1" t="str">
        <f>C280</f>
        <v>Second Mortgage Financing</v>
      </c>
      <c r="D332" s="1"/>
      <c r="E332" s="1"/>
      <c r="F332" s="1"/>
      <c r="G332" s="46" t="s">
        <v>9</v>
      </c>
      <c r="H332" s="83"/>
      <c r="I332" s="1"/>
      <c r="J332" s="1"/>
      <c r="K332" s="351" t="s">
        <v>232</v>
      </c>
      <c r="L332" s="351"/>
      <c r="M332" s="351"/>
      <c r="N332" s="351"/>
      <c r="O332" s="87"/>
      <c r="P332" s="211"/>
      <c r="Q332" s="221">
        <f>IF(N(K$36)=0,0,N(H332)/K$36)</f>
        <v>0</v>
      </c>
      <c r="R332" s="369"/>
      <c r="S332" s="369"/>
      <c r="T332" s="369"/>
      <c r="U332" s="369"/>
      <c r="V332" s="369"/>
      <c r="W332" s="369"/>
      <c r="X332" s="369"/>
      <c r="Y332" s="369"/>
      <c r="Z332" s="369"/>
      <c r="AA332" s="369"/>
      <c r="AB332" s="369"/>
      <c r="AC332" s="128"/>
      <c r="AD332" s="223"/>
      <c r="AE332" s="223"/>
      <c r="AF332" s="223"/>
      <c r="AG332" s="223"/>
      <c r="AH332" s="223"/>
    </row>
    <row r="333" spans="2:34" x14ac:dyDescent="0.25">
      <c r="B333" s="1"/>
      <c r="C333" s="1"/>
      <c r="D333" s="1"/>
      <c r="E333" s="1"/>
      <c r="F333" s="1"/>
      <c r="G333" s="46"/>
      <c r="H333" s="113"/>
      <c r="I333" s="1"/>
      <c r="J333" s="1"/>
      <c r="K333" s="42"/>
      <c r="L333" s="42"/>
      <c r="M333" s="42"/>
      <c r="N333" s="89"/>
      <c r="O333" s="87"/>
      <c r="P333" s="210"/>
      <c r="Q333" s="213"/>
      <c r="R333" s="128"/>
      <c r="S333" s="128"/>
      <c r="T333" s="128"/>
      <c r="U333" s="128"/>
      <c r="V333" s="128"/>
      <c r="W333" s="128"/>
      <c r="X333" s="128"/>
      <c r="Y333" s="128"/>
      <c r="Z333" s="128"/>
      <c r="AA333" s="128"/>
      <c r="AB333" s="128"/>
      <c r="AC333" s="128"/>
      <c r="AD333" s="223"/>
      <c r="AE333" s="223"/>
      <c r="AF333" s="223"/>
      <c r="AG333" s="223"/>
      <c r="AH333" s="223"/>
    </row>
    <row r="334" spans="2:34" x14ac:dyDescent="0.25">
      <c r="B334" s="111">
        <f>MAX(B$329:B333)+1</f>
        <v>3</v>
      </c>
      <c r="C334" s="1" t="str">
        <f>C282</f>
        <v>Third Mortgage Financing</v>
      </c>
      <c r="D334" s="1"/>
      <c r="E334" s="1"/>
      <c r="F334" s="1"/>
      <c r="G334" s="46" t="s">
        <v>9</v>
      </c>
      <c r="H334" s="82"/>
      <c r="I334" s="1"/>
      <c r="J334" s="1"/>
      <c r="K334" s="351" t="s">
        <v>232</v>
      </c>
      <c r="L334" s="351"/>
      <c r="M334" s="351"/>
      <c r="N334" s="351"/>
      <c r="O334" s="87"/>
      <c r="P334" s="210"/>
      <c r="Q334" s="221">
        <f>IF(N(K$36)=0,0,N(H334)/K$36)</f>
        <v>0</v>
      </c>
      <c r="R334" s="168"/>
      <c r="S334" s="128"/>
      <c r="T334" s="128"/>
      <c r="U334" s="223"/>
      <c r="V334" s="223"/>
      <c r="W334" s="223"/>
      <c r="X334" s="53"/>
      <c r="Y334" s="128"/>
      <c r="Z334" s="128"/>
      <c r="AA334" s="128"/>
      <c r="AB334" s="128"/>
      <c r="AC334" s="128"/>
      <c r="AD334" s="223"/>
      <c r="AE334" s="223"/>
      <c r="AF334" s="223"/>
      <c r="AG334" s="223"/>
      <c r="AH334" s="223"/>
    </row>
    <row r="335" spans="2:34" x14ac:dyDescent="0.25">
      <c r="B335" s="66"/>
      <c r="C335" s="66"/>
      <c r="D335" s="66"/>
      <c r="E335" s="66"/>
      <c r="F335" s="66"/>
      <c r="G335" s="162"/>
      <c r="H335" s="113"/>
      <c r="I335" s="66"/>
      <c r="J335" s="66"/>
      <c r="K335" s="42"/>
      <c r="L335" s="42"/>
      <c r="M335" s="42"/>
      <c r="N335" s="89"/>
      <c r="O335" s="163"/>
      <c r="P335" s="98"/>
      <c r="Q335" s="213"/>
      <c r="R335" s="354"/>
      <c r="S335" s="354"/>
      <c r="T335" s="354"/>
      <c r="U335" s="228"/>
      <c r="V335" s="223"/>
      <c r="W335" s="223"/>
      <c r="X335" s="128"/>
      <c r="Y335" s="128"/>
      <c r="Z335" s="128"/>
      <c r="AA335" s="128"/>
      <c r="AB335" s="128"/>
      <c r="AC335" s="223"/>
      <c r="AD335" s="223"/>
      <c r="AE335" s="223"/>
      <c r="AF335" s="223"/>
      <c r="AG335" s="223"/>
      <c r="AH335" s="223"/>
    </row>
    <row r="336" spans="2:34" ht="12.75" customHeight="1" x14ac:dyDescent="0.25">
      <c r="B336" s="111">
        <f>MAX(B$329:B335)+1</f>
        <v>4</v>
      </c>
      <c r="C336" s="66" t="str">
        <f>C284</f>
        <v>Fourth Mortgage Financing</v>
      </c>
      <c r="D336" s="66"/>
      <c r="E336" s="66"/>
      <c r="F336" s="66"/>
      <c r="G336" s="162" t="s">
        <v>9</v>
      </c>
      <c r="H336" s="83"/>
      <c r="I336" s="66"/>
      <c r="J336" s="42"/>
      <c r="K336" s="351" t="s">
        <v>232</v>
      </c>
      <c r="L336" s="351"/>
      <c r="M336" s="351"/>
      <c r="N336" s="351"/>
      <c r="O336" s="163"/>
      <c r="P336" s="98"/>
      <c r="Q336" s="221">
        <f>IF(N(K$36)=0,0,N(H336)/K$36)</f>
        <v>0</v>
      </c>
      <c r="R336" s="128"/>
      <c r="S336" s="128"/>
      <c r="T336" s="128"/>
      <c r="U336" s="128"/>
      <c r="V336" s="128"/>
      <c r="W336" s="128"/>
      <c r="X336" s="128"/>
      <c r="Y336" s="128"/>
      <c r="Z336" s="128"/>
      <c r="AA336" s="128"/>
      <c r="AB336" s="128"/>
      <c r="AC336" s="223"/>
      <c r="AD336" s="223"/>
      <c r="AE336" s="223"/>
      <c r="AF336" s="223"/>
      <c r="AG336" s="223"/>
      <c r="AH336" s="223"/>
    </row>
    <row r="337" spans="2:33" ht="12.75" customHeight="1" x14ac:dyDescent="0.25">
      <c r="B337" s="66"/>
      <c r="C337" s="66"/>
      <c r="D337" s="66"/>
      <c r="E337" s="66"/>
      <c r="F337" s="66"/>
      <c r="G337" s="162"/>
      <c r="H337" s="113"/>
      <c r="I337" s="66"/>
      <c r="J337" s="66"/>
      <c r="K337" s="42"/>
      <c r="L337" s="42"/>
      <c r="M337" s="42"/>
      <c r="N337" s="89"/>
      <c r="O337" s="163"/>
      <c r="P337" s="98"/>
      <c r="Q337" s="213"/>
      <c r="R337" s="98"/>
      <c r="S337" s="223"/>
      <c r="T337" s="223"/>
      <c r="U337" s="223"/>
      <c r="V337" s="223"/>
      <c r="W337" s="223"/>
      <c r="X337" s="223"/>
      <c r="Y337" s="223"/>
      <c r="Z337" s="223"/>
      <c r="AA337" s="223"/>
      <c r="AB337" s="223"/>
      <c r="AC337" s="223"/>
      <c r="AD337" s="223"/>
      <c r="AE337" s="223"/>
      <c r="AF337" s="223"/>
      <c r="AG337" s="223"/>
    </row>
    <row r="338" spans="2:33" ht="12.75" customHeight="1" x14ac:dyDescent="0.25">
      <c r="B338" s="111">
        <f>MAX(B$329:B337)+1</f>
        <v>5</v>
      </c>
      <c r="C338" s="66" t="str">
        <f>C286</f>
        <v>Fifth Mortgage Financing</v>
      </c>
      <c r="D338" s="66"/>
      <c r="E338" s="66"/>
      <c r="F338" s="66"/>
      <c r="G338" s="162" t="s">
        <v>9</v>
      </c>
      <c r="H338" s="83"/>
      <c r="I338" s="66"/>
      <c r="J338" s="66"/>
      <c r="K338" s="351" t="s">
        <v>232</v>
      </c>
      <c r="L338" s="351"/>
      <c r="M338" s="351"/>
      <c r="N338" s="351"/>
      <c r="O338" s="163"/>
      <c r="P338" s="212"/>
      <c r="Q338" s="221">
        <f>IF(N(K$36)=0,0,N(H338)/K$36)</f>
        <v>0</v>
      </c>
      <c r="R338" s="98"/>
      <c r="S338" s="223"/>
      <c r="T338" s="223"/>
      <c r="U338" s="223"/>
      <c r="V338" s="223"/>
      <c r="W338" s="223"/>
      <c r="X338" s="223"/>
      <c r="Y338" s="223"/>
      <c r="Z338" s="223"/>
      <c r="AA338" s="223"/>
      <c r="AB338" s="223"/>
      <c r="AC338" s="223"/>
      <c r="AD338" s="223"/>
      <c r="AE338" s="223"/>
      <c r="AF338" s="223"/>
      <c r="AG338" s="223"/>
    </row>
    <row r="339" spans="2:33" x14ac:dyDescent="0.25">
      <c r="B339" s="66"/>
      <c r="C339" s="66"/>
      <c r="D339" s="66"/>
      <c r="E339" s="66"/>
      <c r="F339" s="66"/>
      <c r="G339" s="162"/>
      <c r="H339" s="113"/>
      <c r="I339" s="66"/>
      <c r="J339" s="66"/>
      <c r="K339" s="42"/>
      <c r="L339" s="42"/>
      <c r="M339" s="42"/>
      <c r="N339" s="89"/>
      <c r="O339" s="163"/>
      <c r="P339" s="98"/>
      <c r="Q339" s="213"/>
      <c r="R339" s="98"/>
      <c r="X339" s="210"/>
      <c r="Y339" s="210"/>
      <c r="Z339" s="210"/>
    </row>
    <row r="340" spans="2:33" x14ac:dyDescent="0.25">
      <c r="B340" s="111">
        <f>MAX(B$329:B339)+1</f>
        <v>6</v>
      </c>
      <c r="C340" s="66" t="str">
        <f>C288</f>
        <v>Sixth Mortgage Financing</v>
      </c>
      <c r="G340" s="46" t="s">
        <v>9</v>
      </c>
      <c r="H340" s="83"/>
      <c r="I340" s="1"/>
      <c r="J340" s="36"/>
      <c r="K340" s="351" t="s">
        <v>232</v>
      </c>
      <c r="L340" s="351"/>
      <c r="M340" s="351"/>
      <c r="N340" s="351"/>
      <c r="O340" s="87"/>
      <c r="P340" s="210"/>
      <c r="Q340" s="221">
        <f>IF(N(K$36)=0,0,N(H340)/K$36)</f>
        <v>0</v>
      </c>
      <c r="R340" s="210"/>
      <c r="X340" s="210"/>
      <c r="Y340" s="210"/>
      <c r="Z340" s="210"/>
    </row>
    <row r="341" spans="2:33" x14ac:dyDescent="0.25">
      <c r="B341" s="111"/>
      <c r="C341" s="1"/>
      <c r="D341" s="1"/>
      <c r="E341" s="1"/>
      <c r="F341" s="1"/>
      <c r="G341" s="46"/>
      <c r="H341" s="113"/>
      <c r="I341" s="1"/>
      <c r="J341" s="36"/>
      <c r="K341" s="42"/>
      <c r="L341" s="42"/>
      <c r="M341" s="42"/>
      <c r="N341" s="89"/>
      <c r="O341" s="87"/>
      <c r="P341" s="210"/>
      <c r="Q341" s="213"/>
      <c r="R341" s="210"/>
      <c r="X341" s="210"/>
      <c r="Y341" s="210"/>
      <c r="Z341" s="210"/>
    </row>
    <row r="342" spans="2:33" x14ac:dyDescent="0.25">
      <c r="B342" s="111">
        <f>MAX(B$329:B341)+1</f>
        <v>7</v>
      </c>
      <c r="C342" s="1" t="str">
        <f>C290</f>
        <v>Seventh Mortgage Financing</v>
      </c>
      <c r="D342" s="1"/>
      <c r="E342" s="1"/>
      <c r="F342" s="1"/>
      <c r="G342" s="46" t="s">
        <v>9</v>
      </c>
      <c r="H342" s="83"/>
      <c r="I342" s="1"/>
      <c r="J342" s="36"/>
      <c r="K342" s="351" t="s">
        <v>232</v>
      </c>
      <c r="L342" s="351"/>
      <c r="M342" s="351"/>
      <c r="N342" s="351"/>
      <c r="O342" s="87"/>
      <c r="P342" s="210"/>
      <c r="Q342" s="221">
        <f>IF(N(K$36)=0,0,N(H342)/K$36)</f>
        <v>0</v>
      </c>
      <c r="R342" s="210"/>
      <c r="U342" s="210"/>
      <c r="V342" s="210"/>
      <c r="W342" s="210"/>
      <c r="X342" s="210"/>
      <c r="Y342" s="210"/>
      <c r="Z342" s="210"/>
    </row>
    <row r="343" spans="2:33" x14ac:dyDescent="0.25">
      <c r="B343" s="1"/>
      <c r="C343" s="1"/>
      <c r="D343" s="1"/>
      <c r="E343" s="1"/>
      <c r="F343" s="1"/>
      <c r="G343" s="46"/>
      <c r="H343" s="16"/>
      <c r="I343" s="1"/>
      <c r="J343" s="1"/>
      <c r="K343" s="42"/>
      <c r="L343" s="42"/>
      <c r="M343" s="42"/>
      <c r="N343" s="89"/>
      <c r="O343" s="87"/>
      <c r="P343" s="87"/>
      <c r="Q343" s="213"/>
    </row>
    <row r="344" spans="2:33" x14ac:dyDescent="0.25">
      <c r="B344" s="111">
        <f>MAX(B$329:B343)+1</f>
        <v>8</v>
      </c>
      <c r="C344" s="1" t="str">
        <f>C292</f>
        <v>Eighth Mortgage Financing</v>
      </c>
      <c r="G344" s="46" t="s">
        <v>9</v>
      </c>
      <c r="H344" s="82"/>
      <c r="I344" s="1"/>
      <c r="J344" s="60"/>
      <c r="K344" s="351" t="s">
        <v>232</v>
      </c>
      <c r="L344" s="351"/>
      <c r="M344" s="351"/>
      <c r="N344" s="351"/>
      <c r="O344" s="87"/>
      <c r="P344" s="163"/>
      <c r="Q344" s="221">
        <f>IF(N(K$36)=0,0,N(H344)/K$36)</f>
        <v>0</v>
      </c>
    </row>
    <row r="345" spans="2:33" x14ac:dyDescent="0.25">
      <c r="B345" s="1"/>
      <c r="C345" s="1"/>
      <c r="D345" s="1"/>
      <c r="E345" s="1"/>
      <c r="F345" s="1"/>
      <c r="G345" s="46"/>
      <c r="H345" s="16"/>
      <c r="I345" s="1"/>
      <c r="J345" s="60"/>
      <c r="K345" s="42"/>
      <c r="L345" s="42"/>
      <c r="M345" s="42"/>
      <c r="N345" s="89"/>
      <c r="O345" s="87"/>
      <c r="P345" s="87"/>
      <c r="Q345" s="213"/>
    </row>
    <row r="346" spans="2:33" x14ac:dyDescent="0.25">
      <c r="B346" s="111">
        <f>MAX(B$329:B345)+1</f>
        <v>9</v>
      </c>
      <c r="C346" s="1" t="str">
        <f>C294</f>
        <v>Ninth Mortgage Financing</v>
      </c>
      <c r="D346" s="1"/>
      <c r="E346" s="1"/>
      <c r="F346" s="1"/>
      <c r="G346" s="46" t="s">
        <v>9</v>
      </c>
      <c r="H346" s="82"/>
      <c r="I346" s="1"/>
      <c r="J346" s="60"/>
      <c r="K346" s="351" t="s">
        <v>232</v>
      </c>
      <c r="L346" s="351"/>
      <c r="M346" s="351"/>
      <c r="N346" s="351"/>
      <c r="O346" s="87"/>
      <c r="P346" s="87"/>
      <c r="Q346" s="221">
        <f>IF(N(K$36)=0,0,N(H346)/K$36)</f>
        <v>0</v>
      </c>
    </row>
    <row r="347" spans="2:33" x14ac:dyDescent="0.25">
      <c r="B347" s="1"/>
      <c r="C347" s="1"/>
      <c r="D347" s="1"/>
      <c r="E347" s="1"/>
      <c r="F347" s="1"/>
      <c r="G347" s="1"/>
      <c r="H347" s="106"/>
      <c r="I347" s="1"/>
      <c r="J347" s="60"/>
      <c r="K347" s="42"/>
      <c r="L347" s="42"/>
      <c r="M347" s="42"/>
      <c r="N347" s="89"/>
      <c r="O347" s="87"/>
      <c r="P347" s="87"/>
      <c r="Q347" s="213"/>
    </row>
    <row r="348" spans="2:33" x14ac:dyDescent="0.25">
      <c r="B348" s="111">
        <f>MAX(B$329:B347)+1</f>
        <v>10</v>
      </c>
      <c r="C348" s="1" t="str">
        <f>C296</f>
        <v>Tenth Mortgage Financing</v>
      </c>
      <c r="D348" s="1"/>
      <c r="E348" s="1"/>
      <c r="F348" s="1"/>
      <c r="G348" s="46" t="s">
        <v>9</v>
      </c>
      <c r="H348" s="82"/>
      <c r="I348" s="1"/>
      <c r="J348" s="60"/>
      <c r="K348" s="351" t="s">
        <v>232</v>
      </c>
      <c r="L348" s="351"/>
      <c r="M348" s="351"/>
      <c r="N348" s="351"/>
      <c r="O348" s="87"/>
      <c r="P348" s="87"/>
      <c r="Q348" s="221">
        <f>IF(N(K$36)=0,0,N(H348)/K$36)</f>
        <v>0</v>
      </c>
    </row>
    <row r="349" spans="2:33" x14ac:dyDescent="0.25">
      <c r="B349" s="1"/>
      <c r="C349" s="1"/>
      <c r="D349" s="1"/>
      <c r="E349" s="1"/>
      <c r="F349" s="1"/>
      <c r="G349" s="1"/>
      <c r="H349" s="106"/>
      <c r="I349" s="1"/>
      <c r="J349" s="60"/>
      <c r="K349" s="105"/>
      <c r="L349" s="38"/>
      <c r="M349" s="66"/>
      <c r="N349" s="89"/>
      <c r="O349" s="87"/>
      <c r="P349" s="87"/>
    </row>
    <row r="350" spans="2:33" x14ac:dyDescent="0.25">
      <c r="B350" s="111">
        <f>MAX(B$329:B349)+1</f>
        <v>11</v>
      </c>
      <c r="C350" s="1" t="s">
        <v>113</v>
      </c>
      <c r="D350" s="1"/>
      <c r="E350" s="1"/>
      <c r="F350" s="1"/>
      <c r="G350" s="46" t="s">
        <v>9</v>
      </c>
      <c r="H350" s="83"/>
      <c r="I350" s="1"/>
      <c r="J350" s="60"/>
      <c r="K350" s="105"/>
      <c r="L350" s="38"/>
      <c r="M350" s="66"/>
      <c r="N350" s="89"/>
      <c r="O350" s="87"/>
      <c r="P350" s="87"/>
      <c r="Q350" s="221">
        <f>IF(N(K$36)=0,0,N(H350)/K$36)</f>
        <v>0</v>
      </c>
    </row>
    <row r="351" spans="2:33" x14ac:dyDescent="0.25">
      <c r="B351" s="61"/>
      <c r="C351" s="86"/>
      <c r="D351" s="86"/>
      <c r="E351" s="86"/>
      <c r="F351" s="86"/>
      <c r="G351" s="46"/>
      <c r="H351" s="106"/>
      <c r="I351" s="1"/>
      <c r="J351" s="60"/>
      <c r="K351" s="105"/>
      <c r="L351" s="38"/>
      <c r="M351" s="66"/>
      <c r="N351" s="89"/>
      <c r="O351" s="87"/>
      <c r="P351" s="87"/>
    </row>
    <row r="352" spans="2:33" x14ac:dyDescent="0.25">
      <c r="B352" s="111">
        <f>MAX(B$329:B351)+1</f>
        <v>12</v>
      </c>
      <c r="C352" s="61" t="s">
        <v>74</v>
      </c>
      <c r="D352" s="1"/>
      <c r="E352" s="391"/>
      <c r="F352" s="391"/>
      <c r="G352" s="46" t="s">
        <v>9</v>
      </c>
      <c r="H352" s="82"/>
      <c r="I352" s="1"/>
      <c r="J352" s="60"/>
      <c r="K352" s="105"/>
      <c r="L352" s="38"/>
      <c r="M352" s="66"/>
      <c r="N352" s="89"/>
      <c r="O352" s="87"/>
      <c r="P352" s="87"/>
      <c r="Q352" s="221">
        <f>IF(N(K$36)=0,0,N(H352)/K$36)</f>
        <v>0</v>
      </c>
    </row>
    <row r="353" spans="1:17" x14ac:dyDescent="0.25">
      <c r="B353" s="1"/>
      <c r="C353" s="86"/>
      <c r="D353" s="86"/>
      <c r="E353" s="86"/>
      <c r="F353" s="86"/>
      <c r="G353" s="86"/>
      <c r="H353" s="91"/>
      <c r="I353" s="86"/>
      <c r="J353" s="60"/>
      <c r="K353" s="105"/>
      <c r="L353" s="38"/>
      <c r="M353" s="66"/>
      <c r="N353" s="89"/>
      <c r="O353" s="87"/>
      <c r="P353" s="87"/>
    </row>
    <row r="354" spans="1:17" x14ac:dyDescent="0.25">
      <c r="B354" s="111">
        <f>MAX(B$329:B353)+1</f>
        <v>13</v>
      </c>
      <c r="C354" s="1" t="s">
        <v>74</v>
      </c>
      <c r="D354" s="1"/>
      <c r="E354" s="391"/>
      <c r="F354" s="391"/>
      <c r="G354" s="46" t="s">
        <v>9</v>
      </c>
      <c r="H354" s="82"/>
      <c r="I354" s="1"/>
      <c r="J354" s="60"/>
      <c r="K354" s="105"/>
      <c r="L354" s="38"/>
      <c r="M354" s="66"/>
      <c r="N354" s="89"/>
      <c r="O354" s="87"/>
      <c r="P354" s="87"/>
      <c r="Q354" s="221">
        <f>IF(N(K$36)=0,0,N(H354)/K$36)</f>
        <v>0</v>
      </c>
    </row>
    <row r="355" spans="1:17" ht="12.75" customHeight="1" x14ac:dyDescent="0.25">
      <c r="B355" s="59"/>
      <c r="C355" s="1"/>
      <c r="D355" s="1"/>
      <c r="E355" s="65"/>
      <c r="F355" s="65"/>
      <c r="G355" s="86"/>
      <c r="H355" s="104"/>
      <c r="I355" s="1"/>
      <c r="J355" s="157"/>
      <c r="K355" s="157"/>
      <c r="L355" s="157"/>
      <c r="M355" s="157"/>
      <c r="N355" s="157"/>
      <c r="O355" s="157"/>
      <c r="P355" s="157"/>
    </row>
    <row r="356" spans="1:17" x14ac:dyDescent="0.25">
      <c r="B356" s="111">
        <f>MAX(B$329:B355)+1</f>
        <v>14</v>
      </c>
      <c r="C356" s="1" t="s">
        <v>81</v>
      </c>
      <c r="D356" s="1"/>
      <c r="E356" s="1"/>
      <c r="F356" s="1"/>
      <c r="G356" s="46" t="s">
        <v>9</v>
      </c>
      <c r="H356" s="82"/>
      <c r="I356" s="1"/>
      <c r="J356" s="157"/>
      <c r="K356" s="89"/>
      <c r="L356" s="66"/>
      <c r="M356" s="66"/>
      <c r="N356" s="89"/>
      <c r="O356" s="157"/>
      <c r="P356" s="157"/>
      <c r="Q356" s="221">
        <f>IF(N(K$36)=0,0,N(H356)/K$36)</f>
        <v>0</v>
      </c>
    </row>
    <row r="357" spans="1:17" x14ac:dyDescent="0.25">
      <c r="B357" s="1"/>
      <c r="C357" s="86"/>
      <c r="D357" s="86"/>
      <c r="E357" s="86"/>
      <c r="F357" s="86"/>
      <c r="G357" s="86"/>
      <c r="H357" s="91"/>
      <c r="I357" s="1"/>
      <c r="J357" s="157"/>
      <c r="K357" s="157"/>
      <c r="L357" s="157"/>
      <c r="M357" s="157"/>
      <c r="N357" s="157"/>
      <c r="O357" s="157"/>
      <c r="P357" s="157"/>
    </row>
    <row r="358" spans="1:17" ht="13.8" thickBot="1" x14ac:dyDescent="0.3">
      <c r="B358" s="112">
        <f>MAX(B$329:B357)+1</f>
        <v>15</v>
      </c>
      <c r="C358" s="23" t="s">
        <v>102</v>
      </c>
      <c r="D358" s="1"/>
      <c r="E358" s="1"/>
      <c r="F358" s="1"/>
      <c r="G358" s="46" t="s">
        <v>9</v>
      </c>
      <c r="H358" s="81" t="str">
        <f>IF(SUM(H329:H357)&lt;1,"",SUM(H329:H357))</f>
        <v/>
      </c>
      <c r="I358" s="86"/>
      <c r="J358" s="86"/>
      <c r="K358" s="89"/>
      <c r="L358" s="66"/>
      <c r="M358" s="66"/>
      <c r="N358" s="89"/>
      <c r="O358" s="87"/>
      <c r="P358" s="87"/>
      <c r="Q358" s="221">
        <f>IF(N(K$36)=0,0,N(H358)/K$36)</f>
        <v>0</v>
      </c>
    </row>
    <row r="359" spans="1:17" ht="13.5" customHeight="1" thickTop="1" x14ac:dyDescent="0.25">
      <c r="B359" s="59"/>
      <c r="C359" s="1"/>
      <c r="D359" s="1"/>
      <c r="E359" s="1"/>
      <c r="F359" s="1"/>
      <c r="G359" s="46"/>
      <c r="H359" s="90"/>
      <c r="I359" s="86"/>
      <c r="J359" s="86"/>
      <c r="K359" s="89"/>
      <c r="L359" s="66"/>
      <c r="M359" s="66"/>
      <c r="N359" s="89"/>
      <c r="O359" s="87"/>
      <c r="P359" s="87"/>
    </row>
    <row r="360" spans="1:17" x14ac:dyDescent="0.25">
      <c r="B360" s="30" t="s">
        <v>61</v>
      </c>
      <c r="C360" s="23" t="s">
        <v>95</v>
      </c>
      <c r="D360" s="23"/>
      <c r="E360" s="23"/>
      <c r="F360" s="23"/>
      <c r="G360" s="1"/>
      <c r="H360" s="13"/>
      <c r="I360" s="1"/>
      <c r="J360" s="36"/>
      <c r="K360" s="42"/>
      <c r="L360" s="66"/>
      <c r="M360" s="66"/>
      <c r="N360" s="89"/>
      <c r="O360" s="87"/>
      <c r="P360" s="87"/>
    </row>
    <row r="361" spans="1:17" x14ac:dyDescent="0.25">
      <c r="B361" s="30"/>
      <c r="C361" s="23"/>
      <c r="D361" s="26" t="str">
        <f>"(B."&amp;TEXT(B358,"0")&amp;". "&amp;C358&amp;", "</f>
        <v xml:space="preserve">(B.15. Total Permanent Funding Sources, </v>
      </c>
      <c r="E361" s="23"/>
      <c r="F361" s="23"/>
      <c r="G361" s="1"/>
      <c r="H361" s="13"/>
      <c r="I361" s="1"/>
      <c r="J361" s="36"/>
      <c r="K361" s="42"/>
      <c r="L361" s="66"/>
      <c r="M361" s="66"/>
      <c r="N361" s="89"/>
      <c r="O361" s="87"/>
      <c r="P361" s="125" t="str">
        <f ca="1">IF(N(H362)&lt;0,"**","")</f>
        <v/>
      </c>
    </row>
    <row r="362" spans="1:17" ht="13.8" thickBot="1" x14ac:dyDescent="0.3">
      <c r="B362" s="30"/>
      <c r="C362" s="23"/>
      <c r="D362" s="26" t="str">
        <f>" less "&amp;B326&amp;" "&amp;C326&amp;"):"</f>
        <v xml:space="preserve"> less A. Total Development Costs):</v>
      </c>
      <c r="E362" s="23"/>
      <c r="F362" s="23"/>
      <c r="G362" s="30" t="s">
        <v>9</v>
      </c>
      <c r="H362" s="81" t="str">
        <f ca="1">IF(AND(N(H358)=0,N(H326)=0),"",N(H358)-N(H326))</f>
        <v/>
      </c>
      <c r="I362" s="1"/>
      <c r="J362" s="36" t="s">
        <v>94</v>
      </c>
      <c r="K362" s="66"/>
      <c r="L362" s="89"/>
      <c r="M362" s="89"/>
      <c r="N362" s="89"/>
      <c r="O362" s="87"/>
      <c r="P362" s="87"/>
      <c r="Q362" s="88" t="str">
        <f ca="1">IF(N(H362)=0,"Permanent Funding Sources are equal to Total Development Costs.",IF(N(H362)&lt;0,"There is a shortfall in Permanent Funding Sources which must be corrected.","There is a surplus of Permanent Funding Sources which is permitted at time of Application."))</f>
        <v>Permanent Funding Sources are equal to Total Development Costs.</v>
      </c>
    </row>
    <row r="363" spans="1:17" ht="13.8" thickTop="1" x14ac:dyDescent="0.25">
      <c r="B363" s="23"/>
      <c r="C363" s="23"/>
      <c r="D363" s="1"/>
      <c r="E363" s="23"/>
      <c r="F363" s="23"/>
      <c r="G363" s="46"/>
      <c r="H363" s="86"/>
      <c r="I363" s="1"/>
      <c r="J363" s="1"/>
      <c r="K363" s="66"/>
      <c r="L363" s="89"/>
      <c r="M363" s="89"/>
      <c r="N363" s="89"/>
      <c r="O363" s="87"/>
      <c r="P363" s="87"/>
    </row>
    <row r="364" spans="1:17" ht="13.8" thickBot="1" x14ac:dyDescent="0.3">
      <c r="B364" s="23" t="s">
        <v>93</v>
      </c>
      <c r="C364" s="86"/>
      <c r="D364" s="1"/>
      <c r="E364" s="1"/>
      <c r="F364" s="1"/>
      <c r="G364" s="1"/>
      <c r="H364" s="1"/>
      <c r="I364" s="1"/>
      <c r="J364" s="1"/>
      <c r="K364" s="1"/>
      <c r="L364" s="1"/>
      <c r="M364" s="1"/>
      <c r="N364" s="86"/>
      <c r="O364" s="87"/>
      <c r="P364" s="87"/>
    </row>
    <row r="365" spans="1:17" ht="3.75" customHeight="1" x14ac:dyDescent="0.25">
      <c r="A365" s="85"/>
      <c r="B365" s="92"/>
      <c r="C365" s="92"/>
      <c r="D365" s="92"/>
      <c r="E365" s="92"/>
      <c r="F365" s="92"/>
      <c r="G365" s="92"/>
      <c r="H365" s="92"/>
      <c r="I365" s="92"/>
      <c r="J365" s="92"/>
      <c r="K365" s="92"/>
      <c r="L365" s="92"/>
      <c r="M365" s="92"/>
      <c r="N365" s="92"/>
      <c r="O365" s="85"/>
      <c r="P365" s="85"/>
    </row>
    <row r="366" spans="1:17" x14ac:dyDescent="0.25">
      <c r="B366" s="64" t="str">
        <f>B$2</f>
        <v>RFA 2021-204 DEVELOPMENT COST PRO FORMA</v>
      </c>
      <c r="C366" s="86"/>
      <c r="D366" s="86"/>
      <c r="E366" s="86"/>
      <c r="F366" s="86"/>
      <c r="G366" s="86"/>
      <c r="H366" s="86"/>
      <c r="I366" s="86"/>
      <c r="J366" s="86"/>
      <c r="K366" s="89"/>
      <c r="L366" s="89"/>
      <c r="M366" s="89"/>
      <c r="N366" s="89"/>
      <c r="O366" s="87"/>
      <c r="P366" s="3" t="s">
        <v>250</v>
      </c>
    </row>
    <row r="367" spans="1:17" x14ac:dyDescent="0.25">
      <c r="B367" s="86"/>
      <c r="C367" s="86"/>
      <c r="D367" s="86"/>
      <c r="E367" s="86"/>
      <c r="F367" s="86"/>
      <c r="G367" s="86"/>
      <c r="H367" s="86"/>
      <c r="I367" s="86"/>
      <c r="J367" s="86"/>
      <c r="K367" s="86"/>
      <c r="L367" s="86"/>
      <c r="M367" s="86"/>
      <c r="N367" s="86"/>
    </row>
    <row r="368" spans="1:17" x14ac:dyDescent="0.25">
      <c r="B368" s="115" t="s">
        <v>230</v>
      </c>
      <c r="C368" s="115"/>
      <c r="D368" s="115"/>
      <c r="E368" s="115"/>
      <c r="F368" s="115"/>
      <c r="G368" s="115"/>
      <c r="H368" s="115"/>
      <c r="I368" s="115"/>
      <c r="J368" s="115"/>
      <c r="K368" s="115"/>
      <c r="L368" s="115"/>
      <c r="M368" s="115"/>
      <c r="N368" s="115"/>
      <c r="O368" s="115"/>
      <c r="P368" s="115"/>
    </row>
    <row r="369" spans="1:25" x14ac:dyDescent="0.25">
      <c r="B369" s="115" t="s">
        <v>261</v>
      </c>
      <c r="C369" s="115"/>
      <c r="D369" s="115"/>
      <c r="E369" s="115"/>
      <c r="F369" s="115"/>
      <c r="G369" s="115"/>
      <c r="H369" s="115"/>
      <c r="I369" s="115"/>
      <c r="J369" s="115"/>
      <c r="K369" s="115"/>
      <c r="L369" s="115"/>
      <c r="M369" s="115"/>
      <c r="N369" s="115"/>
      <c r="O369" s="115"/>
      <c r="P369" s="115"/>
    </row>
    <row r="370" spans="1:25" x14ac:dyDescent="0.25">
      <c r="B370" s="115" t="s">
        <v>262</v>
      </c>
      <c r="C370" s="115"/>
      <c r="D370" s="115"/>
      <c r="E370" s="115"/>
      <c r="F370" s="115"/>
      <c r="G370" s="115"/>
      <c r="H370" s="115"/>
      <c r="I370" s="115"/>
      <c r="J370" s="115"/>
      <c r="K370" s="115"/>
      <c r="L370" s="115"/>
      <c r="M370" s="115"/>
      <c r="N370" s="115"/>
      <c r="O370" s="115"/>
      <c r="P370" s="115"/>
    </row>
    <row r="371" spans="1:25" x14ac:dyDescent="0.25">
      <c r="B371" s="115" t="s">
        <v>263</v>
      </c>
      <c r="C371" s="115"/>
      <c r="D371" s="115"/>
      <c r="E371" s="115"/>
      <c r="F371" s="115"/>
      <c r="G371" s="115"/>
      <c r="H371" s="115"/>
      <c r="I371" s="115"/>
      <c r="J371" s="115"/>
      <c r="K371" s="115"/>
      <c r="L371" s="115"/>
      <c r="M371" s="115"/>
      <c r="N371" s="115"/>
      <c r="O371" s="115"/>
      <c r="P371" s="115"/>
    </row>
    <row r="372" spans="1:25" x14ac:dyDescent="0.25">
      <c r="B372" s="115" t="s">
        <v>264</v>
      </c>
      <c r="C372" s="115"/>
      <c r="D372" s="115"/>
      <c r="E372" s="115"/>
      <c r="F372" s="115"/>
      <c r="G372" s="115"/>
      <c r="H372" s="115"/>
      <c r="I372" s="115"/>
      <c r="J372" s="115"/>
      <c r="K372" s="115"/>
      <c r="L372" s="115"/>
      <c r="M372" s="115"/>
      <c r="N372" s="115"/>
      <c r="O372" s="115"/>
      <c r="P372" s="115"/>
    </row>
    <row r="373" spans="1:25" x14ac:dyDescent="0.25">
      <c r="B373" s="115" t="s">
        <v>265</v>
      </c>
      <c r="C373" s="86"/>
      <c r="D373" s="86"/>
      <c r="E373" s="86"/>
      <c r="F373" s="86"/>
      <c r="G373" s="86"/>
      <c r="H373" s="86"/>
      <c r="I373" s="86"/>
      <c r="J373" s="86"/>
      <c r="K373" s="86"/>
      <c r="L373" s="86"/>
      <c r="M373" s="86"/>
      <c r="N373" s="86"/>
    </row>
    <row r="374" spans="1:25" x14ac:dyDescent="0.25">
      <c r="B374" s="86"/>
      <c r="C374" s="86"/>
      <c r="D374" s="86"/>
      <c r="E374" s="86"/>
      <c r="F374" s="86"/>
      <c r="G374" s="86"/>
      <c r="H374" s="86"/>
      <c r="I374" s="86"/>
      <c r="J374" s="86"/>
      <c r="K374" s="86"/>
      <c r="L374" s="86"/>
      <c r="M374" s="86"/>
      <c r="N374" s="86"/>
    </row>
    <row r="375" spans="1:25" x14ac:dyDescent="0.25">
      <c r="B375" s="23" t="s">
        <v>176</v>
      </c>
      <c r="C375" s="86"/>
      <c r="D375" s="86"/>
      <c r="E375" s="86"/>
      <c r="F375" s="86"/>
      <c r="G375" s="86"/>
      <c r="H375" s="86"/>
      <c r="I375" s="86"/>
      <c r="J375" s="86"/>
      <c r="K375" s="89"/>
      <c r="L375" s="89"/>
      <c r="M375" s="89"/>
      <c r="N375" s="244" t="str">
        <f>IF(K377=E507,"",IF(OR(K377="Broward",K377="Miami-Dade",K377="Palm Beach"),"South Florida, ","Not in South Florida, ")&amp;IF(K380="Yes","Multiple Designations",IF(K35=F500,"",IF(OR(K35="New Construction (w/ or w/o Acquisition)",K35="Redevelopment (w/ or w/o Acquisition)"),"New Construction, ","Rehab, ")&amp;IF(K398=K500,"",IF(K398=K501,"Garden",IF(OR(K35="New Construction (w/ or w/o Acquisition)",K35="Redevelopment (w/ or w/o Acquisition)"),IF(K398=K502,"Mid-Rise","High-Rise"),"Non-Garden"))&amp;IF(OR(K35="Rehabilitation (w/ or w/o Acquisition)",K35="Preservation (w/ or w/o Acquisition)"),".",IF(OR(K402=C501,K398=K503),", ESSC.",IF(OR(K402=C502,AND(OR(K35="New Construction (w/ or w/o Acquisition)",K35="Redevelopment (w/ or w/o Acquisition)"),OR(K402=C500,K402=C503))),", Non-ESSC.","")))))))</f>
        <v/>
      </c>
    </row>
    <row r="376" spans="1:25" x14ac:dyDescent="0.25">
      <c r="B376" s="86"/>
      <c r="C376" s="86"/>
      <c r="D376" s="86"/>
      <c r="E376" s="86"/>
      <c r="F376" s="86"/>
      <c r="G376" s="86"/>
      <c r="H376" s="86"/>
      <c r="I376" s="86"/>
      <c r="J376" s="86"/>
      <c r="K376" s="89"/>
      <c r="L376" s="89"/>
      <c r="M376" s="89"/>
      <c r="N376" s="89"/>
    </row>
    <row r="377" spans="1:25" x14ac:dyDescent="0.25">
      <c r="B377" s="275" t="s">
        <v>86</v>
      </c>
      <c r="C377" s="86" t="s">
        <v>407</v>
      </c>
      <c r="D377" s="86"/>
      <c r="E377" s="86"/>
      <c r="F377" s="86"/>
      <c r="G377" s="86"/>
      <c r="H377" s="86"/>
      <c r="I377" s="86"/>
      <c r="J377" s="86"/>
      <c r="K377" s="425" t="s">
        <v>232</v>
      </c>
      <c r="L377" s="425"/>
      <c r="M377" s="425"/>
      <c r="N377" s="300" t="str">
        <f>IF(K377=E507,"","("&amp;VLOOKUP(K377,ELIData,2)&amp;" County)")</f>
        <v/>
      </c>
      <c r="Q377" s="201"/>
      <c r="S377" s="128"/>
    </row>
    <row r="378" spans="1:25" x14ac:dyDescent="0.25">
      <c r="B378" s="275"/>
      <c r="C378" s="86"/>
      <c r="D378" s="86"/>
      <c r="E378" s="86"/>
      <c r="F378" s="86"/>
      <c r="G378" s="86"/>
      <c r="H378" s="86"/>
      <c r="I378" s="86"/>
      <c r="J378" s="86"/>
      <c r="K378" s="375"/>
      <c r="L378" s="375"/>
      <c r="M378" s="375"/>
      <c r="N378" s="86"/>
    </row>
    <row r="379" spans="1:25" x14ac:dyDescent="0.25">
      <c r="B379" s="292" t="s">
        <v>84</v>
      </c>
      <c r="C379" s="88" t="s">
        <v>392</v>
      </c>
      <c r="N379" s="173"/>
      <c r="Q379" s="293"/>
      <c r="R379" s="293"/>
      <c r="S379" s="293"/>
      <c r="T379" s="293"/>
      <c r="U379" s="293"/>
      <c r="V379" s="293"/>
      <c r="W379" s="293"/>
      <c r="X379" s="293"/>
      <c r="Y379" s="293"/>
    </row>
    <row r="380" spans="1:25" x14ac:dyDescent="0.25">
      <c r="B380" s="292"/>
      <c r="D380" s="88" t="s">
        <v>408</v>
      </c>
      <c r="K380" s="395" t="s">
        <v>232</v>
      </c>
      <c r="L380" s="395"/>
      <c r="M380" s="395"/>
      <c r="N380" s="173"/>
      <c r="Q380" s="293"/>
      <c r="R380" s="293"/>
      <c r="S380" s="293"/>
      <c r="T380" s="293"/>
      <c r="U380" s="293"/>
      <c r="V380" s="293"/>
      <c r="W380" s="293"/>
      <c r="X380" s="293"/>
      <c r="Y380" s="293"/>
    </row>
    <row r="381" spans="1:25" ht="20.25" customHeight="1" x14ac:dyDescent="0.25">
      <c r="B381" s="292"/>
      <c r="D381" s="407" t="str">
        <f>IF(K380="&lt;select from menu&gt;","Please answer Item B.",IF(K380="Yes","*Please complete the Unit Count portion of the Blended Characterstic TDC PU Base Limitation table below, then move down to Item F.","*Blended Characteristic TDC PU Base Limitation table not required. Please move down to Item D."))</f>
        <v>Please answer Item B.</v>
      </c>
      <c r="E381" s="407"/>
      <c r="F381" s="407"/>
      <c r="G381" s="407"/>
      <c r="H381" s="407"/>
      <c r="I381" s="407"/>
      <c r="J381" s="407"/>
      <c r="K381" s="407"/>
      <c r="L381" s="407"/>
      <c r="M381" s="407"/>
      <c r="N381" s="407"/>
      <c r="S381" s="128"/>
    </row>
    <row r="382" spans="1:25" ht="14.25" customHeight="1" x14ac:dyDescent="0.25">
      <c r="B382" s="292"/>
      <c r="D382" s="407"/>
      <c r="E382" s="407"/>
      <c r="F382" s="407"/>
      <c r="G382" s="407"/>
      <c r="H382" s="407"/>
      <c r="I382" s="407"/>
      <c r="J382" s="407"/>
      <c r="K382" s="407"/>
      <c r="L382" s="407"/>
      <c r="M382" s="407"/>
      <c r="N382" s="407"/>
    </row>
    <row r="383" spans="1:25" customFormat="1" ht="9.75" customHeight="1" thickBot="1" x14ac:dyDescent="0.3">
      <c r="B383" s="276"/>
      <c r="D383" s="266"/>
      <c r="E383" s="266"/>
      <c r="F383" s="266"/>
      <c r="G383" s="266"/>
      <c r="H383" s="266"/>
      <c r="I383" s="266"/>
      <c r="J383" s="266"/>
      <c r="K383" s="266"/>
      <c r="L383" s="266"/>
      <c r="M383" s="266"/>
      <c r="N383" s="267"/>
    </row>
    <row r="384" spans="1:25" customFormat="1" ht="24.75" customHeight="1" x14ac:dyDescent="0.25">
      <c r="A384" s="264"/>
      <c r="B384" s="277"/>
      <c r="C384" s="262"/>
      <c r="D384" s="412" t="s">
        <v>410</v>
      </c>
      <c r="E384" s="413"/>
      <c r="F384" s="413"/>
      <c r="G384" s="413"/>
      <c r="H384" s="413"/>
      <c r="I384" s="413"/>
      <c r="J384" s="413"/>
      <c r="K384" s="413"/>
      <c r="L384" s="413"/>
      <c r="M384" s="413"/>
      <c r="N384" s="414"/>
      <c r="V384" s="252"/>
      <c r="W384" s="252"/>
      <c r="X384" s="253"/>
      <c r="Y384" s="252"/>
    </row>
    <row r="385" spans="1:27" customFormat="1" ht="48.75" customHeight="1" x14ac:dyDescent="0.25">
      <c r="A385" s="264"/>
      <c r="B385" s="278"/>
      <c r="C385" s="263"/>
      <c r="D385" s="306" t="s">
        <v>393</v>
      </c>
      <c r="E385" s="307"/>
      <c r="F385" s="307"/>
      <c r="G385" s="310" t="s">
        <v>394</v>
      </c>
      <c r="H385" s="311"/>
      <c r="I385" s="310" t="s">
        <v>395</v>
      </c>
      <c r="J385" s="312"/>
      <c r="K385" s="312"/>
      <c r="L385" s="310" t="s">
        <v>404</v>
      </c>
      <c r="M385" s="312"/>
      <c r="N385" s="315"/>
      <c r="V385" s="252"/>
      <c r="W385" s="252"/>
      <c r="X385" s="253"/>
      <c r="Y385" s="252"/>
    </row>
    <row r="386" spans="1:27" customFormat="1" ht="20.100000000000001" customHeight="1" x14ac:dyDescent="0.25">
      <c r="A386" s="264"/>
      <c r="B386" s="279"/>
      <c r="C386" s="261"/>
      <c r="D386" s="308" t="s">
        <v>396</v>
      </c>
      <c r="E386" s="309"/>
      <c r="F386" s="309"/>
      <c r="G386" s="313"/>
      <c r="H386" s="314"/>
      <c r="I386" s="419" t="str">
        <f>IF($K$380&lt;&gt;"Yes","",IF(G386="","",IF(K$377="&lt;select from menu&gt;","Needs County",IF(OR(K$377="Broward",K$377="Miami-Dade",K$377="Palm Beach"),N516,N509))))</f>
        <v/>
      </c>
      <c r="J386" s="420"/>
      <c r="K386" s="420"/>
      <c r="L386" s="320" t="str">
        <f>IF(OR(G$393="",G386="",K$377="&lt;select from menu&gt;",K380&lt;&gt;"Yes"),"",G386*I386/G$393)</f>
        <v/>
      </c>
      <c r="M386" s="321"/>
      <c r="N386" s="322"/>
    </row>
    <row r="387" spans="1:27" customFormat="1" ht="20.100000000000001" customHeight="1" x14ac:dyDescent="0.25">
      <c r="A387" s="264"/>
      <c r="B387" s="279"/>
      <c r="C387" s="261"/>
      <c r="D387" s="308" t="s">
        <v>397</v>
      </c>
      <c r="E387" s="309"/>
      <c r="F387" s="309"/>
      <c r="G387" s="313"/>
      <c r="H387" s="314"/>
      <c r="I387" s="320" t="str">
        <f>IF($K$380&lt;&gt;"Yes","",IF(G387="","",IF(K$377="&lt;select from menu&gt;","Needs County",IF(OR(K$377="Broward",K$377="Miami-Dade",K$377="Palm Beach"),N515,N508))))</f>
        <v/>
      </c>
      <c r="J387" s="321"/>
      <c r="K387" s="321"/>
      <c r="L387" s="320" t="str">
        <f>IF(OR(G$393="",G387="",K$377="&lt;select from menu&gt;",K380&lt;&gt;"Yes"),"",G387*I387/G$393)</f>
        <v/>
      </c>
      <c r="M387" s="321"/>
      <c r="N387" s="322"/>
    </row>
    <row r="388" spans="1:27" customFormat="1" ht="20.100000000000001" customHeight="1" x14ac:dyDescent="0.25">
      <c r="A388" s="264"/>
      <c r="B388" s="279"/>
      <c r="C388" s="261"/>
      <c r="D388" s="308" t="s">
        <v>398</v>
      </c>
      <c r="E388" s="309"/>
      <c r="F388" s="309"/>
      <c r="G388" s="313"/>
      <c r="H388" s="314"/>
      <c r="I388" s="320" t="str">
        <f>IF($K$380&lt;&gt;"Yes","",IF(G388="","",IF(K$377="&lt;select from menu&gt;","Needs County",IF(OR(K$377="Broward",K$377="Miami-Dade",K$377="Palm Beach"),N519,N512))))</f>
        <v/>
      </c>
      <c r="J388" s="321"/>
      <c r="K388" s="321"/>
      <c r="L388" s="320" t="str">
        <f>IF(OR(G$393="",G388="",K$377="&lt;select from menu&gt;",K380&lt;&gt;"Yes"),"",G388*I388/G$393)</f>
        <v/>
      </c>
      <c r="M388" s="321"/>
      <c r="N388" s="322"/>
    </row>
    <row r="389" spans="1:27" customFormat="1" ht="20.100000000000001" customHeight="1" x14ac:dyDescent="0.25">
      <c r="A389" s="264"/>
      <c r="B389" s="279"/>
      <c r="C389" s="261"/>
      <c r="D389" s="308" t="s">
        <v>399</v>
      </c>
      <c r="E389" s="309"/>
      <c r="F389" s="309"/>
      <c r="G389" s="313"/>
      <c r="H389" s="314"/>
      <c r="I389" s="320" t="str">
        <f>IF($K$380&lt;&gt;"Yes","",IF(G389="","",IF(K$377="&lt;select from menu&gt;","Needs County",IF(OR(K$377="Broward",K$377="Miami-Dade",K$377="Palm Beach"),N518,N511))))</f>
        <v/>
      </c>
      <c r="J389" s="321"/>
      <c r="K389" s="321"/>
      <c r="L389" s="320" t="str">
        <f>IF(OR(G$393="",G389="",K$377="&lt;select from menu&gt;",K380&lt;&gt;"Yes"),"",G389*I389/G$393)</f>
        <v/>
      </c>
      <c r="M389" s="321"/>
      <c r="N389" s="322"/>
      <c r="O389" s="255"/>
      <c r="P389" s="255"/>
      <c r="Q389" s="254"/>
      <c r="R389" s="254"/>
      <c r="S389" s="254"/>
      <c r="T389" s="254"/>
      <c r="U389" s="254"/>
      <c r="Z389" s="254"/>
      <c r="AA389" s="254"/>
    </row>
    <row r="390" spans="1:27" customFormat="1" ht="20.100000000000001" customHeight="1" x14ac:dyDescent="0.25">
      <c r="A390" s="264"/>
      <c r="B390" s="279"/>
      <c r="C390" s="261"/>
      <c r="D390" s="308" t="s">
        <v>400</v>
      </c>
      <c r="E390" s="309"/>
      <c r="F390" s="309"/>
      <c r="G390" s="313"/>
      <c r="H390" s="314"/>
      <c r="I390" s="320" t="str">
        <f>IF($K$380&lt;&gt;"Yes","",IF(G390="","",IF(K$377="&lt;select from menu&gt;","Needs County",IF(OR(K$377="Broward",K$377="Miami-Dade",K$377="Palm Beach"),N517,N510))))</f>
        <v/>
      </c>
      <c r="J390" s="321"/>
      <c r="K390" s="321"/>
      <c r="L390" s="323" t="str">
        <f>IF(OR(G$393="",G390="",K$377="&lt;select from menu&gt;",K380&lt;&gt;"Yes"),"",G390*I390/G$393)</f>
        <v/>
      </c>
      <c r="M390" s="324"/>
      <c r="N390" s="325"/>
      <c r="O390" s="257"/>
      <c r="P390" s="257"/>
      <c r="Q390" s="258"/>
      <c r="R390" s="258"/>
      <c r="S390" s="253"/>
      <c r="T390" s="258"/>
      <c r="U390" s="258"/>
      <c r="Z390" s="258"/>
      <c r="AA390" s="259"/>
    </row>
    <row r="391" spans="1:27" customFormat="1" ht="20.100000000000001" customHeight="1" x14ac:dyDescent="0.25">
      <c r="A391" s="264"/>
      <c r="B391" s="279"/>
      <c r="C391" s="261"/>
      <c r="D391" s="308" t="s">
        <v>401</v>
      </c>
      <c r="E391" s="309"/>
      <c r="F391" s="309"/>
      <c r="G391" s="313"/>
      <c r="H391" s="314"/>
      <c r="I391" s="320" t="str">
        <f>IF($K$380&lt;&gt;"Yes","",IF(G391="","",IF(K$377="&lt;select from menu&gt;","Needs County",IF(OR(K$377="Broward",K$377="Miami-Dade",K$377="Palm Beach"),N520,N513))))</f>
        <v/>
      </c>
      <c r="J391" s="321"/>
      <c r="K391" s="321"/>
      <c r="L391" s="323" t="str">
        <f>IF(OR(G$393="",G391="",K$377="&lt;select from menu&gt;",K380&lt;&gt;"Yes"),"",G391*I391/G$393)</f>
        <v/>
      </c>
      <c r="M391" s="324"/>
      <c r="N391" s="325"/>
      <c r="O391" s="260"/>
      <c r="P391" s="260"/>
      <c r="Q391" s="252"/>
      <c r="R391" s="252"/>
      <c r="S391" s="253"/>
      <c r="T391" s="252"/>
      <c r="U391" s="252"/>
      <c r="V391" s="252"/>
      <c r="W391" s="252"/>
      <c r="X391" s="253"/>
      <c r="Y391" s="252"/>
      <c r="Z391" s="252"/>
      <c r="AA391" s="256"/>
    </row>
    <row r="392" spans="1:27" customFormat="1" ht="20.100000000000001" customHeight="1" thickBot="1" x14ac:dyDescent="0.3">
      <c r="A392" s="264"/>
      <c r="B392" s="279"/>
      <c r="C392" s="261"/>
      <c r="D392" s="316" t="s">
        <v>402</v>
      </c>
      <c r="E392" s="317"/>
      <c r="F392" s="317"/>
      <c r="G392" s="415"/>
      <c r="H392" s="416"/>
      <c r="I392" s="408" t="str">
        <f>IF($K$380&lt;&gt;"Yes","",IF(G392="","",IF(K$377="&lt;select from menu&gt;","Needs County",IF(OR(K$377="Broward",K$377="Miami-Dade",K$377="Palm Beach"),N521,N514))))</f>
        <v/>
      </c>
      <c r="J392" s="409"/>
      <c r="K392" s="409"/>
      <c r="L392" s="326" t="str">
        <f>IF(OR(G$393="",G392="",K$377="&lt;select from menu&gt;",K380&lt;&gt;"Yes"),"",G392*I392/G$393)</f>
        <v/>
      </c>
      <c r="M392" s="327"/>
      <c r="N392" s="328"/>
      <c r="O392" s="260"/>
      <c r="P392" s="260"/>
      <c r="Q392" s="252"/>
      <c r="R392" s="252"/>
      <c r="S392" s="253"/>
      <c r="T392" s="252"/>
      <c r="U392" s="252"/>
      <c r="V392" s="252"/>
      <c r="W392" s="252"/>
      <c r="X392" s="253"/>
      <c r="Y392" s="252"/>
      <c r="Z392" s="252"/>
      <c r="AA392" s="256"/>
    </row>
    <row r="393" spans="1:27" customFormat="1" ht="30" customHeight="1" thickTop="1" thickBot="1" x14ac:dyDescent="0.3">
      <c r="A393" s="264"/>
      <c r="B393" s="280"/>
      <c r="C393" s="265"/>
      <c r="D393" s="318" t="s">
        <v>403</v>
      </c>
      <c r="E393" s="319"/>
      <c r="F393" s="319"/>
      <c r="G393" s="417" t="str">
        <f>IF(K380&lt;&gt;"Yes","",IF(SUM(G386:G392)&gt;0,SUM(G386:G392),""))</f>
        <v/>
      </c>
      <c r="H393" s="418"/>
      <c r="I393" s="410"/>
      <c r="J393" s="411"/>
      <c r="K393" s="411"/>
      <c r="L393" s="329" t="str">
        <f>IF(OR(G393="",K380&lt;&gt;"Yes"),"",SUM(L386:L392))</f>
        <v/>
      </c>
      <c r="M393" s="330"/>
      <c r="N393" s="331"/>
      <c r="Q393" s="305" t="str">
        <f>IF(OR(K380&lt;&gt;"Yes",AND(K380="Yes",G393="")),"",IF(K$36=G393,"","Total Unit Count does not match cell K36."))</f>
        <v/>
      </c>
      <c r="R393" s="305"/>
      <c r="S393" s="305"/>
    </row>
    <row r="394" spans="1:27" s="266" customFormat="1" ht="9.75" customHeight="1" x14ac:dyDescent="0.25">
      <c r="A394" s="269"/>
      <c r="B394" s="281"/>
      <c r="C394" s="270"/>
      <c r="D394" s="271"/>
      <c r="E394" s="271"/>
      <c r="F394" s="271"/>
      <c r="G394" s="272"/>
      <c r="H394" s="272"/>
      <c r="I394" s="273"/>
      <c r="J394" s="273"/>
      <c r="K394" s="273"/>
      <c r="L394" s="273"/>
      <c r="M394" s="273"/>
      <c r="N394" s="273"/>
      <c r="Q394" s="274"/>
      <c r="R394" s="274"/>
      <c r="S394" s="274"/>
    </row>
    <row r="395" spans="1:27" x14ac:dyDescent="0.25">
      <c r="B395" s="275" t="s">
        <v>61</v>
      </c>
      <c r="C395" s="421" t="str">
        <f>IF(K380="&lt;select from menu&gt;","Please answer Item B. above table.",IF(K380="Yes","You have selected multiple Development Categories / Types / ESS Designations. Please refer to table above.","You have indicated above on row 35 that the Development Category of the Proposed Development is……................................"))</f>
        <v>Please answer Item B. above table.</v>
      </c>
      <c r="D395" s="421"/>
      <c r="E395" s="421"/>
      <c r="F395" s="421"/>
      <c r="G395" s="421"/>
      <c r="H395" s="421"/>
      <c r="I395" s="86"/>
      <c r="J395" s="86"/>
      <c r="K395" s="175"/>
      <c r="L395" s="175"/>
      <c r="M395" s="175"/>
      <c r="N395" s="86"/>
    </row>
    <row r="396" spans="1:27" x14ac:dyDescent="0.25">
      <c r="B396" s="275"/>
      <c r="C396" s="421"/>
      <c r="D396" s="421"/>
      <c r="E396" s="421"/>
      <c r="F396" s="421"/>
      <c r="G396" s="421"/>
      <c r="H396" s="421"/>
      <c r="I396" s="86"/>
      <c r="J396" s="86"/>
      <c r="K396" s="372" t="str">
        <f>IF(OR(K380="Yes",K380="&lt;select from menu&gt;"),"",IF(K35=F500,"Need Dev Category",K35))</f>
        <v/>
      </c>
      <c r="L396" s="372"/>
      <c r="M396" s="372"/>
      <c r="N396" s="372"/>
    </row>
    <row r="397" spans="1:27" x14ac:dyDescent="0.25">
      <c r="B397" s="275"/>
      <c r="C397" s="86"/>
      <c r="D397" s="86"/>
      <c r="E397" s="86"/>
      <c r="F397" s="86"/>
      <c r="G397" s="86"/>
      <c r="H397" s="86"/>
      <c r="I397" s="86"/>
      <c r="J397" s="86"/>
      <c r="K397" s="175"/>
      <c r="L397" s="175"/>
      <c r="M397" s="175"/>
      <c r="N397" s="86"/>
    </row>
    <row r="398" spans="1:27" x14ac:dyDescent="0.25">
      <c r="B398" s="275" t="s">
        <v>62</v>
      </c>
      <c r="C398" s="422" t="str">
        <f>IF(K380="&lt;select from menu&gt;","Please answer Item B. above table.",IF(K380="Yes","You have selected multiple Development Categories / Types / ESS Designations. Please refer to table above.","What is the proposed Development's Development Type?.................................................................................................."))</f>
        <v>Please answer Item B. above table.</v>
      </c>
      <c r="D398" s="422"/>
      <c r="E398" s="422"/>
      <c r="F398" s="422"/>
      <c r="G398" s="422"/>
      <c r="H398" s="422"/>
      <c r="I398" s="86"/>
      <c r="J398" s="86"/>
      <c r="K398" s="367"/>
      <c r="L398" s="367"/>
      <c r="M398" s="367"/>
      <c r="N398" s="299" t="str">
        <f>IF(AND(K380="No",K398=""),"Select Dev Type","")</f>
        <v/>
      </c>
      <c r="Q398" s="424" t="s">
        <v>331</v>
      </c>
      <c r="R398" s="424"/>
      <c r="S398" s="424"/>
      <c r="T398" s="424"/>
      <c r="U398" s="424"/>
      <c r="V398" s="424"/>
    </row>
    <row r="399" spans="1:27" x14ac:dyDescent="0.25">
      <c r="B399" s="275"/>
      <c r="C399" s="422"/>
      <c r="D399" s="422"/>
      <c r="E399" s="422"/>
      <c r="F399" s="422"/>
      <c r="G399" s="422"/>
      <c r="H399" s="422"/>
      <c r="I399" s="86"/>
      <c r="J399" s="86"/>
      <c r="K399" s="375"/>
      <c r="L399" s="375"/>
      <c r="M399" s="375"/>
      <c r="N399" s="86"/>
      <c r="Q399" s="424"/>
      <c r="R399" s="424"/>
      <c r="S399" s="424"/>
      <c r="T399" s="424"/>
      <c r="U399" s="424"/>
      <c r="V399" s="424"/>
    </row>
    <row r="400" spans="1:27" x14ac:dyDescent="0.25">
      <c r="B400" s="275"/>
      <c r="C400" s="86"/>
      <c r="D400" s="86"/>
      <c r="E400" s="86"/>
      <c r="F400" s="86"/>
      <c r="G400" s="86"/>
      <c r="H400" s="86"/>
      <c r="I400" s="86"/>
      <c r="J400" s="86"/>
      <c r="K400" s="297"/>
      <c r="L400" s="297"/>
      <c r="M400" s="297"/>
      <c r="N400" s="86"/>
      <c r="Q400" s="298"/>
      <c r="R400" s="298"/>
      <c r="S400" s="298"/>
      <c r="T400" s="298"/>
      <c r="U400" s="298"/>
      <c r="V400" s="298"/>
    </row>
    <row r="401" spans="2:14" x14ac:dyDescent="0.25">
      <c r="B401" s="275" t="s">
        <v>63</v>
      </c>
      <c r="C401" s="422" t="str">
        <f>IF(K380="&lt;select from menu&gt;","Please answer Item B. above table.",IF(K380="Yes","You have selected multiple Development Categories / Types / ESS Designations. Please refer to table above.","Does the proposed Development qualify as Enhanced Structural Systems Construction (ESSC)?......................................................."))</f>
        <v>Please answer Item B. above table.</v>
      </c>
      <c r="D401" s="422"/>
      <c r="E401" s="422"/>
      <c r="F401" s="422"/>
      <c r="G401" s="422"/>
      <c r="H401" s="422"/>
      <c r="I401" s="86"/>
      <c r="J401" s="86"/>
      <c r="K401" s="371"/>
      <c r="L401" s="371"/>
      <c r="M401" s="371"/>
      <c r="N401" s="86"/>
    </row>
    <row r="402" spans="2:14" x14ac:dyDescent="0.25">
      <c r="B402" s="275"/>
      <c r="C402" s="422"/>
      <c r="D402" s="422"/>
      <c r="E402" s="422"/>
      <c r="F402" s="422"/>
      <c r="G402" s="422"/>
      <c r="H402" s="422"/>
      <c r="I402" s="86"/>
      <c r="J402" s="86"/>
      <c r="K402" s="367"/>
      <c r="L402" s="367"/>
      <c r="M402" s="367"/>
      <c r="N402" s="299" t="str">
        <f>IF(AND(K380="No",K396&lt;&gt;F504,K402=""),"Select ESSC Type","")</f>
        <v/>
      </c>
    </row>
    <row r="403" spans="2:14" x14ac:dyDescent="0.25">
      <c r="B403" s="275"/>
      <c r="C403" s="86"/>
      <c r="D403" s="86"/>
      <c r="E403" s="86"/>
      <c r="F403" s="86"/>
      <c r="G403" s="86"/>
      <c r="H403" s="86"/>
      <c r="I403" s="86"/>
      <c r="J403" s="86"/>
      <c r="K403" s="175"/>
      <c r="L403" s="175"/>
      <c r="M403" s="175"/>
      <c r="N403" s="86"/>
    </row>
    <row r="404" spans="2:14" x14ac:dyDescent="0.25">
      <c r="B404" s="275"/>
      <c r="C404" s="86" t="s">
        <v>409</v>
      </c>
      <c r="D404" s="86"/>
      <c r="E404" s="86"/>
      <c r="F404" s="86"/>
      <c r="G404" s="86"/>
      <c r="H404" s="86"/>
      <c r="I404" s="86"/>
      <c r="J404" s="86"/>
      <c r="K404" s="426" t="str">
        <f>IF(K380="Yes",L393,IF(K35=F500,"Need Dev Category",IF(K377=E507,"Need County",IF(K398=K500,"Need Dev Type",IF(AND(OR(K35="New Construction (w/ or w/o Acquisition)",K35="Redevelopment (w/ or w/o Acquisition)"),K402=C500),"ESSC?",IF(ISERROR(VLOOKUP(K506,K508:N521,4)),"",VLOOKUP(K506,K508:N521,4)))))))</f>
        <v>Need County</v>
      </c>
      <c r="L404" s="426"/>
      <c r="M404" s="426"/>
      <c r="N404" s="86"/>
    </row>
    <row r="405" spans="2:14" x14ac:dyDescent="0.25">
      <c r="B405" s="275"/>
      <c r="C405" s="86"/>
      <c r="D405" s="86"/>
      <c r="E405" s="86"/>
      <c r="F405" s="86"/>
      <c r="G405" s="86"/>
      <c r="H405" s="86"/>
      <c r="I405" s="86"/>
      <c r="J405" s="86"/>
      <c r="K405" s="366"/>
      <c r="L405" s="366"/>
      <c r="M405" s="366"/>
      <c r="N405" s="86"/>
    </row>
    <row r="406" spans="2:14" x14ac:dyDescent="0.25">
      <c r="B406" s="275" t="s">
        <v>64</v>
      </c>
      <c r="C406" s="86" t="s">
        <v>180</v>
      </c>
      <c r="D406" s="86"/>
      <c r="E406" s="86"/>
      <c r="F406" s="86"/>
      <c r="G406" s="86"/>
      <c r="H406" s="86"/>
      <c r="I406" s="86"/>
      <c r="J406" s="86"/>
      <c r="K406" s="146"/>
      <c r="L406" s="146"/>
      <c r="M406" s="146"/>
      <c r="N406" s="86"/>
    </row>
    <row r="407" spans="2:14" x14ac:dyDescent="0.25">
      <c r="B407" s="86"/>
      <c r="C407" s="86"/>
      <c r="D407" s="86"/>
      <c r="E407" s="86"/>
      <c r="F407" s="86"/>
      <c r="G407" s="86"/>
      <c r="H407" s="86"/>
      <c r="I407" s="86"/>
      <c r="J407" s="86"/>
      <c r="K407" s="366"/>
      <c r="L407" s="366"/>
      <c r="M407" s="366"/>
      <c r="N407" s="86"/>
    </row>
    <row r="408" spans="2:14" ht="12.75" customHeight="1" x14ac:dyDescent="0.25">
      <c r="B408" s="86"/>
      <c r="C408" s="86"/>
      <c r="D408" s="147">
        <f>MAX(D$407:D407)+1</f>
        <v>1</v>
      </c>
      <c r="E408" s="89" t="s">
        <v>322</v>
      </c>
      <c r="F408" s="86"/>
      <c r="G408" s="86"/>
      <c r="I408" s="86"/>
      <c r="J408" s="86"/>
      <c r="K408" s="367" t="s">
        <v>232</v>
      </c>
      <c r="L408" s="367"/>
      <c r="M408" s="367"/>
      <c r="N408" s="373" t="s">
        <v>238</v>
      </c>
    </row>
    <row r="409" spans="2:14" x14ac:dyDescent="0.25">
      <c r="B409" s="86"/>
      <c r="C409" s="86"/>
      <c r="D409" s="147"/>
      <c r="E409" s="86" t="s">
        <v>240</v>
      </c>
      <c r="F409" s="86"/>
      <c r="G409" s="86"/>
      <c r="I409" s="86"/>
      <c r="J409" s="86"/>
      <c r="K409" s="370" t="s">
        <v>141</v>
      </c>
      <c r="L409" s="370"/>
      <c r="M409" s="370"/>
      <c r="N409" s="373"/>
    </row>
    <row r="410" spans="2:14" x14ac:dyDescent="0.25">
      <c r="B410" s="86"/>
      <c r="C410" s="86"/>
      <c r="D410" s="147"/>
      <c r="E410" s="86" t="s">
        <v>241</v>
      </c>
      <c r="F410" s="86"/>
      <c r="G410" s="86"/>
      <c r="I410" s="86"/>
      <c r="J410" s="86"/>
      <c r="K410" s="370" t="s">
        <v>141</v>
      </c>
      <c r="L410" s="370"/>
      <c r="M410" s="370"/>
      <c r="N410" s="373"/>
    </row>
    <row r="411" spans="2:14" ht="8.1" customHeight="1" x14ac:dyDescent="0.25">
      <c r="B411" s="86"/>
      <c r="C411" s="86"/>
      <c r="D411" s="86"/>
      <c r="E411" s="86"/>
      <c r="F411" s="86"/>
      <c r="G411" s="86"/>
      <c r="I411" s="86"/>
      <c r="J411" s="86"/>
      <c r="K411" s="375"/>
      <c r="L411" s="375"/>
      <c r="M411" s="375"/>
      <c r="N411" s="86"/>
    </row>
    <row r="412" spans="2:14" x14ac:dyDescent="0.25">
      <c r="B412" s="86"/>
      <c r="C412" s="86"/>
      <c r="D412" s="147">
        <f>MAX(D$407:D411)+1</f>
        <v>2</v>
      </c>
      <c r="E412" s="86" t="s">
        <v>194</v>
      </c>
      <c r="F412" s="86"/>
      <c r="G412" s="86"/>
      <c r="I412" s="86"/>
      <c r="J412" s="86"/>
      <c r="K412" s="370" t="s">
        <v>141</v>
      </c>
      <c r="L412" s="370"/>
      <c r="M412" s="370"/>
      <c r="N412" s="148" t="s">
        <v>202</v>
      </c>
    </row>
    <row r="413" spans="2:14" ht="8.1" customHeight="1" x14ac:dyDescent="0.25">
      <c r="B413" s="86"/>
      <c r="C413" s="86"/>
      <c r="D413" s="86"/>
      <c r="E413" s="86"/>
      <c r="F413" s="86"/>
      <c r="G413" s="86"/>
      <c r="I413" s="86"/>
      <c r="J413" s="86"/>
      <c r="K413" s="375"/>
      <c r="L413" s="375"/>
      <c r="M413" s="375"/>
      <c r="N413" s="86"/>
    </row>
    <row r="414" spans="2:14" ht="12.75" customHeight="1" x14ac:dyDescent="0.25">
      <c r="B414" s="86"/>
      <c r="C414" s="86"/>
      <c r="D414" s="147">
        <f>MAX(D$407:D413)+1</f>
        <v>3</v>
      </c>
      <c r="E414" s="89" t="s">
        <v>190</v>
      </c>
      <c r="F414" s="86"/>
      <c r="G414" s="86"/>
      <c r="I414" s="86"/>
      <c r="J414" s="86"/>
      <c r="K414" s="406"/>
      <c r="L414" s="406"/>
      <c r="M414" s="406"/>
      <c r="N414" s="373" t="s">
        <v>252</v>
      </c>
    </row>
    <row r="415" spans="2:14" x14ac:dyDescent="0.25">
      <c r="B415" s="86"/>
      <c r="C415" s="86"/>
      <c r="D415" s="86"/>
      <c r="E415" s="89" t="s">
        <v>191</v>
      </c>
      <c r="F415" s="86"/>
      <c r="G415" s="86"/>
      <c r="I415" s="86"/>
      <c r="J415" s="86"/>
      <c r="K415" s="406"/>
      <c r="L415" s="406"/>
      <c r="M415" s="406"/>
      <c r="N415" s="373"/>
    </row>
    <row r="416" spans="2:14" ht="8.1" customHeight="1" x14ac:dyDescent="0.25">
      <c r="B416" s="86"/>
      <c r="C416" s="86"/>
      <c r="D416" s="86"/>
      <c r="E416" s="86"/>
      <c r="F416" s="86"/>
      <c r="G416" s="86"/>
      <c r="I416" s="86"/>
      <c r="J416" s="86"/>
      <c r="K416" s="375"/>
      <c r="L416" s="375"/>
      <c r="M416" s="375"/>
      <c r="N416" s="86"/>
    </row>
    <row r="417" spans="2:14" ht="12.75" customHeight="1" x14ac:dyDescent="0.25">
      <c r="B417" s="86"/>
      <c r="C417" s="86"/>
      <c r="D417" s="147">
        <f>MAX(D$407:D416)+1</f>
        <v>4</v>
      </c>
      <c r="E417" s="86" t="s">
        <v>284</v>
      </c>
      <c r="F417" s="86"/>
      <c r="G417" s="86"/>
      <c r="I417" s="86"/>
      <c r="J417" s="86"/>
      <c r="K417" s="370" t="s">
        <v>141</v>
      </c>
      <c r="L417" s="370"/>
      <c r="M417" s="370"/>
      <c r="N417" s="373" t="s">
        <v>238</v>
      </c>
    </row>
    <row r="418" spans="2:14" x14ac:dyDescent="0.25">
      <c r="B418" s="86"/>
      <c r="C418" s="86"/>
      <c r="D418" s="86"/>
      <c r="E418" s="86" t="s">
        <v>193</v>
      </c>
      <c r="F418" s="86"/>
      <c r="G418" s="86"/>
      <c r="I418" s="86"/>
      <c r="J418" s="86"/>
      <c r="K418" s="370" t="s">
        <v>141</v>
      </c>
      <c r="L418" s="370"/>
      <c r="M418" s="370"/>
      <c r="N418" s="373"/>
    </row>
    <row r="419" spans="2:14" x14ac:dyDescent="0.25">
      <c r="B419" s="86"/>
      <c r="C419" s="86"/>
      <c r="D419" s="86"/>
      <c r="E419" s="86" t="s">
        <v>320</v>
      </c>
      <c r="F419" s="86"/>
      <c r="G419" s="86"/>
      <c r="I419" s="86"/>
      <c r="J419" s="86"/>
      <c r="K419" s="370" t="s">
        <v>141</v>
      </c>
      <c r="L419" s="370"/>
      <c r="M419" s="370"/>
      <c r="N419" s="373"/>
    </row>
    <row r="420" spans="2:14" x14ac:dyDescent="0.25">
      <c r="B420" s="86"/>
      <c r="C420" s="86"/>
      <c r="D420" s="86"/>
      <c r="E420" s="86" t="s">
        <v>388</v>
      </c>
      <c r="F420" s="86"/>
      <c r="G420" s="86"/>
      <c r="I420" s="86"/>
      <c r="J420" s="86"/>
      <c r="K420" s="370" t="s">
        <v>141</v>
      </c>
      <c r="L420" s="370"/>
      <c r="M420" s="370"/>
      <c r="N420" s="373"/>
    </row>
    <row r="421" spans="2:14" ht="8.1" customHeight="1" x14ac:dyDescent="0.25">
      <c r="B421" s="86"/>
      <c r="C421" s="86"/>
      <c r="D421" s="86"/>
      <c r="E421" s="86"/>
      <c r="F421" s="86"/>
      <c r="G421" s="86"/>
      <c r="I421" s="86"/>
      <c r="J421" s="86"/>
      <c r="K421" s="375"/>
      <c r="L421" s="375"/>
      <c r="M421" s="375"/>
      <c r="N421" s="86"/>
    </row>
    <row r="422" spans="2:14" x14ac:dyDescent="0.25">
      <c r="B422" s="86"/>
      <c r="C422" s="86"/>
      <c r="D422" s="147">
        <f>MAX(D$407:D421)+1</f>
        <v>5</v>
      </c>
      <c r="E422" s="89" t="s">
        <v>181</v>
      </c>
      <c r="F422" s="86"/>
      <c r="G422" s="86"/>
      <c r="I422" s="86"/>
      <c r="J422" s="86"/>
      <c r="K422" s="367" t="s">
        <v>232</v>
      </c>
      <c r="L422" s="367"/>
      <c r="M422" s="367"/>
      <c r="N422" s="148" t="s">
        <v>202</v>
      </c>
    </row>
    <row r="423" spans="2:14" ht="8.1" customHeight="1" x14ac:dyDescent="0.25">
      <c r="B423" s="86"/>
      <c r="C423" s="86"/>
      <c r="D423" s="86"/>
      <c r="E423" s="86"/>
      <c r="F423" s="86"/>
      <c r="G423" s="86"/>
      <c r="H423" s="86"/>
      <c r="I423" s="86"/>
      <c r="J423" s="86"/>
      <c r="K423" s="375"/>
      <c r="L423" s="375"/>
      <c r="M423" s="375"/>
      <c r="N423" s="86"/>
    </row>
    <row r="424" spans="2:14" x14ac:dyDescent="0.25">
      <c r="B424" s="86"/>
      <c r="C424" s="86"/>
      <c r="D424" s="147">
        <f>MAX(D$407:D423)+1</f>
        <v>6</v>
      </c>
      <c r="E424" s="86" t="s">
        <v>243</v>
      </c>
      <c r="F424" s="86"/>
      <c r="G424" s="86"/>
      <c r="H424" s="86"/>
      <c r="I424" s="86"/>
      <c r="J424" s="86"/>
      <c r="K424" s="370" t="s">
        <v>141</v>
      </c>
      <c r="L424" s="370"/>
      <c r="M424" s="370"/>
      <c r="N424" s="373" t="s">
        <v>252</v>
      </c>
    </row>
    <row r="425" spans="2:14" x14ac:dyDescent="0.25">
      <c r="B425" s="86"/>
      <c r="C425" s="86"/>
      <c r="D425" s="86"/>
      <c r="E425" s="86" t="s">
        <v>242</v>
      </c>
      <c r="F425" s="86"/>
      <c r="G425" s="86"/>
      <c r="H425" s="86"/>
      <c r="I425" s="86"/>
      <c r="J425" s="86"/>
      <c r="K425" s="370" t="s">
        <v>141</v>
      </c>
      <c r="L425" s="370"/>
      <c r="M425" s="370"/>
      <c r="N425" s="373"/>
    </row>
    <row r="426" spans="2:14" ht="24.9" customHeight="1" x14ac:dyDescent="0.25">
      <c r="B426" s="86"/>
      <c r="C426" s="86"/>
      <c r="D426" s="86"/>
      <c r="E426" s="374" t="s">
        <v>275</v>
      </c>
      <c r="F426" s="374"/>
      <c r="G426" s="374"/>
      <c r="H426" s="374"/>
      <c r="I426" s="374"/>
      <c r="J426" s="374"/>
      <c r="K426" s="374"/>
      <c r="L426" s="374"/>
      <c r="M426" s="374"/>
      <c r="N426" s="197"/>
    </row>
    <row r="427" spans="2:14" x14ac:dyDescent="0.25">
      <c r="B427" s="86"/>
      <c r="C427" s="86"/>
      <c r="D427" s="86"/>
      <c r="E427" s="86"/>
      <c r="F427" s="86"/>
      <c r="G427" s="86"/>
      <c r="H427" s="86"/>
      <c r="I427" s="86"/>
      <c r="J427" s="86"/>
      <c r="K427" s="175"/>
      <c r="L427" s="175"/>
      <c r="M427" s="175"/>
      <c r="N427" s="86"/>
    </row>
    <row r="428" spans="2:14" x14ac:dyDescent="0.25">
      <c r="B428" s="86"/>
      <c r="C428" s="86" t="s">
        <v>182</v>
      </c>
      <c r="D428" s="86"/>
      <c r="E428" s="86"/>
      <c r="F428" s="86"/>
      <c r="G428" s="86"/>
      <c r="H428" s="86"/>
      <c r="I428" s="86"/>
      <c r="J428" s="86"/>
      <c r="K428" s="427" t="str">
        <f ca="1">IF(AND(CELL("type",K404)="v",N(K404)&gt;0),ROUND((K404+IF(OR(K408=C501,K409=C501,K410=C501),N523,0)+IF(K412=C501,N524,0))/IF(K414=C501,N525,1)/IF(K415=C501,N526,1)/IF(K417=C501,N527,1)/IF(K418=C501,N528,1)/IF(K419=C501,N529,1)/IF(K420=C501,N530,1)/IF(K422=C501,N531,1)/IF(K424=C501,N532,1)/IF(K425=C501,N533,1),2),"")</f>
        <v/>
      </c>
      <c r="L428" s="427"/>
      <c r="M428" s="427"/>
      <c r="N428" s="86"/>
    </row>
    <row r="429" spans="2:14" x14ac:dyDescent="0.25">
      <c r="B429" s="86"/>
      <c r="C429" s="86"/>
      <c r="D429" s="86"/>
      <c r="E429" s="86"/>
      <c r="F429" s="86"/>
      <c r="G429" s="86"/>
      <c r="H429" s="86"/>
      <c r="I429" s="86"/>
      <c r="J429" s="86"/>
      <c r="K429" s="375"/>
      <c r="L429" s="375"/>
      <c r="M429" s="375"/>
      <c r="N429" s="86"/>
    </row>
    <row r="430" spans="2:14" x14ac:dyDescent="0.25">
      <c r="B430" s="86"/>
      <c r="C430" s="149" t="s">
        <v>173</v>
      </c>
      <c r="D430" s="86"/>
      <c r="E430" s="86"/>
      <c r="F430" s="86"/>
      <c r="G430" s="86"/>
      <c r="H430" s="86"/>
      <c r="I430" s="86"/>
      <c r="J430" s="86"/>
      <c r="K430" s="86"/>
      <c r="L430" s="86"/>
      <c r="M430" s="86"/>
      <c r="N430" s="86"/>
    </row>
    <row r="431" spans="2:14" x14ac:dyDescent="0.25">
      <c r="B431" s="86"/>
      <c r="C431" s="86"/>
      <c r="D431" s="86"/>
      <c r="E431" s="86"/>
      <c r="F431" s="86"/>
      <c r="G431" s="86"/>
      <c r="H431" s="86"/>
      <c r="I431" s="86"/>
      <c r="J431" s="86"/>
      <c r="K431" s="366"/>
      <c r="L431" s="366"/>
      <c r="M431" s="366"/>
      <c r="N431" s="86"/>
    </row>
    <row r="432" spans="2:14" x14ac:dyDescent="0.25">
      <c r="B432" s="86"/>
      <c r="C432" s="86" t="s">
        <v>172</v>
      </c>
      <c r="D432" s="86"/>
      <c r="E432" s="86"/>
      <c r="F432" s="86"/>
      <c r="G432" s="86"/>
      <c r="H432" s="86"/>
      <c r="I432" s="86"/>
      <c r="J432" s="86"/>
      <c r="K432" s="376">
        <f ca="1">N(N198)</f>
        <v>0</v>
      </c>
      <c r="L432" s="376"/>
      <c r="M432" s="376"/>
      <c r="N432" s="86"/>
    </row>
    <row r="433" spans="2:17" x14ac:dyDescent="0.25">
      <c r="B433" s="86"/>
      <c r="C433" s="86"/>
      <c r="D433" s="86"/>
      <c r="E433" s="86"/>
      <c r="F433" s="86"/>
      <c r="G433" s="86"/>
      <c r="H433" s="86"/>
      <c r="I433" s="86"/>
      <c r="J433" s="86"/>
      <c r="K433" s="375"/>
      <c r="L433" s="375"/>
      <c r="M433" s="375"/>
      <c r="N433" s="86"/>
    </row>
    <row r="434" spans="2:17" x14ac:dyDescent="0.25">
      <c r="B434" s="86"/>
      <c r="C434" s="86" t="s">
        <v>374</v>
      </c>
      <c r="D434" s="86"/>
      <c r="E434" s="86"/>
      <c r="F434" s="86"/>
      <c r="G434" s="86"/>
      <c r="H434" s="86"/>
      <c r="I434" s="86"/>
      <c r="J434" s="86"/>
      <c r="K434" s="376">
        <f ca="1">IF(OR(K35=F503,K35=F504),N(N$174),0)</f>
        <v>0</v>
      </c>
      <c r="L434" s="376"/>
      <c r="M434" s="376"/>
      <c r="N434" s="239" t="str">
        <f>IF(OR(K35=F503,K35=F504),"","(Not Applicable)")</f>
        <v/>
      </c>
      <c r="Q434" s="238" t="str">
        <f>"In order to qualify for the removof of these costs, the response selected for Development Category in cell K35 must be either Rehabilitation or Preservation (w/ or w/o Acquisition)."</f>
        <v>In order to qualify for the removof of these costs, the response selected for Development Category in cell K35 must be either Rehabilitation or Preservation (w/ or w/o Acquisition).</v>
      </c>
    </row>
    <row r="435" spans="2:17" x14ac:dyDescent="0.25">
      <c r="B435" s="86"/>
      <c r="C435" s="86"/>
      <c r="D435" s="237"/>
      <c r="E435" s="86"/>
      <c r="F435" s="86"/>
      <c r="G435" s="86"/>
      <c r="H435" s="86"/>
      <c r="I435" s="86"/>
      <c r="J435" s="86"/>
      <c r="K435" s="236"/>
      <c r="L435" s="236"/>
      <c r="M435" s="236"/>
      <c r="N435" s="86"/>
    </row>
    <row r="436" spans="2:17" x14ac:dyDescent="0.25">
      <c r="B436" s="86"/>
      <c r="C436" s="86" t="s">
        <v>373</v>
      </c>
      <c r="D436" s="86"/>
      <c r="E436" s="86"/>
      <c r="F436" s="86"/>
      <c r="G436" s="86"/>
      <c r="H436" s="86"/>
      <c r="I436" s="86"/>
      <c r="J436" s="86"/>
      <c r="K436" s="376">
        <f ca="1">N(N196)</f>
        <v>0</v>
      </c>
      <c r="L436" s="376"/>
      <c r="M436" s="376"/>
      <c r="N436" s="86"/>
    </row>
    <row r="437" spans="2:17" x14ac:dyDescent="0.25">
      <c r="B437" s="86"/>
      <c r="C437" s="86"/>
      <c r="D437" s="86"/>
      <c r="E437" s="86"/>
      <c r="F437" s="86"/>
      <c r="G437" s="86"/>
      <c r="H437" s="86"/>
      <c r="I437" s="86"/>
      <c r="J437" s="86"/>
      <c r="K437" s="375"/>
      <c r="L437" s="375"/>
      <c r="M437" s="375"/>
      <c r="N437" s="86"/>
    </row>
    <row r="438" spans="2:17" x14ac:dyDescent="0.25">
      <c r="B438" s="86"/>
      <c r="C438" s="86" t="s">
        <v>171</v>
      </c>
      <c r="D438" s="86"/>
      <c r="E438" s="86"/>
      <c r="F438" s="86"/>
      <c r="G438" s="86"/>
      <c r="H438" s="86"/>
      <c r="I438" s="86"/>
      <c r="J438" s="86"/>
      <c r="K438" s="376">
        <f ca="1">N(N194)</f>
        <v>0</v>
      </c>
      <c r="L438" s="376"/>
      <c r="M438" s="376"/>
      <c r="N438" s="86"/>
    </row>
    <row r="439" spans="2:17" x14ac:dyDescent="0.25">
      <c r="B439" s="86"/>
      <c r="C439" s="86"/>
      <c r="D439" s="86"/>
      <c r="E439" s="86"/>
      <c r="F439" s="86"/>
      <c r="G439" s="86"/>
      <c r="H439" s="86"/>
      <c r="I439" s="86"/>
      <c r="J439" s="86"/>
      <c r="K439" s="375"/>
      <c r="L439" s="375"/>
      <c r="M439" s="375"/>
      <c r="N439" s="86"/>
    </row>
    <row r="440" spans="2:17" x14ac:dyDescent="0.25">
      <c r="B440" s="86"/>
      <c r="C440" s="86" t="s">
        <v>278</v>
      </c>
      <c r="D440" s="86"/>
      <c r="E440" s="86"/>
      <c r="F440" s="86"/>
      <c r="G440" s="86"/>
      <c r="H440" s="86"/>
      <c r="I440" s="86"/>
      <c r="J440" s="86"/>
      <c r="K440" s="376">
        <f>IF(K408=C501,N(N44)+N(N125),0)</f>
        <v>0</v>
      </c>
      <c r="L440" s="376"/>
      <c r="M440" s="376"/>
      <c r="N440" s="86"/>
      <c r="Q440" s="201" t="str">
        <f>"In order to qualify for the removal of of these costs, the response above on row "&amp;TEXT(ROW(E408),"0")&amp;" for ""1.(a) PHA is a Principal Add-On"" must indicate a ""Yes"" in column K."</f>
        <v>In order to qualify for the removal of of these costs, the response above on row 408 for "1.(a) PHA is a Principal Add-On" must indicate a "Yes" in column K.</v>
      </c>
    </row>
    <row r="441" spans="2:17" x14ac:dyDescent="0.25">
      <c r="B441" s="86"/>
      <c r="C441" s="86"/>
      <c r="D441" s="86"/>
      <c r="E441" s="86"/>
      <c r="F441" s="86"/>
      <c r="G441" s="86"/>
      <c r="H441" s="86"/>
      <c r="I441" s="86"/>
      <c r="J441" s="86"/>
      <c r="K441" s="175"/>
      <c r="L441" s="175"/>
      <c r="M441" s="175"/>
      <c r="N441" s="86"/>
    </row>
    <row r="442" spans="2:17" x14ac:dyDescent="0.25">
      <c r="B442" s="86"/>
      <c r="C442" s="89" t="s">
        <v>376</v>
      </c>
      <c r="D442" s="89"/>
      <c r="E442" s="89"/>
      <c r="F442" s="89"/>
      <c r="G442" s="89"/>
      <c r="H442" s="89"/>
      <c r="I442" s="89"/>
      <c r="J442" s="89"/>
      <c r="K442" s="377">
        <f ca="1">N(N46)</f>
        <v>0</v>
      </c>
      <c r="L442" s="377"/>
      <c r="M442" s="377"/>
      <c r="N442" s="86"/>
    </row>
    <row r="443" spans="2:17" x14ac:dyDescent="0.25">
      <c r="B443" s="86"/>
      <c r="C443" s="86"/>
      <c r="D443" s="86"/>
      <c r="E443" s="86"/>
      <c r="F443" s="86"/>
      <c r="G443" s="86"/>
      <c r="H443" s="86"/>
      <c r="I443" s="86"/>
      <c r="J443" s="86"/>
      <c r="K443" s="240"/>
      <c r="L443" s="240"/>
      <c r="M443" s="240"/>
      <c r="N443" s="86"/>
    </row>
    <row r="444" spans="2:17" x14ac:dyDescent="0.25">
      <c r="B444" s="86"/>
      <c r="C444" s="86" t="s">
        <v>174</v>
      </c>
      <c r="D444" s="86"/>
      <c r="E444" s="86"/>
      <c r="F444" s="86"/>
      <c r="G444" s="86"/>
      <c r="H444" s="86"/>
      <c r="I444" s="86"/>
      <c r="J444" s="86"/>
      <c r="K444" s="377">
        <f ca="1">K432-K434-K436-K438-K440-K442</f>
        <v>0</v>
      </c>
      <c r="L444" s="377"/>
      <c r="M444" s="377"/>
      <c r="N444" s="86"/>
    </row>
    <row r="445" spans="2:17" x14ac:dyDescent="0.25">
      <c r="B445" s="86"/>
      <c r="C445" s="86"/>
      <c r="D445" s="86"/>
      <c r="E445" s="86"/>
      <c r="F445" s="86"/>
      <c r="G445" s="86"/>
      <c r="H445" s="86"/>
      <c r="I445" s="86"/>
      <c r="J445" s="86"/>
      <c r="K445" s="375"/>
      <c r="L445" s="375"/>
      <c r="M445" s="375"/>
      <c r="N445" s="86"/>
    </row>
    <row r="446" spans="2:17" x14ac:dyDescent="0.25">
      <c r="B446" s="86"/>
      <c r="C446" s="86" t="s">
        <v>175</v>
      </c>
      <c r="D446" s="86"/>
      <c r="E446" s="86"/>
      <c r="F446" s="86"/>
      <c r="G446" s="86"/>
      <c r="H446" s="86"/>
      <c r="I446" s="86"/>
      <c r="J446" s="86"/>
      <c r="K446" s="376">
        <f>IF(N(K$36)=0,0,K444/N(K$36))</f>
        <v>0</v>
      </c>
      <c r="L446" s="376"/>
      <c r="M446" s="376"/>
      <c r="N446" s="174" t="str">
        <f>IF(N(K$36)=0,"(Need Units)","")</f>
        <v>(Need Units)</v>
      </c>
    </row>
    <row r="447" spans="2:17" x14ac:dyDescent="0.25">
      <c r="B447" s="86"/>
      <c r="C447" s="86"/>
      <c r="D447" s="86"/>
      <c r="E447" s="86"/>
      <c r="F447" s="86"/>
      <c r="G447" s="86"/>
      <c r="H447" s="86"/>
      <c r="I447" s="86"/>
      <c r="J447" s="86"/>
      <c r="K447" s="375"/>
      <c r="L447" s="375"/>
      <c r="M447" s="375"/>
      <c r="N447" s="86"/>
    </row>
    <row r="448" spans="2:17" x14ac:dyDescent="0.25">
      <c r="B448" s="86"/>
      <c r="C448" s="86" t="s">
        <v>224</v>
      </c>
      <c r="D448" s="86"/>
      <c r="E448" s="86"/>
      <c r="F448" s="86"/>
      <c r="G448" s="86"/>
      <c r="H448" s="86"/>
      <c r="I448" s="86"/>
      <c r="J448" s="86"/>
      <c r="K448" s="366" t="str">
        <f ca="1">IF(AND(N(K428)&gt;0,N(K446)&gt;0),IF(K446&lt;=K428,"Yes","No"),"TBD")</f>
        <v>TBD</v>
      </c>
      <c r="L448" s="366"/>
      <c r="M448" s="366"/>
      <c r="N448" s="86"/>
    </row>
    <row r="449" spans="1:17" x14ac:dyDescent="0.25">
      <c r="B449" s="86"/>
      <c r="C449" s="86"/>
      <c r="D449" s="86" t="s">
        <v>225</v>
      </c>
      <c r="E449" s="86"/>
      <c r="F449" s="86"/>
      <c r="G449" s="86"/>
      <c r="H449" s="86"/>
      <c r="I449" s="86"/>
      <c r="J449" s="86"/>
      <c r="K449" s="379"/>
      <c r="L449" s="379"/>
      <c r="M449" s="379"/>
      <c r="N449" s="86"/>
      <c r="P449" s="125" t="str">
        <f ca="1">IF(K448="No","**","")</f>
        <v/>
      </c>
    </row>
    <row r="450" spans="1:17" x14ac:dyDescent="0.25">
      <c r="B450" s="86"/>
      <c r="C450" s="86"/>
      <c r="D450" s="86"/>
      <c r="E450" s="86"/>
      <c r="F450" s="86"/>
      <c r="G450" s="86"/>
      <c r="H450" s="86"/>
      <c r="I450" s="86"/>
      <c r="J450" s="86"/>
      <c r="K450" s="86"/>
      <c r="L450" s="86"/>
      <c r="M450" s="86"/>
      <c r="N450" s="86"/>
    </row>
    <row r="451" spans="1:17" x14ac:dyDescent="0.25">
      <c r="B451" s="86"/>
      <c r="C451" s="423" t="str">
        <f>IF(OR(K35=F500,K377=E507,AND(G393="",K398=K500),AND(G393="",K402=C500)),"","[ "&amp;IF(AND(OR(K408=C501,K409=C501,K410=C501,K412=C501),OR(K414=C501,K415=C501,K417=C501,K418=C501,K419=C501,K420=C501,K422=C501,K424=C501,K425=C501)),"( ","")&amp;TEXT(N(K404),"$#,##0")&amp;" Base Limit"&amp;IF(OR(K408=C501,K409=C501,K410=C501)," + "&amp;TEXT(N(N523),"$#,##0")&amp;" Add-On","")&amp;IF(K412=C501," + "&amp;TEXT(N(N524),"$#,##0")&amp;" Add-On","")&amp;IF(AND(OR(K408=C501,K409=C501,K410=C501,K412=C501),OR(K414=C501,K415=C501,K417=C501,K418=C501,K419=C501,K420=C501,K422=C501,K424=C501,K425=C501))," )","")&amp;IF(K414=C501," / "&amp;TEXT(N(N525),"0%")&amp;" Multiplier","")&amp;IF(K415=C501," / "&amp;TEXT(N(N526),"0%")&amp;" Multiplier","")&amp;IF(K417=C501," / "&amp;TEXT(N(N527),"0%")&amp;" Multiplier","")&amp;IF(K418=C501," / "&amp;TEXT(N(N528),"0%")&amp;" Multiplier","")&amp;IF(K419=C501," / "&amp;TEXT(N(N529),"0%")&amp;" Multiplier","")&amp;IF(K420=C501," / "&amp;TEXT(N(N530),"0%")&amp;" Multiplier","")&amp;IF(K422=C501," / "&amp;TEXT(N(N531),"0%")&amp;" Multiplier","")&amp;IF(K424=C501," / "&amp;TEXT(N(N532),"0%")&amp;" Multiplier","")&amp;IF(K425=C501," / "&amp;TEXT(N(N533),"0%")&amp;" Multiplier","")&amp;" = "&amp;TEXT(K428,"$#,##0.00")&amp;" Total ]")</f>
        <v/>
      </c>
      <c r="D451" s="423"/>
      <c r="E451" s="423"/>
      <c r="F451" s="423"/>
      <c r="G451" s="423"/>
      <c r="H451" s="423"/>
      <c r="I451" s="423"/>
      <c r="J451" s="423"/>
      <c r="K451" s="423"/>
      <c r="L451" s="423"/>
      <c r="M451" s="423"/>
      <c r="N451" s="423"/>
      <c r="O451" s="423"/>
      <c r="P451" s="232"/>
    </row>
    <row r="452" spans="1:17" ht="13.8" thickBot="1" x14ac:dyDescent="0.3">
      <c r="B452" s="1"/>
      <c r="C452" s="233"/>
      <c r="D452" s="233"/>
      <c r="E452" s="233"/>
      <c r="F452" s="233"/>
      <c r="G452" s="233"/>
      <c r="H452" s="233"/>
      <c r="I452" s="233"/>
      <c r="J452" s="233"/>
      <c r="K452" s="233"/>
      <c r="L452" s="233"/>
      <c r="M452" s="233"/>
      <c r="N452" s="233"/>
      <c r="O452" s="233"/>
      <c r="P452" s="233"/>
    </row>
    <row r="453" spans="1:17" ht="3.75" customHeight="1" x14ac:dyDescent="0.25">
      <c r="A453" s="85"/>
      <c r="B453" s="92"/>
      <c r="C453" s="92"/>
      <c r="D453" s="92"/>
      <c r="E453" s="92"/>
      <c r="F453" s="92"/>
      <c r="G453" s="92"/>
      <c r="H453" s="92"/>
      <c r="I453" s="92"/>
      <c r="J453" s="92"/>
      <c r="K453" s="92"/>
      <c r="L453" s="92"/>
      <c r="M453" s="92"/>
      <c r="N453" s="92"/>
      <c r="O453" s="85"/>
      <c r="P453" s="85"/>
    </row>
    <row r="454" spans="1:17" x14ac:dyDescent="0.25">
      <c r="B454" s="64" t="str">
        <f>B$2</f>
        <v>RFA 2021-204 DEVELOPMENT COST PRO FORMA</v>
      </c>
      <c r="C454" s="86"/>
      <c r="D454" s="86"/>
      <c r="E454" s="86"/>
      <c r="F454" s="86"/>
      <c r="G454" s="86"/>
      <c r="H454" s="86"/>
      <c r="I454" s="86"/>
      <c r="J454" s="86"/>
      <c r="K454" s="89"/>
      <c r="L454" s="89"/>
      <c r="M454" s="89"/>
      <c r="N454" s="89"/>
      <c r="O454" s="87"/>
      <c r="P454" s="3" t="s">
        <v>251</v>
      </c>
    </row>
    <row r="455" spans="1:17" x14ac:dyDescent="0.25">
      <c r="B455" s="86"/>
      <c r="C455" s="86"/>
      <c r="D455" s="86"/>
      <c r="E455" s="86"/>
      <c r="F455" s="86"/>
      <c r="G455" s="86"/>
      <c r="H455" s="86"/>
      <c r="I455" s="86"/>
      <c r="J455" s="86"/>
      <c r="K455" s="86"/>
      <c r="L455" s="86"/>
      <c r="M455" s="86"/>
      <c r="N455" s="86"/>
    </row>
    <row r="456" spans="1:17" x14ac:dyDescent="0.25">
      <c r="B456" s="241" t="s">
        <v>377</v>
      </c>
      <c r="C456" s="242"/>
      <c r="D456" s="242"/>
      <c r="E456" s="242"/>
      <c r="F456" s="242"/>
      <c r="G456" s="242"/>
      <c r="H456" s="242"/>
      <c r="I456" s="242"/>
      <c r="J456" s="242"/>
      <c r="K456" s="242"/>
      <c r="L456" s="242"/>
      <c r="M456" s="242"/>
      <c r="N456" s="242"/>
      <c r="O456" s="242"/>
      <c r="P456" s="242"/>
      <c r="Q456" s="243"/>
    </row>
    <row r="457" spans="1:17" x14ac:dyDescent="0.25">
      <c r="B457" s="241" t="s">
        <v>378</v>
      </c>
      <c r="C457" s="242"/>
      <c r="D457" s="242"/>
      <c r="E457" s="242"/>
      <c r="F457" s="242"/>
      <c r="G457" s="242"/>
      <c r="H457" s="242"/>
      <c r="I457" s="242"/>
      <c r="J457" s="242"/>
      <c r="K457" s="242"/>
      <c r="L457" s="242"/>
      <c r="M457" s="242"/>
      <c r="N457" s="242"/>
      <c r="O457" s="242"/>
      <c r="P457" s="242"/>
      <c r="Q457" s="243"/>
    </row>
    <row r="458" spans="1:17" x14ac:dyDescent="0.25">
      <c r="B458" s="241" t="s">
        <v>327</v>
      </c>
      <c r="C458" s="242"/>
      <c r="D458" s="242"/>
      <c r="E458" s="242"/>
      <c r="F458" s="242"/>
      <c r="G458" s="242"/>
      <c r="H458" s="242"/>
      <c r="I458" s="242"/>
      <c r="J458" s="242"/>
      <c r="K458" s="242"/>
      <c r="L458" s="242"/>
      <c r="M458" s="242"/>
      <c r="N458" s="242"/>
      <c r="O458" s="242"/>
      <c r="P458" s="242"/>
      <c r="Q458" s="243"/>
    </row>
    <row r="459" spans="1:17" x14ac:dyDescent="0.25">
      <c r="B459" s="241" t="s">
        <v>328</v>
      </c>
      <c r="C459" s="242"/>
      <c r="D459" s="242"/>
      <c r="E459" s="242"/>
      <c r="F459" s="242"/>
      <c r="G459" s="242"/>
      <c r="H459" s="242"/>
      <c r="I459" s="242"/>
      <c r="J459" s="242"/>
      <c r="K459" s="242"/>
      <c r="L459" s="242"/>
      <c r="M459" s="242"/>
      <c r="N459" s="242"/>
      <c r="O459" s="242"/>
      <c r="P459" s="242"/>
      <c r="Q459" s="243"/>
    </row>
    <row r="460" spans="1:17" x14ac:dyDescent="0.25">
      <c r="B460" s="241" t="s">
        <v>329</v>
      </c>
      <c r="C460" s="242"/>
      <c r="D460" s="242"/>
      <c r="E460" s="242"/>
      <c r="F460" s="242"/>
      <c r="G460" s="242"/>
      <c r="H460" s="242"/>
      <c r="I460" s="242"/>
      <c r="J460" s="242"/>
      <c r="K460" s="242"/>
      <c r="L460" s="242"/>
      <c r="M460" s="242"/>
      <c r="N460" s="242"/>
      <c r="O460" s="242"/>
      <c r="P460" s="242"/>
      <c r="Q460" s="243"/>
    </row>
    <row r="461" spans="1:17" x14ac:dyDescent="0.25">
      <c r="B461" s="241" t="s">
        <v>330</v>
      </c>
      <c r="C461" s="89"/>
      <c r="D461" s="89"/>
      <c r="E461" s="89"/>
      <c r="F461" s="89"/>
      <c r="G461" s="89"/>
      <c r="H461" s="89"/>
      <c r="I461" s="89"/>
      <c r="J461" s="89"/>
      <c r="K461" s="89"/>
      <c r="L461" s="89"/>
      <c r="M461" s="89"/>
      <c r="N461" s="89"/>
      <c r="O461" s="89"/>
      <c r="P461" s="89"/>
      <c r="Q461" s="243"/>
    </row>
    <row r="462" spans="1:17" x14ac:dyDescent="0.25">
      <c r="B462" s="241" t="str">
        <f>"criteria. "</f>
        <v xml:space="preserve">criteria. </v>
      </c>
      <c r="C462" s="89"/>
      <c r="D462" s="89"/>
      <c r="E462" s="89"/>
      <c r="F462" s="89"/>
      <c r="G462" s="89"/>
      <c r="H462" s="89"/>
      <c r="I462" s="89"/>
      <c r="J462" s="89"/>
      <c r="K462" s="89"/>
      <c r="L462" s="89"/>
      <c r="M462" s="89"/>
      <c r="N462" s="89"/>
      <c r="O462" s="89"/>
      <c r="P462" s="89"/>
      <c r="Q462" s="243"/>
    </row>
    <row r="463" spans="1:17" x14ac:dyDescent="0.25">
      <c r="B463" s="242"/>
      <c r="C463" s="89"/>
      <c r="D463" s="89"/>
      <c r="E463" s="89"/>
      <c r="F463" s="89"/>
      <c r="G463" s="89"/>
      <c r="H463" s="89"/>
      <c r="I463" s="89"/>
      <c r="J463" s="89"/>
      <c r="K463" s="89"/>
      <c r="L463" s="89"/>
      <c r="M463" s="89"/>
      <c r="N463" s="89"/>
      <c r="O463" s="89"/>
      <c r="P463" s="89"/>
      <c r="Q463" s="243"/>
    </row>
    <row r="464" spans="1:17" x14ac:dyDescent="0.25">
      <c r="B464" s="64" t="s">
        <v>253</v>
      </c>
      <c r="C464" s="89"/>
      <c r="D464" s="89"/>
      <c r="E464" s="89"/>
      <c r="F464" s="89"/>
      <c r="G464" s="89"/>
      <c r="H464" s="89"/>
      <c r="I464" s="89"/>
      <c r="J464" s="89"/>
      <c r="K464" s="89"/>
      <c r="L464" s="89"/>
      <c r="M464" s="89"/>
      <c r="N464" s="244"/>
      <c r="O464" s="243"/>
      <c r="P464" s="243"/>
      <c r="Q464" s="243"/>
    </row>
    <row r="465" spans="2:17" x14ac:dyDescent="0.25">
      <c r="B465" s="89"/>
      <c r="C465" s="89"/>
      <c r="D465" s="89"/>
      <c r="E465" s="89"/>
      <c r="F465" s="89"/>
      <c r="G465" s="89"/>
      <c r="H465" s="89"/>
      <c r="I465" s="89"/>
      <c r="J465" s="89"/>
      <c r="K465" s="89"/>
      <c r="L465" s="89"/>
      <c r="M465" s="89"/>
      <c r="N465" s="89"/>
      <c r="O465" s="243"/>
      <c r="P465" s="243"/>
      <c r="Q465" s="243"/>
    </row>
    <row r="466" spans="2:17" ht="13.8" thickBot="1" x14ac:dyDescent="0.3">
      <c r="B466" s="86"/>
      <c r="C466" s="86"/>
      <c r="D466" s="86"/>
      <c r="E466" s="86"/>
      <c r="F466" s="176" t="s">
        <v>256</v>
      </c>
      <c r="H466" s="176" t="s">
        <v>254</v>
      </c>
      <c r="I466" s="86"/>
      <c r="J466" s="86"/>
      <c r="K466" s="176" t="s">
        <v>255</v>
      </c>
      <c r="L466" s="86"/>
      <c r="M466" s="86"/>
      <c r="N466" s="86"/>
    </row>
    <row r="467" spans="2:17" ht="5.25" customHeight="1" x14ac:dyDescent="0.25">
      <c r="B467" s="86"/>
      <c r="C467" s="86"/>
      <c r="D467" s="86"/>
      <c r="E467" s="86"/>
      <c r="F467" s="177"/>
      <c r="G467" s="86"/>
      <c r="H467" s="86"/>
      <c r="I467" s="86"/>
      <c r="J467" s="86"/>
      <c r="K467" s="177"/>
      <c r="L467" s="86"/>
      <c r="M467" s="86"/>
      <c r="N467" s="86"/>
    </row>
    <row r="468" spans="2:17" ht="18" customHeight="1" x14ac:dyDescent="0.25">
      <c r="B468" s="180"/>
      <c r="C468" s="180"/>
      <c r="D468" s="180"/>
      <c r="E468" s="180"/>
      <c r="F468" s="183">
        <v>0.2</v>
      </c>
      <c r="G468" s="184"/>
      <c r="H468" s="178"/>
      <c r="I468" s="184"/>
      <c r="J468" s="184"/>
      <c r="K468" s="187">
        <f>IF(H$480=0,0,H468/H$480)</f>
        <v>0</v>
      </c>
      <c r="L468" s="86"/>
      <c r="M468" s="86"/>
      <c r="N468" s="86"/>
    </row>
    <row r="469" spans="2:17" ht="18" customHeight="1" x14ac:dyDescent="0.25">
      <c r="B469" s="180"/>
      <c r="C469" s="180"/>
      <c r="D469" s="180"/>
      <c r="E469" s="198" t="s">
        <v>276</v>
      </c>
      <c r="F469" s="185">
        <v>0.3</v>
      </c>
      <c r="G469" s="186"/>
      <c r="H469" s="179"/>
      <c r="I469" s="186"/>
      <c r="J469" s="186"/>
      <c r="K469" s="188">
        <f t="shared" ref="K469:K474" si="0">IF(H$480=0,0,H469/H$480)</f>
        <v>0</v>
      </c>
      <c r="L469" s="196"/>
      <c r="M469" s="196"/>
      <c r="N469" s="86"/>
      <c r="Q469" s="207" t="str">
        <f>IF(AND(K469+K468&lt;$H$577,H480&gt;0),"Income Averaging Test requires a minimum of "&amp;TEXT($H$577,"0%")&amp;" of total units set-aside at 30% AMI or less.","")</f>
        <v/>
      </c>
    </row>
    <row r="470" spans="2:17" ht="18" customHeight="1" x14ac:dyDescent="0.25">
      <c r="B470" s="180"/>
      <c r="C470" s="180"/>
      <c r="D470" s="180"/>
      <c r="E470" s="180"/>
      <c r="F470" s="185">
        <v>0.4</v>
      </c>
      <c r="G470" s="186"/>
      <c r="H470" s="179"/>
      <c r="I470" s="186"/>
      <c r="J470" s="186"/>
      <c r="K470" s="188">
        <f t="shared" si="0"/>
        <v>0</v>
      </c>
      <c r="L470" s="86"/>
      <c r="M470" s="86"/>
      <c r="N470" s="86"/>
    </row>
    <row r="471" spans="2:17" ht="18" customHeight="1" x14ac:dyDescent="0.25">
      <c r="B471" s="180"/>
      <c r="C471" s="180"/>
      <c r="D471" s="180"/>
      <c r="E471" s="180"/>
      <c r="F471" s="185">
        <v>0.5</v>
      </c>
      <c r="G471" s="186"/>
      <c r="H471" s="179"/>
      <c r="I471" s="186"/>
      <c r="J471" s="186"/>
      <c r="K471" s="188">
        <f t="shared" si="0"/>
        <v>0</v>
      </c>
      <c r="L471" s="86"/>
      <c r="M471" s="86"/>
      <c r="N471" s="86"/>
    </row>
    <row r="472" spans="2:17" ht="18" customHeight="1" x14ac:dyDescent="0.25">
      <c r="B472" s="180"/>
      <c r="C472" s="180"/>
      <c r="D472" s="180"/>
      <c r="E472" s="180"/>
      <c r="F472" s="185">
        <v>0.6</v>
      </c>
      <c r="G472" s="186"/>
      <c r="H472" s="179"/>
      <c r="I472" s="186"/>
      <c r="J472" s="186"/>
      <c r="K472" s="188">
        <f t="shared" si="0"/>
        <v>0</v>
      </c>
      <c r="L472" s="86"/>
      <c r="M472" s="86"/>
      <c r="N472" s="86"/>
    </row>
    <row r="473" spans="2:17" ht="18" customHeight="1" x14ac:dyDescent="0.25">
      <c r="B473" s="180"/>
      <c r="C473" s="180"/>
      <c r="D473" s="180"/>
      <c r="E473" s="180"/>
      <c r="F473" s="185">
        <v>0.7</v>
      </c>
      <c r="G473" s="186"/>
      <c r="H473" s="179"/>
      <c r="I473" s="186"/>
      <c r="J473" s="186"/>
      <c r="K473" s="188">
        <f t="shared" si="0"/>
        <v>0</v>
      </c>
      <c r="L473" s="86"/>
      <c r="M473" s="86"/>
      <c r="N473" s="86"/>
    </row>
    <row r="474" spans="2:17" ht="18" customHeight="1" x14ac:dyDescent="0.25">
      <c r="B474" s="180"/>
      <c r="C474" s="180"/>
      <c r="D474" s="180"/>
      <c r="E474" s="180"/>
      <c r="F474" s="185">
        <v>0.8</v>
      </c>
      <c r="G474" s="186"/>
      <c r="H474" s="179"/>
      <c r="I474" s="186"/>
      <c r="J474" s="186"/>
      <c r="K474" s="188">
        <f t="shared" si="0"/>
        <v>0</v>
      </c>
      <c r="L474" s="86"/>
      <c r="M474" s="86"/>
      <c r="N474" s="86"/>
    </row>
    <row r="475" spans="2:17" ht="5.25" customHeight="1" x14ac:dyDescent="0.25">
      <c r="B475" s="86"/>
      <c r="C475" s="86"/>
      <c r="D475" s="86"/>
      <c r="E475" s="86"/>
      <c r="F475" s="177"/>
      <c r="G475" s="177"/>
      <c r="H475" s="177"/>
      <c r="I475" s="177"/>
      <c r="J475" s="177"/>
      <c r="K475" s="177"/>
      <c r="L475" s="86"/>
      <c r="M475" s="394" t="s">
        <v>266</v>
      </c>
      <c r="N475" s="394"/>
      <c r="O475" s="394"/>
      <c r="P475" s="394"/>
    </row>
    <row r="476" spans="2:17" ht="18" customHeight="1" thickBot="1" x14ac:dyDescent="0.3">
      <c r="B476" s="86"/>
      <c r="C476" s="86"/>
      <c r="D476" s="193"/>
      <c r="E476" s="193"/>
      <c r="F476" s="192" t="s">
        <v>260</v>
      </c>
      <c r="G476" s="184"/>
      <c r="H476" s="181">
        <f>SUM(H468:H475)</f>
        <v>0</v>
      </c>
      <c r="I476" s="184"/>
      <c r="J476" s="184"/>
      <c r="K476" s="190">
        <f>IF(H$480=0,0,H476/H$480)</f>
        <v>0</v>
      </c>
      <c r="L476" s="86"/>
      <c r="M476" s="394"/>
      <c r="N476" s="394"/>
      <c r="O476" s="394"/>
      <c r="P476" s="394"/>
    </row>
    <row r="477" spans="2:17" ht="5.25" customHeight="1" x14ac:dyDescent="0.25">
      <c r="B477" s="86"/>
      <c r="C477" s="86"/>
      <c r="D477" s="86"/>
      <c r="E477" s="86"/>
      <c r="F477" s="177"/>
      <c r="G477" s="177"/>
      <c r="H477" s="177"/>
      <c r="I477" s="177"/>
      <c r="J477" s="177"/>
      <c r="K477" s="177"/>
      <c r="L477" s="86"/>
      <c r="M477" s="394"/>
      <c r="N477" s="394"/>
      <c r="O477" s="394"/>
      <c r="P477" s="394"/>
    </row>
    <row r="478" spans="2:17" ht="18" customHeight="1" x14ac:dyDescent="0.25">
      <c r="B478" s="86"/>
      <c r="C478" s="86"/>
      <c r="D478" s="193"/>
      <c r="E478" s="193"/>
      <c r="F478" s="192" t="s">
        <v>257</v>
      </c>
      <c r="G478" s="184"/>
      <c r="H478" s="178"/>
      <c r="I478" s="184"/>
      <c r="J478" s="184"/>
      <c r="K478" s="187">
        <f>IF(H$480=0,0,H478/H$480)</f>
        <v>0</v>
      </c>
      <c r="L478" s="86"/>
      <c r="M478" s="86"/>
      <c r="N478" s="86"/>
    </row>
    <row r="479" spans="2:17" ht="5.25" customHeight="1" thickBot="1" x14ac:dyDescent="0.3">
      <c r="B479" s="86"/>
      <c r="C479" s="86"/>
      <c r="D479" s="86"/>
      <c r="E479" s="86"/>
      <c r="F479" s="177"/>
      <c r="G479" s="177"/>
      <c r="H479" s="177"/>
      <c r="I479" s="177"/>
      <c r="J479" s="177"/>
      <c r="K479" s="177"/>
      <c r="L479" s="86"/>
      <c r="M479" s="394" t="str">
        <f>IF(H480&gt;0,IF(H480=K$36,"(Total Units here matches the Total Units entered on row 33 above)","(Total Units here does NOT match the Total Units entered on row 33 above)"),"")</f>
        <v/>
      </c>
      <c r="N479" s="394"/>
      <c r="O479" s="394"/>
      <c r="P479" s="394"/>
    </row>
    <row r="480" spans="2:17" ht="18" customHeight="1" thickBot="1" x14ac:dyDescent="0.3">
      <c r="B480" s="86"/>
      <c r="C480" s="86"/>
      <c r="D480" s="193"/>
      <c r="E480" s="193"/>
      <c r="F480" s="192" t="s">
        <v>258</v>
      </c>
      <c r="G480" s="184"/>
      <c r="H480" s="182">
        <f>H476+H478</f>
        <v>0</v>
      </c>
      <c r="I480" s="184"/>
      <c r="J480" s="184"/>
      <c r="K480" s="191">
        <f>IF(H$480=0,0,H480/H$480)</f>
        <v>0</v>
      </c>
      <c r="L480" s="86"/>
      <c r="M480" s="394"/>
      <c r="N480" s="394"/>
      <c r="O480" s="394"/>
      <c r="P480" s="394"/>
    </row>
    <row r="481" spans="2:16" ht="5.25" customHeight="1" thickTop="1" thickBot="1" x14ac:dyDescent="0.3">
      <c r="B481" s="86"/>
      <c r="C481" s="86"/>
      <c r="D481" s="86"/>
      <c r="E481" s="86"/>
      <c r="F481" s="177"/>
      <c r="G481" s="177"/>
      <c r="H481" s="177"/>
      <c r="I481" s="177"/>
      <c r="J481" s="177"/>
      <c r="K481" s="177"/>
      <c r="L481" s="86"/>
      <c r="M481" s="394"/>
      <c r="N481" s="394"/>
      <c r="O481" s="394"/>
      <c r="P481" s="394"/>
    </row>
    <row r="482" spans="2:16" ht="24.9" customHeight="1" thickBot="1" x14ac:dyDescent="0.3">
      <c r="B482" s="86"/>
      <c r="C482" s="86"/>
      <c r="D482" s="392" t="s">
        <v>259</v>
      </c>
      <c r="E482" s="393"/>
      <c r="F482" s="393"/>
      <c r="G482" s="194"/>
      <c r="H482" s="195">
        <f>IF(H476=0,0,SUMPRODUCT(F468:F474,H468:H474)/H476)</f>
        <v>0</v>
      </c>
      <c r="I482" s="86"/>
      <c r="J482" s="86"/>
      <c r="K482" s="189" t="str">
        <f>IF(H482=60%,"(equal to 60% maximum)",IF(AND(H482&lt;60%,H482&gt;0%),"(less than 60% maximum)",IF(H482&gt;60%,"(greater than 60% maximum)","")))</f>
        <v/>
      </c>
      <c r="L482" s="86"/>
      <c r="M482" s="86"/>
      <c r="N482" s="86"/>
    </row>
    <row r="483" spans="2:16" x14ac:dyDescent="0.25">
      <c r="B483" s="86"/>
      <c r="C483" s="86"/>
      <c r="D483" s="86"/>
      <c r="E483" s="86"/>
      <c r="F483" s="86"/>
      <c r="G483" s="86"/>
      <c r="H483" s="86"/>
      <c r="I483" s="86"/>
      <c r="J483" s="86"/>
      <c r="K483" s="86"/>
      <c r="L483" s="86"/>
      <c r="M483" s="86"/>
      <c r="N483" s="86"/>
    </row>
    <row r="484" spans="2:16" x14ac:dyDescent="0.25">
      <c r="B484" s="86"/>
      <c r="C484" s="86"/>
      <c r="D484" s="86"/>
      <c r="E484" s="86"/>
      <c r="F484" s="86"/>
      <c r="G484" s="86"/>
      <c r="H484" s="86"/>
      <c r="I484" s="86"/>
      <c r="J484" s="86"/>
      <c r="K484" s="86"/>
      <c r="L484" s="86"/>
      <c r="M484" s="86"/>
      <c r="N484" s="86"/>
    </row>
    <row r="485" spans="2:16" x14ac:dyDescent="0.25">
      <c r="B485" s="86"/>
      <c r="C485" s="86"/>
      <c r="D485" s="86"/>
      <c r="E485" s="86"/>
      <c r="F485" s="86"/>
      <c r="G485" s="86"/>
      <c r="H485" s="86"/>
      <c r="I485" s="86"/>
      <c r="J485" s="86"/>
      <c r="K485" s="86"/>
      <c r="L485" s="86"/>
      <c r="M485" s="86"/>
      <c r="N485" s="86"/>
    </row>
    <row r="486" spans="2:16" x14ac:dyDescent="0.25">
      <c r="B486" s="86"/>
      <c r="C486" s="86"/>
      <c r="D486" s="86"/>
      <c r="E486" s="86"/>
      <c r="F486" s="86"/>
      <c r="G486" s="86"/>
      <c r="H486" s="86"/>
      <c r="I486" s="86"/>
      <c r="J486" s="86"/>
      <c r="K486" s="86"/>
      <c r="L486" s="86"/>
      <c r="M486" s="86"/>
      <c r="N486" s="86"/>
    </row>
    <row r="487" spans="2:16" x14ac:dyDescent="0.25">
      <c r="B487" s="86"/>
      <c r="C487" s="86"/>
      <c r="D487" s="86"/>
      <c r="E487" s="86"/>
      <c r="F487" s="86"/>
      <c r="G487" s="86"/>
      <c r="H487" s="86"/>
      <c r="I487" s="86"/>
      <c r="J487" s="86"/>
      <c r="K487" s="86"/>
      <c r="L487" s="86"/>
      <c r="M487" s="86"/>
      <c r="N487" s="86"/>
    </row>
    <row r="488" spans="2:16" x14ac:dyDescent="0.25">
      <c r="B488" s="86"/>
      <c r="C488" s="86"/>
      <c r="D488" s="86"/>
      <c r="E488" s="86"/>
      <c r="F488" s="86"/>
      <c r="G488" s="86"/>
      <c r="H488" s="86"/>
      <c r="I488" s="86"/>
      <c r="J488" s="86"/>
      <c r="K488" s="86"/>
      <c r="L488" s="86"/>
      <c r="M488" s="86"/>
      <c r="N488" s="86"/>
    </row>
    <row r="489" spans="2:16" x14ac:dyDescent="0.25">
      <c r="B489" s="86"/>
      <c r="C489" s="86"/>
      <c r="D489" s="86"/>
      <c r="E489" s="86"/>
      <c r="F489" s="86"/>
      <c r="G489" s="86"/>
      <c r="H489" s="86"/>
      <c r="I489" s="86"/>
      <c r="J489" s="86"/>
      <c r="K489" s="86"/>
      <c r="L489" s="86"/>
      <c r="M489" s="86"/>
      <c r="N489" s="86"/>
    </row>
    <row r="490" spans="2:16" x14ac:dyDescent="0.25">
      <c r="B490" s="86"/>
      <c r="C490" s="86"/>
      <c r="D490" s="86"/>
      <c r="E490" s="86"/>
      <c r="F490" s="86"/>
      <c r="G490" s="86"/>
      <c r="H490" s="86"/>
      <c r="I490" s="86"/>
      <c r="J490" s="86"/>
      <c r="K490" s="86"/>
      <c r="L490" s="86"/>
      <c r="M490" s="86"/>
      <c r="N490" s="86"/>
    </row>
    <row r="491" spans="2:16" x14ac:dyDescent="0.25">
      <c r="B491" s="86"/>
      <c r="C491" s="86"/>
      <c r="D491" s="86"/>
      <c r="E491" s="86"/>
      <c r="F491" s="86"/>
      <c r="G491" s="86"/>
      <c r="H491" s="86"/>
      <c r="I491" s="86"/>
      <c r="J491" s="86"/>
      <c r="K491" s="86"/>
      <c r="L491" s="86"/>
      <c r="M491" s="86"/>
      <c r="N491" s="86"/>
    </row>
    <row r="492" spans="2:16" x14ac:dyDescent="0.25">
      <c r="B492" s="86"/>
      <c r="C492" s="86"/>
      <c r="D492" s="86"/>
      <c r="E492" s="86"/>
      <c r="F492" s="86"/>
      <c r="G492" s="86"/>
      <c r="H492" s="86"/>
      <c r="I492" s="86"/>
      <c r="J492" s="86"/>
      <c r="K492" s="86"/>
      <c r="L492" s="86"/>
      <c r="M492" s="86"/>
      <c r="N492" s="86"/>
    </row>
    <row r="493" spans="2:16" x14ac:dyDescent="0.25">
      <c r="B493" s="86"/>
      <c r="C493" s="86"/>
      <c r="D493" s="86"/>
      <c r="E493" s="86"/>
      <c r="F493" s="86"/>
      <c r="G493" s="86"/>
      <c r="H493" s="86"/>
      <c r="I493" s="86"/>
      <c r="J493" s="86"/>
      <c r="K493" s="86"/>
      <c r="L493" s="86"/>
      <c r="M493" s="86"/>
      <c r="N493" s="86"/>
    </row>
    <row r="494" spans="2:16" x14ac:dyDescent="0.25">
      <c r="B494" s="86"/>
      <c r="C494" s="86"/>
      <c r="D494" s="86"/>
      <c r="E494" s="86"/>
      <c r="F494" s="86"/>
      <c r="G494" s="86"/>
      <c r="H494" s="86"/>
      <c r="I494" s="86"/>
      <c r="J494" s="86"/>
      <c r="K494" s="86"/>
      <c r="L494" s="86"/>
      <c r="M494" s="86"/>
      <c r="N494" s="86"/>
    </row>
    <row r="495" spans="2:16" x14ac:dyDescent="0.25">
      <c r="B495" s="86"/>
      <c r="C495" s="86"/>
      <c r="D495" s="86"/>
      <c r="E495" s="86"/>
      <c r="F495" s="86"/>
      <c r="G495" s="86"/>
      <c r="H495" s="86"/>
      <c r="I495" s="86"/>
      <c r="J495" s="86"/>
      <c r="K495" s="86"/>
      <c r="L495" s="86"/>
      <c r="M495" s="86"/>
      <c r="N495" s="86"/>
    </row>
    <row r="496" spans="2:16" x14ac:dyDescent="0.25">
      <c r="B496" s="86"/>
      <c r="C496" s="86"/>
      <c r="D496" s="86"/>
      <c r="E496" s="86"/>
      <c r="F496" s="86"/>
      <c r="G496" s="86"/>
      <c r="H496" s="86"/>
      <c r="I496" s="86"/>
      <c r="J496" s="86"/>
      <c r="K496" s="86"/>
      <c r="L496" s="86"/>
      <c r="M496" s="86"/>
      <c r="N496" s="86"/>
    </row>
    <row r="497" spans="2:17" x14ac:dyDescent="0.25">
      <c r="B497" s="86"/>
      <c r="C497" s="86"/>
      <c r="D497" s="86"/>
      <c r="E497" s="86"/>
      <c r="F497" s="86"/>
      <c r="G497" s="86"/>
      <c r="H497" s="86"/>
      <c r="I497" s="86"/>
      <c r="J497" s="86"/>
      <c r="K497" s="86"/>
      <c r="L497" s="86"/>
      <c r="M497" s="86"/>
      <c r="N497" s="86"/>
    </row>
    <row r="498" spans="2:17" ht="13.8" thickBot="1" x14ac:dyDescent="0.3">
      <c r="B498" s="368" t="s">
        <v>229</v>
      </c>
      <c r="C498" s="368"/>
      <c r="D498" s="368"/>
      <c r="E498" s="368"/>
      <c r="F498" s="368"/>
      <c r="G498" s="368"/>
      <c r="H498" s="368"/>
      <c r="I498" s="368"/>
      <c r="J498" s="368"/>
      <c r="K498" s="368"/>
      <c r="L498" s="368"/>
      <c r="M498" s="368"/>
      <c r="N498" s="368"/>
    </row>
    <row r="499" spans="2:17" x14ac:dyDescent="0.25">
      <c r="B499" s="86"/>
      <c r="C499" s="86"/>
      <c r="D499" s="86"/>
      <c r="E499" s="86"/>
      <c r="F499" s="86"/>
      <c r="G499" s="86"/>
      <c r="H499" s="86"/>
      <c r="I499" s="86"/>
      <c r="J499" s="86"/>
      <c r="K499" s="86"/>
      <c r="L499" s="86"/>
      <c r="M499" s="86"/>
      <c r="N499" s="86"/>
    </row>
    <row r="500" spans="2:17" x14ac:dyDescent="0.25">
      <c r="B500" s="86"/>
      <c r="C500" s="86" t="s">
        <v>232</v>
      </c>
      <c r="D500" s="86"/>
      <c r="E500" s="86" t="s">
        <v>203</v>
      </c>
      <c r="F500" s="86" t="s">
        <v>133</v>
      </c>
      <c r="G500" s="86"/>
      <c r="H500" s="86"/>
      <c r="I500" s="86"/>
      <c r="J500" s="86"/>
      <c r="K500" s="86" t="s">
        <v>232</v>
      </c>
      <c r="L500" s="86"/>
      <c r="M500" s="86"/>
      <c r="N500" s="86"/>
    </row>
    <row r="501" spans="2:17" x14ac:dyDescent="0.25">
      <c r="B501" s="86"/>
      <c r="C501" s="86" t="s">
        <v>139</v>
      </c>
      <c r="D501" s="86"/>
      <c r="E501" s="200">
        <v>0.18</v>
      </c>
      <c r="F501" s="171" t="s">
        <v>157</v>
      </c>
      <c r="G501" s="86"/>
      <c r="H501" s="86"/>
      <c r="I501" s="86"/>
      <c r="J501" s="86"/>
      <c r="K501" s="199" t="s">
        <v>169</v>
      </c>
      <c r="L501" s="86"/>
      <c r="M501" s="86"/>
      <c r="N501" s="86"/>
      <c r="Q501" s="199" t="s">
        <v>157</v>
      </c>
    </row>
    <row r="502" spans="2:17" x14ac:dyDescent="0.25">
      <c r="B502" s="86"/>
      <c r="C502" s="86" t="s">
        <v>140</v>
      </c>
      <c r="D502" s="86"/>
      <c r="E502" s="200">
        <v>0.16</v>
      </c>
      <c r="F502" s="171" t="s">
        <v>116</v>
      </c>
      <c r="G502" s="86"/>
      <c r="H502" s="86"/>
      <c r="I502" s="86"/>
      <c r="J502" s="86"/>
      <c r="K502" s="199" t="s">
        <v>183</v>
      </c>
      <c r="L502" s="86"/>
      <c r="M502" s="86"/>
      <c r="N502" s="86"/>
      <c r="Q502" s="199" t="s">
        <v>116</v>
      </c>
    </row>
    <row r="503" spans="2:17" x14ac:dyDescent="0.25">
      <c r="B503" s="86"/>
      <c r="C503" s="86" t="s">
        <v>239</v>
      </c>
      <c r="D503" s="86"/>
      <c r="E503" s="200"/>
      <c r="F503" s="171" t="s">
        <v>117</v>
      </c>
      <c r="G503" s="86"/>
      <c r="H503" s="86"/>
      <c r="I503" s="86"/>
      <c r="J503" s="86"/>
      <c r="K503" s="199" t="s">
        <v>170</v>
      </c>
      <c r="L503" s="86"/>
      <c r="M503" s="86"/>
      <c r="N503" s="86"/>
      <c r="Q503" s="199" t="s">
        <v>117</v>
      </c>
    </row>
    <row r="504" spans="2:17" x14ac:dyDescent="0.25">
      <c r="B504" s="86"/>
      <c r="C504" s="86"/>
      <c r="D504" s="86"/>
      <c r="E504" s="150"/>
      <c r="F504" s="199" t="s">
        <v>118</v>
      </c>
      <c r="G504" s="86"/>
      <c r="H504" s="86"/>
      <c r="I504" s="86"/>
      <c r="J504" s="86"/>
      <c r="K504" s="199" t="s">
        <v>336</v>
      </c>
      <c r="L504" s="86"/>
      <c r="M504" s="86"/>
      <c r="N504" s="86"/>
    </row>
    <row r="505" spans="2:17" x14ac:dyDescent="0.25">
      <c r="B505" s="86"/>
      <c r="C505" s="86"/>
      <c r="D505" s="86"/>
      <c r="E505" s="86"/>
      <c r="F505" s="86"/>
      <c r="G505" s="86"/>
      <c r="H505" s="86"/>
      <c r="I505" s="86"/>
      <c r="J505" s="86"/>
      <c r="K505" s="86"/>
      <c r="L505" s="86"/>
      <c r="M505" s="86"/>
      <c r="N505" s="86"/>
    </row>
    <row r="506" spans="2:17" x14ac:dyDescent="0.25">
      <c r="B506" s="86"/>
      <c r="C506" s="86"/>
      <c r="D506" s="86"/>
      <c r="F506" s="86"/>
      <c r="G506" s="86"/>
      <c r="H506" s="206"/>
      <c r="I506" s="86"/>
      <c r="J506" s="86"/>
      <c r="K506" s="89" t="str">
        <f>IF(OR(K377="Broward",K377="Miami-Dade",K377="Palm Beach"),"SF","PF")&amp;"-"&amp;IF(OR(K35="New Construction (w/ or w/o Acquisition)",K35="Redevelopment (w/ or w/o Acquisition)"),"NC","RC")&amp;"-"&amp;IF(K398=K501,"GA",IF(OR(K35="New Construction (w/ or w/o Acquisition)",K35="Redevelopment (w/ or w/o Acquisition)"),IF(OR(K398=K502,K398=K504),"MR","HR"),"NG"))&amp;"-"&amp;IF(OR(K35="Rehabilitation (w/ or w/o Acquisition)",K35=F503,K35=F504,K35=F500),"",IF(OR(K402=C501,K398=K503),"ESSC","W"))</f>
        <v>PF-RC-NG-</v>
      </c>
      <c r="L506" s="86"/>
      <c r="M506" s="86"/>
      <c r="N506" s="86"/>
      <c r="Q506" s="243"/>
    </row>
    <row r="507" spans="2:17" x14ac:dyDescent="0.25">
      <c r="B507" s="86"/>
      <c r="C507" s="86"/>
      <c r="D507" s="86"/>
      <c r="E507" s="86" t="s">
        <v>232</v>
      </c>
      <c r="F507" s="287" t="s">
        <v>411</v>
      </c>
      <c r="G507" s="214"/>
      <c r="H507" s="208"/>
      <c r="I507" s="86"/>
      <c r="J507" s="86"/>
      <c r="K507" s="86"/>
      <c r="L507" s="86"/>
      <c r="M507" s="86"/>
      <c r="N507" s="283" t="s">
        <v>411</v>
      </c>
      <c r="Q507" s="286"/>
    </row>
    <row r="508" spans="2:17" x14ac:dyDescent="0.25">
      <c r="B508" s="86"/>
      <c r="C508" s="86"/>
      <c r="D508" s="86"/>
      <c r="E508" s="301" t="s">
        <v>412</v>
      </c>
      <c r="F508" s="66" t="s">
        <v>413</v>
      </c>
      <c r="G508" s="214"/>
      <c r="H508" s="215"/>
      <c r="I508" s="86"/>
      <c r="J508" s="86"/>
      <c r="K508" s="86" t="s">
        <v>269</v>
      </c>
      <c r="L508" s="86"/>
      <c r="M508" s="86"/>
      <c r="N508" s="284">
        <v>311900</v>
      </c>
      <c r="Q508" s="286"/>
    </row>
    <row r="509" spans="2:17" x14ac:dyDescent="0.25">
      <c r="B509" s="86"/>
      <c r="C509" s="86"/>
      <c r="D509" s="86"/>
      <c r="E509" s="301" t="s">
        <v>414</v>
      </c>
      <c r="F509" s="66" t="s">
        <v>413</v>
      </c>
      <c r="G509" s="214"/>
      <c r="H509" s="215"/>
      <c r="I509" s="86"/>
      <c r="J509" s="86"/>
      <c r="K509" s="86" t="s">
        <v>186</v>
      </c>
      <c r="L509" s="86"/>
      <c r="M509" s="86"/>
      <c r="N509" s="284">
        <v>270100</v>
      </c>
      <c r="Q509" s="286"/>
    </row>
    <row r="510" spans="2:17" x14ac:dyDescent="0.25">
      <c r="B510" s="86"/>
      <c r="C510" s="86"/>
      <c r="D510" s="86"/>
      <c r="E510" s="301" t="s">
        <v>415</v>
      </c>
      <c r="F510" s="66" t="s">
        <v>413</v>
      </c>
      <c r="G510" s="214"/>
      <c r="H510" s="215"/>
      <c r="I510" s="86"/>
      <c r="J510" s="86"/>
      <c r="K510" s="86" t="s">
        <v>270</v>
      </c>
      <c r="L510" s="86"/>
      <c r="M510" s="86"/>
      <c r="N510" s="284">
        <v>358000</v>
      </c>
      <c r="Q510" s="286"/>
    </row>
    <row r="511" spans="2:17" x14ac:dyDescent="0.25">
      <c r="B511" s="86"/>
      <c r="C511" s="86"/>
      <c r="D511" s="86"/>
      <c r="E511" s="222" t="s">
        <v>339</v>
      </c>
      <c r="F511" s="66" t="s">
        <v>340</v>
      </c>
      <c r="G511" s="214"/>
      <c r="H511" s="215"/>
      <c r="I511" s="86"/>
      <c r="J511" s="86"/>
      <c r="K511" s="86" t="s">
        <v>271</v>
      </c>
      <c r="L511" s="86"/>
      <c r="M511" s="86"/>
      <c r="N511" s="284">
        <v>344700</v>
      </c>
      <c r="Q511" s="243"/>
    </row>
    <row r="512" spans="2:17" x14ac:dyDescent="0.25">
      <c r="B512" s="86"/>
      <c r="C512" s="86"/>
      <c r="D512" s="86"/>
      <c r="E512" s="301" t="s">
        <v>416</v>
      </c>
      <c r="F512" s="66" t="s">
        <v>413</v>
      </c>
      <c r="G512" s="214"/>
      <c r="H512" s="215"/>
      <c r="I512" s="86"/>
      <c r="J512" s="86"/>
      <c r="K512" s="86" t="s">
        <v>187</v>
      </c>
      <c r="L512" s="86"/>
      <c r="M512" s="86"/>
      <c r="N512" s="284">
        <v>311900</v>
      </c>
    </row>
    <row r="513" spans="2:14" x14ac:dyDescent="0.25">
      <c r="B513" s="86"/>
      <c r="C513" s="86"/>
      <c r="D513" s="86"/>
      <c r="E513" s="301" t="s">
        <v>417</v>
      </c>
      <c r="F513" s="66" t="s">
        <v>413</v>
      </c>
      <c r="G513" s="214"/>
      <c r="H513" s="215"/>
      <c r="I513" s="86"/>
      <c r="J513" s="86"/>
      <c r="K513" s="86" t="s">
        <v>236</v>
      </c>
      <c r="L513" s="86"/>
      <c r="M513" s="86"/>
      <c r="N513" s="284">
        <v>146900</v>
      </c>
    </row>
    <row r="514" spans="2:14" x14ac:dyDescent="0.25">
      <c r="B514" s="86"/>
      <c r="C514" s="86"/>
      <c r="D514" s="86"/>
      <c r="E514" s="301" t="s">
        <v>418</v>
      </c>
      <c r="F514" s="66" t="s">
        <v>413</v>
      </c>
      <c r="G514" s="214"/>
      <c r="H514" s="215"/>
      <c r="I514" s="86"/>
      <c r="J514" s="86"/>
      <c r="K514" s="268" t="s">
        <v>237</v>
      </c>
      <c r="L514" s="268"/>
      <c r="M514" s="268"/>
      <c r="N514" s="285">
        <v>221600</v>
      </c>
    </row>
    <row r="515" spans="2:14" x14ac:dyDescent="0.25">
      <c r="B515" s="86"/>
      <c r="C515" s="86"/>
      <c r="D515" s="86"/>
      <c r="E515" s="301" t="s">
        <v>419</v>
      </c>
      <c r="F515" s="66" t="s">
        <v>413</v>
      </c>
      <c r="G515" s="214"/>
      <c r="H515" s="215"/>
      <c r="I515" s="86"/>
      <c r="J515" s="86"/>
      <c r="K515" s="1" t="s">
        <v>272</v>
      </c>
      <c r="L515" s="171"/>
      <c r="M515" s="171"/>
      <c r="N515" s="284">
        <v>327100</v>
      </c>
    </row>
    <row r="516" spans="2:14" x14ac:dyDescent="0.25">
      <c r="B516" s="86"/>
      <c r="C516" s="86"/>
      <c r="D516" s="86"/>
      <c r="E516" s="222" t="s">
        <v>344</v>
      </c>
      <c r="F516" s="66" t="s">
        <v>340</v>
      </c>
      <c r="G516" s="214"/>
      <c r="H516" s="215"/>
      <c r="I516" s="86"/>
      <c r="J516" s="86"/>
      <c r="K516" s="1" t="s">
        <v>184</v>
      </c>
      <c r="L516" s="171"/>
      <c r="M516" s="171"/>
      <c r="N516" s="284">
        <v>284500</v>
      </c>
    </row>
    <row r="517" spans="2:14" x14ac:dyDescent="0.25">
      <c r="B517" s="86"/>
      <c r="C517" s="86"/>
      <c r="D517" s="86"/>
      <c r="E517" s="301" t="s">
        <v>420</v>
      </c>
      <c r="F517" s="66" t="s">
        <v>413</v>
      </c>
      <c r="G517" s="214"/>
      <c r="H517" s="215"/>
      <c r="I517" s="86"/>
      <c r="J517" s="86"/>
      <c r="K517" s="1" t="s">
        <v>273</v>
      </c>
      <c r="L517" s="171"/>
      <c r="M517" s="171"/>
      <c r="N517" s="284">
        <v>374700</v>
      </c>
    </row>
    <row r="518" spans="2:14" x14ac:dyDescent="0.25">
      <c r="B518" s="86"/>
      <c r="C518" s="86"/>
      <c r="D518" s="86"/>
      <c r="E518" s="301" t="s">
        <v>421</v>
      </c>
      <c r="F518" s="66" t="s">
        <v>413</v>
      </c>
      <c r="G518" s="214"/>
      <c r="H518" s="215"/>
      <c r="I518" s="86"/>
      <c r="J518" s="86"/>
      <c r="K518" s="1" t="s">
        <v>274</v>
      </c>
      <c r="L518" s="171"/>
      <c r="M518" s="171"/>
      <c r="N518" s="284">
        <v>361000</v>
      </c>
    </row>
    <row r="519" spans="2:14" x14ac:dyDescent="0.25">
      <c r="B519" s="86"/>
      <c r="C519" s="86"/>
      <c r="D519" s="86"/>
      <c r="E519" s="301" t="s">
        <v>422</v>
      </c>
      <c r="F519" s="66" t="s">
        <v>413</v>
      </c>
      <c r="G519" s="214"/>
      <c r="H519" s="215"/>
      <c r="I519" s="86"/>
      <c r="J519" s="86"/>
      <c r="K519" s="1" t="s">
        <v>185</v>
      </c>
      <c r="L519" s="171"/>
      <c r="M519" s="171"/>
      <c r="N519" s="284">
        <v>327100</v>
      </c>
    </row>
    <row r="520" spans="2:14" x14ac:dyDescent="0.25">
      <c r="B520" s="86"/>
      <c r="C520" s="86"/>
      <c r="D520" s="86"/>
      <c r="E520" s="301" t="s">
        <v>423</v>
      </c>
      <c r="F520" s="66" t="s">
        <v>413</v>
      </c>
      <c r="G520" s="214"/>
      <c r="H520" s="215"/>
      <c r="I520" s="86"/>
      <c r="J520" s="86"/>
      <c r="K520" s="1" t="s">
        <v>234</v>
      </c>
      <c r="L520" s="171"/>
      <c r="M520" s="171"/>
      <c r="N520" s="284">
        <v>153600</v>
      </c>
    </row>
    <row r="521" spans="2:14" x14ac:dyDescent="0.25">
      <c r="B521" s="86"/>
      <c r="C521" s="86"/>
      <c r="D521" s="86"/>
      <c r="E521" s="222" t="s">
        <v>350</v>
      </c>
      <c r="F521" s="66" t="s">
        <v>340</v>
      </c>
      <c r="G521" s="214"/>
      <c r="H521" s="215"/>
      <c r="I521" s="86"/>
      <c r="J521" s="86"/>
      <c r="K521" s="1" t="s">
        <v>235</v>
      </c>
      <c r="L521" s="171"/>
      <c r="M521" s="171"/>
      <c r="N521" s="284">
        <v>232600</v>
      </c>
    </row>
    <row r="522" spans="2:14" x14ac:dyDescent="0.25">
      <c r="B522" s="86"/>
      <c r="C522" s="86"/>
      <c r="D522" s="86"/>
      <c r="E522" s="301" t="s">
        <v>424</v>
      </c>
      <c r="F522" s="66" t="s">
        <v>413</v>
      </c>
      <c r="G522" s="214"/>
      <c r="H522" s="215"/>
      <c r="I522" s="86"/>
      <c r="J522" s="86"/>
      <c r="K522" s="86"/>
      <c r="L522" s="86"/>
      <c r="M522" s="86"/>
      <c r="N522" s="86"/>
    </row>
    <row r="523" spans="2:14" x14ac:dyDescent="0.25">
      <c r="B523" s="86"/>
      <c r="C523" s="86"/>
      <c r="D523" s="86"/>
      <c r="E523" s="301" t="s">
        <v>425</v>
      </c>
      <c r="F523" s="66" t="s">
        <v>413</v>
      </c>
      <c r="G523" s="214"/>
      <c r="H523" s="215"/>
      <c r="I523" s="86"/>
      <c r="J523" s="86"/>
      <c r="K523" s="86" t="s">
        <v>277</v>
      </c>
      <c r="L523" s="86"/>
      <c r="M523" s="86"/>
      <c r="N523" s="152">
        <v>5000</v>
      </c>
    </row>
    <row r="524" spans="2:14" x14ac:dyDescent="0.25">
      <c r="B524" s="86"/>
      <c r="C524" s="86"/>
      <c r="D524" s="86"/>
      <c r="E524" s="301" t="s">
        <v>426</v>
      </c>
      <c r="F524" s="66" t="s">
        <v>413</v>
      </c>
      <c r="G524" s="214"/>
      <c r="H524" s="215"/>
      <c r="I524" s="86"/>
      <c r="J524" s="86"/>
      <c r="K524" s="171" t="s">
        <v>195</v>
      </c>
      <c r="L524" s="171"/>
      <c r="M524" s="171"/>
      <c r="N524" s="231">
        <v>5000</v>
      </c>
    </row>
    <row r="525" spans="2:14" x14ac:dyDescent="0.25">
      <c r="B525" s="86"/>
      <c r="C525" s="86"/>
      <c r="D525" s="86"/>
      <c r="E525" s="301" t="s">
        <v>427</v>
      </c>
      <c r="F525" s="66" t="s">
        <v>413</v>
      </c>
      <c r="G525" s="214"/>
      <c r="H525" s="215"/>
      <c r="I525" s="86"/>
      <c r="J525" s="86"/>
      <c r="K525" s="171" t="s">
        <v>188</v>
      </c>
      <c r="L525" s="86"/>
      <c r="M525" s="86"/>
      <c r="N525" s="172">
        <v>0.65</v>
      </c>
    </row>
    <row r="526" spans="2:14" x14ac:dyDescent="0.25">
      <c r="B526" s="86"/>
      <c r="C526" s="86"/>
      <c r="D526" s="86"/>
      <c r="E526" s="301" t="s">
        <v>428</v>
      </c>
      <c r="F526" s="66" t="s">
        <v>413</v>
      </c>
      <c r="G526" s="214"/>
      <c r="H526" s="215"/>
      <c r="I526" s="86"/>
      <c r="J526" s="86"/>
      <c r="K526" s="171" t="s">
        <v>189</v>
      </c>
      <c r="L526" s="86"/>
      <c r="M526" s="86"/>
      <c r="N526" s="172">
        <v>0.5</v>
      </c>
    </row>
    <row r="527" spans="2:14" x14ac:dyDescent="0.25">
      <c r="B527" s="86"/>
      <c r="C527" s="86"/>
      <c r="D527" s="86"/>
      <c r="E527" s="301" t="s">
        <v>429</v>
      </c>
      <c r="F527" s="66" t="s">
        <v>413</v>
      </c>
      <c r="G527" s="214"/>
      <c r="H527" s="215"/>
      <c r="I527" s="86"/>
      <c r="J527" s="86"/>
      <c r="K527" s="171" t="s">
        <v>321</v>
      </c>
      <c r="N527" s="172">
        <v>0.9</v>
      </c>
    </row>
    <row r="528" spans="2:14" x14ac:dyDescent="0.25">
      <c r="B528" s="86"/>
      <c r="C528" s="86"/>
      <c r="D528" s="86"/>
      <c r="E528" s="301" t="s">
        <v>430</v>
      </c>
      <c r="F528" s="66" t="s">
        <v>413</v>
      </c>
      <c r="G528" s="214"/>
      <c r="H528" s="215"/>
      <c r="I528" s="86"/>
      <c r="J528" s="86"/>
      <c r="K528" s="171" t="s">
        <v>178</v>
      </c>
      <c r="L528" s="86"/>
      <c r="M528" s="86"/>
      <c r="N528" s="172">
        <v>0.9</v>
      </c>
    </row>
    <row r="529" spans="2:22" x14ac:dyDescent="0.25">
      <c r="B529" s="86"/>
      <c r="C529" s="86"/>
      <c r="D529" s="86"/>
      <c r="E529" s="222" t="s">
        <v>355</v>
      </c>
      <c r="F529" s="66" t="s">
        <v>340</v>
      </c>
      <c r="G529" s="214"/>
      <c r="H529" s="215"/>
      <c r="I529" s="86"/>
      <c r="J529" s="86"/>
      <c r="K529" s="171" t="s">
        <v>177</v>
      </c>
      <c r="L529" s="86"/>
      <c r="M529" s="86"/>
      <c r="N529" s="172">
        <v>0.9</v>
      </c>
    </row>
    <row r="530" spans="2:22" x14ac:dyDescent="0.25">
      <c r="B530" s="86"/>
      <c r="C530" s="86"/>
      <c r="D530" s="86"/>
      <c r="E530" s="301" t="s">
        <v>431</v>
      </c>
      <c r="F530" s="66" t="s">
        <v>413</v>
      </c>
      <c r="G530" s="214"/>
      <c r="H530" s="215"/>
      <c r="I530" s="86"/>
      <c r="J530" s="86"/>
      <c r="K530" s="171" t="s">
        <v>389</v>
      </c>
      <c r="L530" s="86"/>
      <c r="M530" s="86"/>
      <c r="N530" s="172">
        <v>0.9</v>
      </c>
    </row>
    <row r="531" spans="2:22" x14ac:dyDescent="0.25">
      <c r="B531" s="86"/>
      <c r="C531" s="86"/>
      <c r="D531" s="86"/>
      <c r="E531" s="222" t="s">
        <v>359</v>
      </c>
      <c r="F531" s="66" t="s">
        <v>340</v>
      </c>
      <c r="G531" s="214"/>
      <c r="H531" s="215"/>
      <c r="I531" s="86"/>
      <c r="J531" s="86"/>
      <c r="K531" s="1" t="s">
        <v>179</v>
      </c>
      <c r="L531" s="1"/>
      <c r="M531" s="1"/>
      <c r="N531" s="225">
        <v>0.95</v>
      </c>
    </row>
    <row r="532" spans="2:22" x14ac:dyDescent="0.25">
      <c r="B532" s="86"/>
      <c r="C532" s="86"/>
      <c r="D532" s="86"/>
      <c r="E532" s="301" t="s">
        <v>432</v>
      </c>
      <c r="F532" s="66" t="s">
        <v>413</v>
      </c>
      <c r="G532" s="214"/>
      <c r="H532" s="215"/>
      <c r="I532" s="86"/>
      <c r="J532" s="86"/>
      <c r="K532" s="216" t="s">
        <v>267</v>
      </c>
      <c r="L532" s="171"/>
      <c r="M532" s="171"/>
      <c r="N532" s="172">
        <v>0.9</v>
      </c>
    </row>
    <row r="533" spans="2:22" x14ac:dyDescent="0.25">
      <c r="B533" s="86"/>
      <c r="C533" s="86"/>
      <c r="D533" s="86"/>
      <c r="E533" s="222" t="s">
        <v>360</v>
      </c>
      <c r="F533" s="66" t="s">
        <v>340</v>
      </c>
      <c r="G533" s="214"/>
      <c r="H533" s="215"/>
      <c r="I533" s="86"/>
      <c r="J533" s="86"/>
      <c r="K533" s="216" t="s">
        <v>268</v>
      </c>
      <c r="L533" s="171"/>
      <c r="M533" s="171"/>
      <c r="N533" s="172">
        <v>0.95</v>
      </c>
    </row>
    <row r="534" spans="2:22" x14ac:dyDescent="0.25">
      <c r="B534" s="86"/>
      <c r="C534" s="86"/>
      <c r="D534" s="86"/>
      <c r="E534" s="301" t="s">
        <v>433</v>
      </c>
      <c r="F534" s="66" t="s">
        <v>413</v>
      </c>
      <c r="G534" s="214"/>
      <c r="H534" s="215"/>
      <c r="I534" s="86"/>
      <c r="J534" s="86"/>
      <c r="K534" s="86"/>
      <c r="L534" s="86"/>
      <c r="M534" s="86"/>
    </row>
    <row r="535" spans="2:22" x14ac:dyDescent="0.25">
      <c r="B535" s="86"/>
      <c r="C535" s="86"/>
      <c r="D535" s="86"/>
      <c r="E535" s="222" t="s">
        <v>361</v>
      </c>
      <c r="F535" s="66" t="s">
        <v>340</v>
      </c>
      <c r="G535" s="214"/>
      <c r="H535" s="215"/>
      <c r="I535" s="86"/>
      <c r="J535" s="86"/>
      <c r="K535" s="171"/>
      <c r="L535" s="86"/>
      <c r="M535" s="86"/>
    </row>
    <row r="536" spans="2:22" x14ac:dyDescent="0.25">
      <c r="B536" s="86"/>
      <c r="C536" s="86"/>
      <c r="D536" s="86"/>
      <c r="E536" s="301" t="s">
        <v>434</v>
      </c>
      <c r="F536" s="66" t="s">
        <v>413</v>
      </c>
      <c r="G536" s="214"/>
      <c r="H536" s="215"/>
      <c r="I536" s="86"/>
      <c r="J536" s="86"/>
      <c r="K536" s="86"/>
      <c r="L536" s="86"/>
      <c r="M536" s="86"/>
    </row>
    <row r="537" spans="2:22" x14ac:dyDescent="0.25">
      <c r="B537" s="86"/>
      <c r="C537" s="86"/>
      <c r="D537" s="86"/>
      <c r="E537" s="301" t="s">
        <v>435</v>
      </c>
      <c r="F537" s="66" t="s">
        <v>413</v>
      </c>
      <c r="G537" s="214"/>
      <c r="H537" s="215"/>
      <c r="I537" s="86"/>
      <c r="J537" s="86"/>
      <c r="K537" s="378" t="s">
        <v>232</v>
      </c>
      <c r="L537" s="378"/>
      <c r="M537" s="378"/>
    </row>
    <row r="538" spans="2:22" x14ac:dyDescent="0.25">
      <c r="B538" s="86"/>
      <c r="C538" s="86"/>
      <c r="D538" s="86"/>
      <c r="E538" s="301" t="s">
        <v>436</v>
      </c>
      <c r="F538" s="66" t="s">
        <v>413</v>
      </c>
      <c r="G538" s="214"/>
      <c r="H538" s="215"/>
      <c r="I538" s="86"/>
      <c r="J538" s="86"/>
      <c r="K538" s="370" t="s">
        <v>141</v>
      </c>
      <c r="L538" s="370"/>
      <c r="M538" s="370"/>
      <c r="N538" s="86"/>
    </row>
    <row r="539" spans="2:22" x14ac:dyDescent="0.25">
      <c r="B539" s="86"/>
      <c r="C539" s="86"/>
      <c r="D539" s="86"/>
      <c r="E539" s="301" t="s">
        <v>437</v>
      </c>
      <c r="F539" s="66" t="s">
        <v>413</v>
      </c>
      <c r="G539" s="214"/>
      <c r="H539" s="215"/>
      <c r="I539" s="86"/>
      <c r="J539" s="86"/>
      <c r="K539" s="86"/>
      <c r="L539" s="86"/>
      <c r="M539" s="86"/>
      <c r="N539" s="86"/>
    </row>
    <row r="540" spans="2:22" x14ac:dyDescent="0.25">
      <c r="B540" s="86"/>
      <c r="E540" s="301" t="s">
        <v>438</v>
      </c>
      <c r="F540" s="66" t="s">
        <v>413</v>
      </c>
      <c r="G540" s="208"/>
      <c r="H540" s="215"/>
      <c r="I540" s="86"/>
      <c r="J540" s="86"/>
      <c r="K540" s="86"/>
      <c r="L540" s="86"/>
      <c r="M540" s="86"/>
      <c r="N540" s="86"/>
    </row>
    <row r="541" spans="2:22" x14ac:dyDescent="0.25">
      <c r="B541" s="86"/>
      <c r="E541" s="301" t="s">
        <v>439</v>
      </c>
      <c r="F541" s="66" t="s">
        <v>413</v>
      </c>
      <c r="G541" s="208"/>
      <c r="H541" s="215"/>
      <c r="I541" s="86"/>
      <c r="J541" s="86"/>
      <c r="K541" s="86" t="s">
        <v>232</v>
      </c>
      <c r="L541" s="86"/>
      <c r="M541" s="86"/>
    </row>
    <row r="542" spans="2:22" x14ac:dyDescent="0.25">
      <c r="B542" s="86"/>
      <c r="E542" s="301" t="s">
        <v>440</v>
      </c>
      <c r="F542" s="66" t="s">
        <v>413</v>
      </c>
      <c r="G542" s="208"/>
      <c r="H542" s="215"/>
      <c r="I542" s="86"/>
      <c r="J542" s="86"/>
      <c r="K542" s="86" t="s">
        <v>282</v>
      </c>
      <c r="L542" s="86"/>
      <c r="M542" s="86"/>
      <c r="V542" s="86"/>
    </row>
    <row r="543" spans="2:22" x14ac:dyDescent="0.25">
      <c r="B543" s="86"/>
      <c r="E543" s="301" t="s">
        <v>441</v>
      </c>
      <c r="F543" s="66" t="s">
        <v>413</v>
      </c>
      <c r="G543" s="208"/>
      <c r="H543" s="215"/>
      <c r="I543" s="86"/>
      <c r="J543" s="86"/>
      <c r="K543" s="86" t="s">
        <v>283</v>
      </c>
      <c r="L543" s="86"/>
      <c r="M543" s="86"/>
    </row>
    <row r="544" spans="2:22" x14ac:dyDescent="0.25">
      <c r="B544" s="86"/>
      <c r="C544" s="86"/>
      <c r="D544" s="86"/>
      <c r="E544" s="153"/>
      <c r="F544" s="89"/>
      <c r="G544" s="214"/>
      <c r="H544" s="215"/>
      <c r="I544" s="86"/>
      <c r="J544" s="86"/>
      <c r="K544" s="86"/>
      <c r="L544" s="86"/>
      <c r="M544" s="86"/>
    </row>
    <row r="545" spans="2:14" x14ac:dyDescent="0.25">
      <c r="B545" s="86"/>
      <c r="C545" s="86"/>
      <c r="D545" s="86"/>
      <c r="E545" s="151"/>
      <c r="F545" s="86"/>
      <c r="G545" s="214"/>
      <c r="H545" s="215"/>
      <c r="I545" s="86"/>
      <c r="J545" s="86"/>
      <c r="K545" s="365" t="s">
        <v>133</v>
      </c>
      <c r="L545" s="365"/>
      <c r="M545" s="365"/>
      <c r="N545" s="365"/>
    </row>
    <row r="546" spans="2:14" x14ac:dyDescent="0.25">
      <c r="B546" s="86"/>
      <c r="C546" s="86"/>
      <c r="D546" s="86"/>
      <c r="E546" s="151"/>
      <c r="F546" s="86"/>
      <c r="G546" s="214"/>
      <c r="H546" s="215"/>
      <c r="I546" s="86"/>
      <c r="J546" s="86"/>
      <c r="K546" s="294" t="s">
        <v>197</v>
      </c>
    </row>
    <row r="547" spans="2:14" x14ac:dyDescent="0.25">
      <c r="B547" s="86"/>
      <c r="C547" s="86"/>
      <c r="D547" s="86"/>
      <c r="E547" s="151"/>
      <c r="F547" s="86"/>
      <c r="G547" s="214"/>
      <c r="H547" s="215"/>
      <c r="I547" s="86"/>
      <c r="J547" s="86"/>
      <c r="K547" s="304" t="s">
        <v>442</v>
      </c>
      <c r="L547" s="304"/>
      <c r="M547" s="304"/>
    </row>
    <row r="548" spans="2:14" x14ac:dyDescent="0.25">
      <c r="B548" s="86"/>
      <c r="C548" s="86"/>
      <c r="D548" s="86"/>
      <c r="E548" s="151"/>
      <c r="F548" s="86"/>
      <c r="G548" s="214"/>
      <c r="H548" s="215"/>
      <c r="I548" s="86"/>
      <c r="J548" s="86"/>
      <c r="K548" s="86"/>
      <c r="L548" s="86"/>
      <c r="M548" s="86"/>
    </row>
    <row r="549" spans="2:14" x14ac:dyDescent="0.25">
      <c r="B549" s="86"/>
      <c r="C549" s="86"/>
      <c r="D549" s="86"/>
      <c r="E549" s="151"/>
      <c r="F549" s="86"/>
      <c r="G549" s="214"/>
      <c r="H549" s="215"/>
      <c r="I549" s="86"/>
      <c r="J549" s="86"/>
      <c r="K549" s="86" t="s">
        <v>192</v>
      </c>
      <c r="L549" s="86"/>
      <c r="M549" s="86"/>
    </row>
    <row r="550" spans="2:14" x14ac:dyDescent="0.25">
      <c r="B550" s="86"/>
      <c r="C550" s="86"/>
      <c r="D550" s="86"/>
      <c r="E550" s="151"/>
      <c r="F550" s="86"/>
      <c r="G550" s="214"/>
      <c r="H550" s="215"/>
      <c r="I550" s="86"/>
      <c r="J550" s="86"/>
      <c r="K550" s="86"/>
      <c r="L550" s="86"/>
      <c r="M550" s="86"/>
    </row>
    <row r="551" spans="2:14" x14ac:dyDescent="0.25">
      <c r="B551" s="86"/>
      <c r="C551" s="86"/>
      <c r="D551" s="86"/>
      <c r="E551" s="151"/>
      <c r="F551" s="86"/>
      <c r="G551" s="214"/>
      <c r="H551" s="215"/>
      <c r="I551" s="86"/>
      <c r="J551" s="86"/>
      <c r="K551" s="86" t="s">
        <v>232</v>
      </c>
      <c r="L551" s="86"/>
      <c r="M551" s="86"/>
    </row>
    <row r="552" spans="2:14" x14ac:dyDescent="0.25">
      <c r="B552" s="86"/>
      <c r="C552" s="86"/>
      <c r="D552" s="86"/>
      <c r="E552" s="151"/>
      <c r="F552" s="86"/>
      <c r="G552" s="214"/>
      <c r="H552" s="215"/>
      <c r="I552" s="86"/>
      <c r="J552" s="86"/>
      <c r="K552" s="86" t="s">
        <v>286</v>
      </c>
      <c r="L552" s="86"/>
      <c r="M552" s="86"/>
    </row>
    <row r="553" spans="2:14" x14ac:dyDescent="0.25">
      <c r="B553" s="86"/>
      <c r="C553" s="86"/>
      <c r="D553" s="86"/>
      <c r="E553" s="151"/>
      <c r="F553" s="86"/>
      <c r="G553" s="214"/>
      <c r="H553" s="215"/>
      <c r="I553" s="86"/>
      <c r="J553" s="86"/>
      <c r="K553" s="86" t="s">
        <v>297</v>
      </c>
      <c r="L553" s="86"/>
      <c r="M553" s="86"/>
    </row>
    <row r="554" spans="2:14" x14ac:dyDescent="0.25">
      <c r="B554" s="86"/>
      <c r="C554" s="86"/>
      <c r="D554" s="86"/>
      <c r="E554" s="151"/>
      <c r="F554" s="86"/>
      <c r="G554" s="214"/>
      <c r="H554" s="215"/>
      <c r="I554" s="86"/>
      <c r="J554" s="86"/>
      <c r="K554" s="86" t="s">
        <v>301</v>
      </c>
    </row>
    <row r="555" spans="2:14" x14ac:dyDescent="0.25">
      <c r="B555" s="86"/>
      <c r="C555" s="86"/>
      <c r="D555" s="86"/>
      <c r="E555" s="153"/>
      <c r="F555" s="86"/>
      <c r="G555" s="214"/>
      <c r="H555" s="215"/>
      <c r="I555" s="86"/>
      <c r="J555" s="86"/>
      <c r="K555" s="86" t="s">
        <v>292</v>
      </c>
      <c r="L555" s="86"/>
      <c r="M555" s="86"/>
    </row>
    <row r="556" spans="2:14" x14ac:dyDescent="0.25">
      <c r="B556" s="86"/>
      <c r="C556" s="86"/>
      <c r="D556" s="86"/>
      <c r="E556" s="153"/>
      <c r="F556" s="86"/>
      <c r="G556" s="214"/>
      <c r="H556" s="215"/>
      <c r="I556" s="86"/>
      <c r="J556" s="86"/>
      <c r="K556" s="86" t="s">
        <v>305</v>
      </c>
      <c r="L556" s="86"/>
      <c r="M556" s="86"/>
    </row>
    <row r="557" spans="2:14" x14ac:dyDescent="0.25">
      <c r="B557" s="86"/>
      <c r="C557" s="86"/>
      <c r="D557" s="86"/>
      <c r="E557" s="151"/>
      <c r="F557" s="86"/>
      <c r="G557" s="214"/>
      <c r="H557" s="215"/>
      <c r="I557" s="86"/>
      <c r="J557" s="86"/>
      <c r="K557" s="86" t="s">
        <v>333</v>
      </c>
      <c r="L557" s="86"/>
      <c r="M557" s="86"/>
    </row>
    <row r="558" spans="2:14" x14ac:dyDescent="0.25">
      <c r="B558" s="86"/>
      <c r="C558" s="86"/>
      <c r="D558" s="86"/>
      <c r="E558" s="151"/>
      <c r="F558" s="86"/>
      <c r="G558" s="214"/>
      <c r="H558" s="215"/>
      <c r="I558" s="86"/>
      <c r="J558" s="86"/>
      <c r="K558" s="86" t="s">
        <v>289</v>
      </c>
      <c r="L558" s="86"/>
      <c r="M558" s="86"/>
    </row>
    <row r="559" spans="2:14" x14ac:dyDescent="0.25">
      <c r="B559" s="86"/>
      <c r="C559" s="86"/>
      <c r="D559" s="86"/>
      <c r="E559" s="151"/>
      <c r="F559" s="86"/>
      <c r="G559" s="214"/>
      <c r="H559" s="215"/>
      <c r="I559" s="86"/>
      <c r="J559" s="86"/>
      <c r="K559" s="86" t="s">
        <v>290</v>
      </c>
      <c r="L559" s="86"/>
      <c r="M559" s="86"/>
    </row>
    <row r="560" spans="2:14" x14ac:dyDescent="0.25">
      <c r="B560" s="86"/>
      <c r="C560" s="86"/>
      <c r="D560" s="86"/>
      <c r="E560" s="151"/>
      <c r="F560" s="86"/>
      <c r="G560" s="214"/>
      <c r="H560" s="215"/>
      <c r="I560" s="86"/>
      <c r="J560" s="86"/>
      <c r="K560" s="1" t="s">
        <v>311</v>
      </c>
    </row>
    <row r="561" spans="2:13" x14ac:dyDescent="0.25">
      <c r="B561" s="86"/>
      <c r="C561" s="86"/>
      <c r="D561" s="86"/>
      <c r="E561" s="151"/>
      <c r="F561" s="86"/>
      <c r="G561" s="214"/>
      <c r="H561" s="215"/>
      <c r="I561" s="86"/>
      <c r="J561" s="86"/>
      <c r="K561" s="1" t="s">
        <v>312</v>
      </c>
      <c r="L561" s="86"/>
      <c r="M561" s="86"/>
    </row>
    <row r="562" spans="2:13" x14ac:dyDescent="0.25">
      <c r="B562" s="86"/>
      <c r="C562" s="86"/>
      <c r="D562" s="86"/>
      <c r="E562" s="151"/>
      <c r="F562" s="86"/>
      <c r="G562" s="214"/>
      <c r="H562" s="215"/>
      <c r="I562" s="86"/>
      <c r="J562" s="86"/>
      <c r="K562" s="1" t="s">
        <v>313</v>
      </c>
      <c r="L562" s="86"/>
      <c r="M562" s="86"/>
    </row>
    <row r="563" spans="2:13" x14ac:dyDescent="0.25">
      <c r="B563" s="86"/>
      <c r="C563" s="86"/>
      <c r="D563" s="86"/>
      <c r="E563" s="151"/>
      <c r="G563" s="214"/>
      <c r="H563" s="215"/>
      <c r="I563" s="86"/>
      <c r="J563" s="86"/>
      <c r="K563" s="86" t="s">
        <v>299</v>
      </c>
      <c r="L563" s="86"/>
      <c r="M563" s="86"/>
    </row>
    <row r="564" spans="2:13" x14ac:dyDescent="0.25">
      <c r="B564" s="86"/>
      <c r="C564" s="86"/>
      <c r="D564" s="86"/>
      <c r="E564" s="151"/>
      <c r="G564" s="214"/>
      <c r="H564" s="215"/>
      <c r="I564" s="86"/>
      <c r="J564" s="86"/>
      <c r="K564" s="86" t="s">
        <v>300</v>
      </c>
      <c r="L564" s="86"/>
      <c r="M564" s="86"/>
    </row>
    <row r="565" spans="2:13" x14ac:dyDescent="0.25">
      <c r="C565" s="86"/>
      <c r="D565" s="86"/>
      <c r="E565" s="151"/>
      <c r="G565" s="214"/>
      <c r="H565" s="215"/>
      <c r="K565" s="86" t="s">
        <v>288</v>
      </c>
      <c r="L565" s="86"/>
      <c r="M565" s="86"/>
    </row>
    <row r="566" spans="2:13" x14ac:dyDescent="0.25">
      <c r="C566" s="86"/>
      <c r="D566" s="86"/>
      <c r="E566" s="151"/>
      <c r="G566" s="214"/>
      <c r="H566" s="215"/>
      <c r="K566" s="86" t="s">
        <v>298</v>
      </c>
      <c r="L566" s="86"/>
      <c r="M566" s="86"/>
    </row>
    <row r="567" spans="2:13" x14ac:dyDescent="0.25">
      <c r="C567" s="86"/>
      <c r="D567" s="86"/>
      <c r="E567" s="151"/>
      <c r="G567" s="214"/>
      <c r="H567" s="215"/>
      <c r="K567" s="208"/>
    </row>
    <row r="568" spans="2:13" x14ac:dyDescent="0.25">
      <c r="C568" s="86"/>
      <c r="D568" s="86"/>
      <c r="G568" s="214"/>
      <c r="H568" s="215"/>
    </row>
    <row r="569" spans="2:13" x14ac:dyDescent="0.25">
      <c r="G569" s="208"/>
      <c r="H569" s="215"/>
      <c r="K569" s="86" t="s">
        <v>287</v>
      </c>
    </row>
    <row r="570" spans="2:13" x14ac:dyDescent="0.25">
      <c r="G570" s="208"/>
      <c r="H570" s="215"/>
      <c r="K570" s="88" t="s">
        <v>294</v>
      </c>
    </row>
    <row r="571" spans="2:13" x14ac:dyDescent="0.25">
      <c r="G571" s="208"/>
      <c r="H571" s="215"/>
      <c r="K571" s="86" t="s">
        <v>303</v>
      </c>
    </row>
    <row r="572" spans="2:13" x14ac:dyDescent="0.25">
      <c r="G572" s="208"/>
      <c r="H572" s="215"/>
      <c r="K572" s="88" t="s">
        <v>306</v>
      </c>
    </row>
    <row r="573" spans="2:13" x14ac:dyDescent="0.25">
      <c r="G573" s="208"/>
      <c r="H573" s="215"/>
      <c r="K573" s="86" t="s">
        <v>302</v>
      </c>
    </row>
    <row r="574" spans="2:13" x14ac:dyDescent="0.25">
      <c r="G574" s="208"/>
      <c r="H574" s="215"/>
      <c r="K574" s="88" t="s">
        <v>296</v>
      </c>
    </row>
    <row r="575" spans="2:13" x14ac:dyDescent="0.25">
      <c r="E575" s="151"/>
      <c r="F575" s="86"/>
      <c r="H575" s="164"/>
      <c r="K575" s="88" t="s">
        <v>291</v>
      </c>
    </row>
    <row r="576" spans="2:13" x14ac:dyDescent="0.25">
      <c r="E576" s="86"/>
      <c r="F576" s="86"/>
      <c r="H576" s="165"/>
    </row>
    <row r="577" spans="5:11" x14ac:dyDescent="0.25">
      <c r="E577" s="153" t="s">
        <v>326</v>
      </c>
      <c r="F577" s="86"/>
      <c r="H577" s="229">
        <v>0.15</v>
      </c>
      <c r="K577" s="88" t="s">
        <v>304</v>
      </c>
    </row>
    <row r="578" spans="5:11" x14ac:dyDescent="0.25">
      <c r="E578" s="153" t="s">
        <v>367</v>
      </c>
      <c r="F578" s="86"/>
      <c r="H578" s="230"/>
      <c r="K578" s="88" t="s">
        <v>315</v>
      </c>
    </row>
    <row r="579" spans="5:11" x14ac:dyDescent="0.25">
      <c r="E579" s="86"/>
      <c r="F579" s="86"/>
      <c r="K579" s="88" t="s">
        <v>293</v>
      </c>
    </row>
    <row r="580" spans="5:11" x14ac:dyDescent="0.25">
      <c r="K580" s="88" t="s">
        <v>314</v>
      </c>
    </row>
    <row r="581" spans="5:11" x14ac:dyDescent="0.25">
      <c r="E581" s="151"/>
      <c r="F581" s="86"/>
      <c r="K581" s="88" t="s">
        <v>295</v>
      </c>
    </row>
    <row r="582" spans="5:11" x14ac:dyDescent="0.25">
      <c r="E582" s="153" t="s">
        <v>339</v>
      </c>
      <c r="F582" s="86" t="s">
        <v>340</v>
      </c>
    </row>
    <row r="583" spans="5:11" x14ac:dyDescent="0.25">
      <c r="E583" s="153" t="s">
        <v>344</v>
      </c>
      <c r="F583" s="86" t="s">
        <v>340</v>
      </c>
    </row>
    <row r="584" spans="5:11" x14ac:dyDescent="0.25">
      <c r="E584" s="153" t="s">
        <v>350</v>
      </c>
      <c r="F584" s="86" t="s">
        <v>340</v>
      </c>
    </row>
    <row r="585" spans="5:11" x14ac:dyDescent="0.25">
      <c r="E585" s="151" t="s">
        <v>355</v>
      </c>
      <c r="F585" s="86" t="s">
        <v>340</v>
      </c>
    </row>
    <row r="586" spans="5:11" x14ac:dyDescent="0.25">
      <c r="E586" s="151" t="s">
        <v>359</v>
      </c>
      <c r="F586" s="86" t="s">
        <v>340</v>
      </c>
    </row>
    <row r="587" spans="5:11" x14ac:dyDescent="0.25">
      <c r="E587" s="151" t="s">
        <v>360</v>
      </c>
      <c r="F587" s="86" t="s">
        <v>340</v>
      </c>
    </row>
    <row r="588" spans="5:11" x14ac:dyDescent="0.25">
      <c r="E588" s="151" t="s">
        <v>361</v>
      </c>
      <c r="F588" s="86" t="s">
        <v>340</v>
      </c>
    </row>
    <row r="589" spans="5:11" x14ac:dyDescent="0.25">
      <c r="E589" s="250" t="s">
        <v>337</v>
      </c>
      <c r="F589" s="171" t="s">
        <v>226</v>
      </c>
    </row>
    <row r="590" spans="5:11" x14ac:dyDescent="0.25">
      <c r="E590" s="250" t="s">
        <v>338</v>
      </c>
      <c r="F590" s="171" t="s">
        <v>226</v>
      </c>
    </row>
    <row r="591" spans="5:11" x14ac:dyDescent="0.25">
      <c r="E591" s="250" t="s">
        <v>160</v>
      </c>
      <c r="F591" s="171" t="s">
        <v>226</v>
      </c>
    </row>
    <row r="592" spans="5:11" x14ac:dyDescent="0.25">
      <c r="E592" s="250" t="s">
        <v>341</v>
      </c>
      <c r="F592" s="171" t="s">
        <v>226</v>
      </c>
    </row>
    <row r="593" spans="5:6" x14ac:dyDescent="0.25">
      <c r="E593" s="250" t="s">
        <v>342</v>
      </c>
      <c r="F593" s="171" t="s">
        <v>226</v>
      </c>
    </row>
    <row r="594" spans="5:6" x14ac:dyDescent="0.25">
      <c r="E594" s="250" t="s">
        <v>343</v>
      </c>
      <c r="F594" s="171" t="s">
        <v>226</v>
      </c>
    </row>
    <row r="595" spans="5:6" x14ac:dyDescent="0.25">
      <c r="E595" s="250" t="s">
        <v>161</v>
      </c>
      <c r="F595" s="171" t="s">
        <v>226</v>
      </c>
    </row>
    <row r="596" spans="5:6" x14ac:dyDescent="0.25">
      <c r="E596" s="303" t="s">
        <v>162</v>
      </c>
      <c r="F596" s="171" t="s">
        <v>226</v>
      </c>
    </row>
    <row r="597" spans="5:6" x14ac:dyDescent="0.25">
      <c r="E597" s="250" t="s">
        <v>345</v>
      </c>
      <c r="F597" s="171" t="s">
        <v>226</v>
      </c>
    </row>
    <row r="598" spans="5:6" x14ac:dyDescent="0.25">
      <c r="E598" s="250" t="s">
        <v>346</v>
      </c>
      <c r="F598" s="171" t="s">
        <v>226</v>
      </c>
    </row>
    <row r="599" spans="5:6" x14ac:dyDescent="0.25">
      <c r="E599" s="250" t="s">
        <v>163</v>
      </c>
      <c r="F599" s="171" t="s">
        <v>226</v>
      </c>
    </row>
    <row r="600" spans="5:6" x14ac:dyDescent="0.25">
      <c r="E600" s="250" t="s">
        <v>347</v>
      </c>
      <c r="F600" s="171" t="s">
        <v>226</v>
      </c>
    </row>
    <row r="601" spans="5:6" x14ac:dyDescent="0.25">
      <c r="E601" s="250" t="s">
        <v>348</v>
      </c>
      <c r="F601" s="171" t="s">
        <v>226</v>
      </c>
    </row>
    <row r="602" spans="5:6" x14ac:dyDescent="0.25">
      <c r="E602" s="250" t="s">
        <v>349</v>
      </c>
      <c r="F602" s="171" t="s">
        <v>226</v>
      </c>
    </row>
    <row r="603" spans="5:6" x14ac:dyDescent="0.25">
      <c r="E603" s="250" t="s">
        <v>164</v>
      </c>
      <c r="F603" s="171" t="s">
        <v>226</v>
      </c>
    </row>
    <row r="604" spans="5:6" x14ac:dyDescent="0.25">
      <c r="E604" s="250" t="s">
        <v>165</v>
      </c>
      <c r="F604" s="171" t="s">
        <v>226</v>
      </c>
    </row>
    <row r="605" spans="5:6" x14ac:dyDescent="0.25">
      <c r="E605" s="250" t="s">
        <v>351</v>
      </c>
      <c r="F605" s="171" t="s">
        <v>226</v>
      </c>
    </row>
    <row r="606" spans="5:6" x14ac:dyDescent="0.25">
      <c r="E606" s="250" t="s">
        <v>352</v>
      </c>
      <c r="F606" s="171" t="s">
        <v>226</v>
      </c>
    </row>
    <row r="607" spans="5:6" x14ac:dyDescent="0.25">
      <c r="E607" s="250" t="s">
        <v>353</v>
      </c>
      <c r="F607" s="171" t="s">
        <v>226</v>
      </c>
    </row>
    <row r="608" spans="5:6" x14ac:dyDescent="0.25">
      <c r="E608" s="250" t="s">
        <v>166</v>
      </c>
      <c r="F608" s="171" t="s">
        <v>226</v>
      </c>
    </row>
    <row r="609" spans="5:6" x14ac:dyDescent="0.25">
      <c r="E609" s="250" t="s">
        <v>354</v>
      </c>
      <c r="F609" s="171" t="s">
        <v>226</v>
      </c>
    </row>
    <row r="610" spans="5:6" x14ac:dyDescent="0.25">
      <c r="E610" s="251" t="s">
        <v>356</v>
      </c>
      <c r="F610" s="171" t="s">
        <v>226</v>
      </c>
    </row>
    <row r="611" spans="5:6" x14ac:dyDescent="0.25">
      <c r="E611" s="251" t="s">
        <v>357</v>
      </c>
      <c r="F611" s="171" t="s">
        <v>226</v>
      </c>
    </row>
    <row r="612" spans="5:6" x14ac:dyDescent="0.25">
      <c r="E612" s="251" t="s">
        <v>358</v>
      </c>
      <c r="F612" s="171" t="s">
        <v>226</v>
      </c>
    </row>
    <row r="613" spans="5:6" x14ac:dyDescent="0.25">
      <c r="E613" s="251" t="s">
        <v>362</v>
      </c>
      <c r="F613" s="171" t="s">
        <v>226</v>
      </c>
    </row>
    <row r="614" spans="5:6" x14ac:dyDescent="0.25">
      <c r="E614" s="251" t="s">
        <v>363</v>
      </c>
      <c r="F614" s="171" t="s">
        <v>226</v>
      </c>
    </row>
    <row r="615" spans="5:6" x14ac:dyDescent="0.25">
      <c r="E615" s="251" t="s">
        <v>364</v>
      </c>
      <c r="F615" s="171" t="s">
        <v>226</v>
      </c>
    </row>
    <row r="616" spans="5:6" x14ac:dyDescent="0.25">
      <c r="E616" s="251" t="s">
        <v>365</v>
      </c>
      <c r="F616" s="171" t="s">
        <v>226</v>
      </c>
    </row>
    <row r="617" spans="5:6" x14ac:dyDescent="0.25">
      <c r="E617" s="251" t="s">
        <v>167</v>
      </c>
      <c r="F617" s="171" t="s">
        <v>226</v>
      </c>
    </row>
    <row r="618" spans="5:6" x14ac:dyDescent="0.25">
      <c r="E618" s="251" t="s">
        <v>366</v>
      </c>
      <c r="F618" s="171" t="s">
        <v>226</v>
      </c>
    </row>
    <row r="619" spans="5:6" x14ac:dyDescent="0.25">
      <c r="E619" s="251" t="s">
        <v>168</v>
      </c>
      <c r="F619" s="171" t="s">
        <v>226</v>
      </c>
    </row>
    <row r="620" spans="5:6" x14ac:dyDescent="0.25">
      <c r="E620" s="295" t="s">
        <v>412</v>
      </c>
      <c r="F620" s="88" t="s">
        <v>413</v>
      </c>
    </row>
    <row r="621" spans="5:6" x14ac:dyDescent="0.25">
      <c r="E621" s="295" t="s">
        <v>414</v>
      </c>
      <c r="F621" s="88" t="s">
        <v>413</v>
      </c>
    </row>
    <row r="622" spans="5:6" x14ac:dyDescent="0.25">
      <c r="E622" s="295" t="s">
        <v>415</v>
      </c>
      <c r="F622" s="88" t="s">
        <v>413</v>
      </c>
    </row>
    <row r="623" spans="5:6" x14ac:dyDescent="0.25">
      <c r="E623" s="295" t="s">
        <v>416</v>
      </c>
      <c r="F623" s="88" t="s">
        <v>413</v>
      </c>
    </row>
    <row r="624" spans="5:6" x14ac:dyDescent="0.25">
      <c r="E624" s="295" t="s">
        <v>417</v>
      </c>
      <c r="F624" s="88" t="s">
        <v>413</v>
      </c>
    </row>
    <row r="625" spans="5:6" x14ac:dyDescent="0.25">
      <c r="E625" s="295" t="s">
        <v>418</v>
      </c>
      <c r="F625" s="88" t="s">
        <v>413</v>
      </c>
    </row>
    <row r="626" spans="5:6" x14ac:dyDescent="0.25">
      <c r="E626" s="295" t="s">
        <v>419</v>
      </c>
      <c r="F626" s="88" t="s">
        <v>413</v>
      </c>
    </row>
    <row r="627" spans="5:6" x14ac:dyDescent="0.25">
      <c r="E627" s="296" t="s">
        <v>420</v>
      </c>
      <c r="F627" s="88" t="s">
        <v>413</v>
      </c>
    </row>
    <row r="628" spans="5:6" x14ac:dyDescent="0.25">
      <c r="E628" s="296" t="s">
        <v>421</v>
      </c>
      <c r="F628" s="88" t="s">
        <v>413</v>
      </c>
    </row>
    <row r="629" spans="5:6" x14ac:dyDescent="0.25">
      <c r="E629" s="296" t="s">
        <v>422</v>
      </c>
      <c r="F629" s="88" t="s">
        <v>413</v>
      </c>
    </row>
    <row r="630" spans="5:6" x14ac:dyDescent="0.25">
      <c r="E630" s="296" t="s">
        <v>423</v>
      </c>
      <c r="F630" s="88" t="s">
        <v>413</v>
      </c>
    </row>
    <row r="631" spans="5:6" x14ac:dyDescent="0.25">
      <c r="E631" s="296" t="s">
        <v>424</v>
      </c>
      <c r="F631" s="88" t="s">
        <v>413</v>
      </c>
    </row>
    <row r="632" spans="5:6" x14ac:dyDescent="0.25">
      <c r="E632" s="296" t="s">
        <v>425</v>
      </c>
      <c r="F632" s="88" t="s">
        <v>413</v>
      </c>
    </row>
    <row r="633" spans="5:6" x14ac:dyDescent="0.25">
      <c r="E633" s="296" t="s">
        <v>426</v>
      </c>
      <c r="F633" s="88" t="s">
        <v>413</v>
      </c>
    </row>
    <row r="634" spans="5:6" x14ac:dyDescent="0.25">
      <c r="E634" s="296" t="s">
        <v>427</v>
      </c>
      <c r="F634" s="88" t="s">
        <v>413</v>
      </c>
    </row>
    <row r="635" spans="5:6" x14ac:dyDescent="0.25">
      <c r="E635" s="296" t="s">
        <v>428</v>
      </c>
      <c r="F635" s="88" t="s">
        <v>413</v>
      </c>
    </row>
    <row r="636" spans="5:6" x14ac:dyDescent="0.25">
      <c r="E636" s="296" t="s">
        <v>429</v>
      </c>
      <c r="F636" s="88" t="s">
        <v>413</v>
      </c>
    </row>
    <row r="637" spans="5:6" x14ac:dyDescent="0.25">
      <c r="E637" s="296" t="s">
        <v>430</v>
      </c>
      <c r="F637" s="88" t="s">
        <v>413</v>
      </c>
    </row>
    <row r="638" spans="5:6" x14ac:dyDescent="0.25">
      <c r="E638" s="296" t="s">
        <v>431</v>
      </c>
      <c r="F638" s="88" t="s">
        <v>413</v>
      </c>
    </row>
    <row r="639" spans="5:6" x14ac:dyDescent="0.25">
      <c r="E639" s="296" t="s">
        <v>432</v>
      </c>
      <c r="F639" s="88" t="s">
        <v>413</v>
      </c>
    </row>
    <row r="640" spans="5:6" x14ac:dyDescent="0.25">
      <c r="E640" s="296" t="s">
        <v>433</v>
      </c>
      <c r="F640" s="88" t="s">
        <v>413</v>
      </c>
    </row>
    <row r="641" spans="5:6" x14ac:dyDescent="0.25">
      <c r="E641" s="296" t="s">
        <v>434</v>
      </c>
      <c r="F641" s="88" t="s">
        <v>413</v>
      </c>
    </row>
    <row r="642" spans="5:6" x14ac:dyDescent="0.25">
      <c r="E642" s="296" t="s">
        <v>435</v>
      </c>
      <c r="F642" s="88" t="s">
        <v>413</v>
      </c>
    </row>
    <row r="643" spans="5:6" x14ac:dyDescent="0.25">
      <c r="E643" s="296" t="s">
        <v>436</v>
      </c>
      <c r="F643" s="88" t="s">
        <v>413</v>
      </c>
    </row>
    <row r="644" spans="5:6" x14ac:dyDescent="0.25">
      <c r="E644" s="296" t="s">
        <v>437</v>
      </c>
      <c r="F644" s="88" t="s">
        <v>413</v>
      </c>
    </row>
    <row r="645" spans="5:6" x14ac:dyDescent="0.25">
      <c r="E645" s="296" t="s">
        <v>438</v>
      </c>
      <c r="F645" s="88" t="s">
        <v>413</v>
      </c>
    </row>
    <row r="646" spans="5:6" x14ac:dyDescent="0.25">
      <c r="E646" s="296" t="s">
        <v>439</v>
      </c>
      <c r="F646" s="88" t="s">
        <v>413</v>
      </c>
    </row>
    <row r="647" spans="5:6" x14ac:dyDescent="0.25">
      <c r="E647" s="296" t="s">
        <v>440</v>
      </c>
      <c r="F647" s="88" t="s">
        <v>413</v>
      </c>
    </row>
    <row r="648" spans="5:6" x14ac:dyDescent="0.25">
      <c r="E648" s="296" t="s">
        <v>441</v>
      </c>
      <c r="F648" s="88" t="s">
        <v>413</v>
      </c>
    </row>
  </sheetData>
  <sheetProtection algorithmName="SHA-512" hashValue="+4oQ2TsiwuDAX53H2Nk6ySeIrcTL3Xtz0m06JxJDXw/CpBkBQoSfLL56lxKYDlPscLKdn60UHafBlAFi/pqTxQ==" saltValue="A3oOU8OemoakNCT2L9p9rA==" spinCount="100000" sheet="1" selectLockedCells="1"/>
  <sortState xmlns:xlrd2="http://schemas.microsoft.com/office/spreadsheetml/2017/richdata2" ref="E508:F543">
    <sortCondition ref="E508:E543"/>
    <sortCondition ref="F508:F543"/>
  </sortState>
  <mergeCells count="181">
    <mergeCell ref="C451:O451"/>
    <mergeCell ref="K420:M420"/>
    <mergeCell ref="K422:M422"/>
    <mergeCell ref="K436:M436"/>
    <mergeCell ref="K434:M434"/>
    <mergeCell ref="Q319:Z322"/>
    <mergeCell ref="K286:N286"/>
    <mergeCell ref="K288:N288"/>
    <mergeCell ref="K290:N290"/>
    <mergeCell ref="Q398:V399"/>
    <mergeCell ref="R327:T327"/>
    <mergeCell ref="R331:AB332"/>
    <mergeCell ref="K334:N334"/>
    <mergeCell ref="K446:M446"/>
    <mergeCell ref="K405:M405"/>
    <mergeCell ref="K411:M411"/>
    <mergeCell ref="K377:M377"/>
    <mergeCell ref="K398:M398"/>
    <mergeCell ref="K378:M378"/>
    <mergeCell ref="K399:M399"/>
    <mergeCell ref="K404:M404"/>
    <mergeCell ref="K428:M428"/>
    <mergeCell ref="K408:M408"/>
    <mergeCell ref="K414:M414"/>
    <mergeCell ref="K415:M415"/>
    <mergeCell ref="K417:M417"/>
    <mergeCell ref="D381:N382"/>
    <mergeCell ref="I388:K388"/>
    <mergeCell ref="I389:K389"/>
    <mergeCell ref="I390:K390"/>
    <mergeCell ref="I391:K391"/>
    <mergeCell ref="I392:K392"/>
    <mergeCell ref="I393:K393"/>
    <mergeCell ref="D384:N384"/>
    <mergeCell ref="G389:H389"/>
    <mergeCell ref="G390:H390"/>
    <mergeCell ref="G391:H391"/>
    <mergeCell ref="G392:H392"/>
    <mergeCell ref="G393:H393"/>
    <mergeCell ref="I386:K386"/>
    <mergeCell ref="I387:K387"/>
    <mergeCell ref="C395:H396"/>
    <mergeCell ref="C398:H399"/>
    <mergeCell ref="C401:H402"/>
    <mergeCell ref="K35:N35"/>
    <mergeCell ref="F214:O216"/>
    <mergeCell ref="F218:O220"/>
    <mergeCell ref="F225:O229"/>
    <mergeCell ref="F231:O235"/>
    <mergeCell ref="E354:F354"/>
    <mergeCell ref="E308:F308"/>
    <mergeCell ref="K342:N342"/>
    <mergeCell ref="K344:N344"/>
    <mergeCell ref="K346:N346"/>
    <mergeCell ref="K348:N348"/>
    <mergeCell ref="K324:N324"/>
    <mergeCell ref="E306:F306"/>
    <mergeCell ref="K282:N282"/>
    <mergeCell ref="K292:N292"/>
    <mergeCell ref="K294:N294"/>
    <mergeCell ref="K296:N296"/>
    <mergeCell ref="K330:N330"/>
    <mergeCell ref="K332:N332"/>
    <mergeCell ref="I257:K257"/>
    <mergeCell ref="K278:N278"/>
    <mergeCell ref="K272:N272"/>
    <mergeCell ref="F240:O242"/>
    <mergeCell ref="K336:N336"/>
    <mergeCell ref="G37:N37"/>
    <mergeCell ref="I256:K256"/>
    <mergeCell ref="F247:O249"/>
    <mergeCell ref="E352:F352"/>
    <mergeCell ref="K284:N284"/>
    <mergeCell ref="D482:F482"/>
    <mergeCell ref="M479:P481"/>
    <mergeCell ref="M475:P477"/>
    <mergeCell ref="K412:M412"/>
    <mergeCell ref="K432:M432"/>
    <mergeCell ref="K445:M445"/>
    <mergeCell ref="K421:M421"/>
    <mergeCell ref="N417:N420"/>
    <mergeCell ref="K413:M413"/>
    <mergeCell ref="K423:M423"/>
    <mergeCell ref="K429:M429"/>
    <mergeCell ref="K418:M418"/>
    <mergeCell ref="K433:M433"/>
    <mergeCell ref="K437:M437"/>
    <mergeCell ref="K416:M416"/>
    <mergeCell ref="K440:M440"/>
    <mergeCell ref="K419:M419"/>
    <mergeCell ref="K380:M380"/>
    <mergeCell ref="K444:M444"/>
    <mergeCell ref="K545:N545"/>
    <mergeCell ref="K431:M431"/>
    <mergeCell ref="K402:M402"/>
    <mergeCell ref="B498:N498"/>
    <mergeCell ref="R279:AB280"/>
    <mergeCell ref="R335:T335"/>
    <mergeCell ref="K538:M538"/>
    <mergeCell ref="K401:M401"/>
    <mergeCell ref="K396:N396"/>
    <mergeCell ref="N408:N410"/>
    <mergeCell ref="K410:M410"/>
    <mergeCell ref="K424:M424"/>
    <mergeCell ref="K425:M425"/>
    <mergeCell ref="N424:N425"/>
    <mergeCell ref="E426:M426"/>
    <mergeCell ref="K439:M439"/>
    <mergeCell ref="N414:N415"/>
    <mergeCell ref="K409:M409"/>
    <mergeCell ref="K407:M407"/>
    <mergeCell ref="K438:M438"/>
    <mergeCell ref="K442:M442"/>
    <mergeCell ref="K537:M537"/>
    <mergeCell ref="K448:M449"/>
    <mergeCell ref="K447:M447"/>
    <mergeCell ref="Q37:Z39"/>
    <mergeCell ref="Q44:Z45"/>
    <mergeCell ref="Q60:Z61"/>
    <mergeCell ref="Q78:Z79"/>
    <mergeCell ref="Q82:Z83"/>
    <mergeCell ref="Q173:Z174"/>
    <mergeCell ref="Q92:Z93"/>
    <mergeCell ref="Q94:Z95"/>
    <mergeCell ref="Q107:Z108"/>
    <mergeCell ref="Q109:Z110"/>
    <mergeCell ref="Q127:Z128"/>
    <mergeCell ref="Q168:Z169"/>
    <mergeCell ref="Q153:Z154"/>
    <mergeCell ref="Q58:Z59"/>
    <mergeCell ref="Q46:Z47"/>
    <mergeCell ref="Q98:Z99"/>
    <mergeCell ref="Q102:Z103"/>
    <mergeCell ref="Q117:Z118"/>
    <mergeCell ref="Q113:Z114"/>
    <mergeCell ref="Q115:Z116"/>
    <mergeCell ref="Q196:AC197"/>
    <mergeCell ref="Q119:Z120"/>
    <mergeCell ref="Q131:Z132"/>
    <mergeCell ref="Q123:Z124"/>
    <mergeCell ref="Q121:AC122"/>
    <mergeCell ref="Q125:Z126"/>
    <mergeCell ref="Q178:Z179"/>
    <mergeCell ref="G388:H388"/>
    <mergeCell ref="Q190:Z191"/>
    <mergeCell ref="Q267:Z270"/>
    <mergeCell ref="Q175:Z177"/>
    <mergeCell ref="Q194:Z195"/>
    <mergeCell ref="Q155:Z156"/>
    <mergeCell ref="Q161:Z162"/>
    <mergeCell ref="K280:N280"/>
    <mergeCell ref="R275:T275"/>
    <mergeCell ref="R274:T274"/>
    <mergeCell ref="R283:T283"/>
    <mergeCell ref="R326:T326"/>
    <mergeCell ref="K338:N338"/>
    <mergeCell ref="K340:N340"/>
    <mergeCell ref="K547:M547"/>
    <mergeCell ref="Q393:S393"/>
    <mergeCell ref="D385:F385"/>
    <mergeCell ref="D386:F386"/>
    <mergeCell ref="D387:F387"/>
    <mergeCell ref="G385:H385"/>
    <mergeCell ref="I385:K385"/>
    <mergeCell ref="G386:H386"/>
    <mergeCell ref="G387:H387"/>
    <mergeCell ref="L385:N385"/>
    <mergeCell ref="D388:F388"/>
    <mergeCell ref="D389:F389"/>
    <mergeCell ref="D390:F390"/>
    <mergeCell ref="D391:F391"/>
    <mergeCell ref="D392:F392"/>
    <mergeCell ref="D393:F393"/>
    <mergeCell ref="L386:N386"/>
    <mergeCell ref="L387:N387"/>
    <mergeCell ref="L388:N388"/>
    <mergeCell ref="L389:N389"/>
    <mergeCell ref="L390:N390"/>
    <mergeCell ref="L391:N391"/>
    <mergeCell ref="L392:N392"/>
    <mergeCell ref="L393:N393"/>
  </mergeCells>
  <conditionalFormatting sqref="Q65">
    <cfRule type="cellIs" dxfId="115" priority="152" operator="equal">
      <formula>"Yes"</formula>
    </cfRule>
    <cfRule type="cellIs" dxfId="114" priority="153" operator="equal">
      <formula>"No"</formula>
    </cfRule>
  </conditionalFormatting>
  <conditionalFormatting sqref="Q70">
    <cfRule type="cellIs" dxfId="113" priority="164" operator="equal">
      <formula>"No"</formula>
    </cfRule>
    <cfRule type="cellIs" dxfId="112" priority="165" operator="equal">
      <formula>"Yes"</formula>
    </cfRule>
  </conditionalFormatting>
  <conditionalFormatting sqref="Q136">
    <cfRule type="cellIs" dxfId="111" priority="168" operator="equal">
      <formula>"No"</formula>
    </cfRule>
    <cfRule type="cellIs" dxfId="110" priority="169" operator="equal">
      <formula>"Yes"</formula>
    </cfRule>
  </conditionalFormatting>
  <conditionalFormatting sqref="Q193">
    <cfRule type="cellIs" dxfId="109" priority="242" operator="equal">
      <formula>"No"</formula>
    </cfRule>
    <cfRule type="cellIs" dxfId="108" priority="243" operator="equal">
      <formula>"Yes"</formula>
    </cfRule>
  </conditionalFormatting>
  <conditionalFormatting sqref="Q186">
    <cfRule type="cellIs" dxfId="107" priority="195" operator="equal">
      <formula>"No"</formula>
    </cfRule>
    <cfRule type="cellIs" dxfId="106" priority="202" operator="equal">
      <formula>"Yes"</formula>
    </cfRule>
  </conditionalFormatting>
  <conditionalFormatting sqref="Q188:Q189">
    <cfRule type="cellIs" dxfId="105" priority="214" operator="equal">
      <formula>"No"</formula>
    </cfRule>
    <cfRule type="cellIs" dxfId="104" priority="215" operator="equal">
      <formula>"Yes"</formula>
    </cfRule>
  </conditionalFormatting>
  <conditionalFormatting sqref="J316">
    <cfRule type="expression" dxfId="103" priority="327">
      <formula>H316&lt;0</formula>
    </cfRule>
  </conditionalFormatting>
  <conditionalFormatting sqref="J362">
    <cfRule type="expression" dxfId="102" priority="359">
      <formula>H362&lt;0</formula>
    </cfRule>
  </conditionalFormatting>
  <conditionalFormatting sqref="D361:F362 J362:P362">
    <cfRule type="expression" dxfId="101" priority="357">
      <formula>$H$362&lt;0</formula>
    </cfRule>
  </conditionalFormatting>
  <conditionalFormatting sqref="D315:F316 J316:P316">
    <cfRule type="expression" dxfId="100" priority="325">
      <formula>$H$316&lt;0</formula>
    </cfRule>
  </conditionalFormatting>
  <conditionalFormatting sqref="F240:O242">
    <cfRule type="expression" dxfId="99" priority="305">
      <formula>AND(F240="",N168&lt;&gt;"")</formula>
    </cfRule>
  </conditionalFormatting>
  <conditionalFormatting sqref="F231:O235">
    <cfRule type="expression" dxfId="98" priority="303">
      <formula>AND(F231="",N131&lt;&gt;"")</formula>
    </cfRule>
  </conditionalFormatting>
  <conditionalFormatting sqref="F225:O229">
    <cfRule type="expression" dxfId="97" priority="300">
      <formula>AND(F225="",N107&lt;&gt;"")</formula>
    </cfRule>
  </conditionalFormatting>
  <conditionalFormatting sqref="F218:O220">
    <cfRule type="expression" dxfId="96" priority="297">
      <formula>AND(F218="",N60&lt;&gt;"")</formula>
    </cfRule>
  </conditionalFormatting>
  <conditionalFormatting sqref="F214:O216">
    <cfRule type="expression" dxfId="95" priority="256">
      <formula>AND(F214="",N50&lt;&gt;"")</formula>
    </cfRule>
  </conditionalFormatting>
  <conditionalFormatting sqref="Q192">
    <cfRule type="cellIs" dxfId="94" priority="241" operator="equal">
      <formula>$E$500</formula>
    </cfRule>
  </conditionalFormatting>
  <conditionalFormatting sqref="F247:O249">
    <cfRule type="expression" dxfId="93" priority="308">
      <formula>AND(F247="",$N$176&lt;&gt;"")</formula>
    </cfRule>
  </conditionalFormatting>
  <conditionalFormatting sqref="N185 N187 N192">
    <cfRule type="expression" dxfId="92" priority="171">
      <formula>Q186="No"</formula>
    </cfRule>
  </conditionalFormatting>
  <conditionalFormatting sqref="N136">
    <cfRule type="expression" dxfId="91" priority="166">
      <formula>Q136="No"</formula>
    </cfRule>
  </conditionalFormatting>
  <conditionalFormatting sqref="N65">
    <cfRule type="expression" dxfId="90" priority="150">
      <formula>Q65="No"</formula>
    </cfRule>
  </conditionalFormatting>
  <conditionalFormatting sqref="N70">
    <cfRule type="expression" dxfId="89" priority="162">
      <formula>Q70="No"</formula>
    </cfRule>
  </conditionalFormatting>
  <conditionalFormatting sqref="D185:F185 D187:F187 C192:F192">
    <cfRule type="expression" dxfId="88" priority="170">
      <formula>$Q186="No"</formula>
    </cfRule>
  </conditionalFormatting>
  <conditionalFormatting sqref="C65:F65 C70:F70 C136:F136">
    <cfRule type="expression" dxfId="87" priority="149">
      <formula>$Q65="No"</formula>
    </cfRule>
  </conditionalFormatting>
  <conditionalFormatting sqref="P185">
    <cfRule type="cellIs" dxfId="86" priority="192" operator="equal">
      <formula>"**"</formula>
    </cfRule>
  </conditionalFormatting>
  <conditionalFormatting sqref="P187">
    <cfRule type="cellIs" dxfId="85" priority="212" operator="equal">
      <formula>"**"</formula>
    </cfRule>
  </conditionalFormatting>
  <conditionalFormatting sqref="P192">
    <cfRule type="cellIs" dxfId="84" priority="240" operator="equal">
      <formula>"**"</formula>
    </cfRule>
  </conditionalFormatting>
  <conditionalFormatting sqref="P136">
    <cfRule type="cellIs" dxfId="83" priority="167" operator="equal">
      <formula>"**"</formula>
    </cfRule>
  </conditionalFormatting>
  <conditionalFormatting sqref="P70">
    <cfRule type="cellIs" dxfId="82" priority="163" operator="equal">
      <formula>"**"</formula>
    </cfRule>
  </conditionalFormatting>
  <conditionalFormatting sqref="P65">
    <cfRule type="cellIs" dxfId="81" priority="151" operator="equal">
      <formula>"**"</formula>
    </cfRule>
  </conditionalFormatting>
  <conditionalFormatting sqref="P214">
    <cfRule type="cellIs" dxfId="80" priority="293" operator="equal">
      <formula>"**"</formula>
    </cfRule>
  </conditionalFormatting>
  <conditionalFormatting sqref="P218">
    <cfRule type="cellIs" dxfId="79" priority="298" operator="equal">
      <formula>"**"</formula>
    </cfRule>
  </conditionalFormatting>
  <conditionalFormatting sqref="P225">
    <cfRule type="cellIs" dxfId="78" priority="302" operator="equal">
      <formula>"**"</formula>
    </cfRule>
  </conditionalFormatting>
  <conditionalFormatting sqref="P231">
    <cfRule type="cellIs" dxfId="77" priority="304" operator="equal">
      <formula>"**"</formula>
    </cfRule>
  </conditionalFormatting>
  <conditionalFormatting sqref="P240">
    <cfRule type="cellIs" dxfId="76" priority="307" operator="equal">
      <formula>"**"</formula>
    </cfRule>
  </conditionalFormatting>
  <conditionalFormatting sqref="P247">
    <cfRule type="cellIs" dxfId="75" priority="310" operator="equal">
      <formula>"**"</formula>
    </cfRule>
  </conditionalFormatting>
  <conditionalFormatting sqref="P35:P36">
    <cfRule type="cellIs" dxfId="74" priority="145" operator="equal">
      <formula>"**"</formula>
    </cfRule>
  </conditionalFormatting>
  <conditionalFormatting sqref="P315">
    <cfRule type="cellIs" dxfId="73" priority="326" operator="equal">
      <formula>"**"</formula>
    </cfRule>
  </conditionalFormatting>
  <conditionalFormatting sqref="P449">
    <cfRule type="cellIs" dxfId="72" priority="366" operator="equal">
      <formula>"**"</formula>
    </cfRule>
  </conditionalFormatting>
  <conditionalFormatting sqref="K448:M449">
    <cfRule type="cellIs" dxfId="71" priority="365" operator="equal">
      <formula>"No"</formula>
    </cfRule>
  </conditionalFormatting>
  <conditionalFormatting sqref="Q185">
    <cfRule type="cellIs" dxfId="70" priority="193" operator="equal">
      <formula>$E$500</formula>
    </cfRule>
    <cfRule type="cellIs" dxfId="69" priority="194" operator="equal">
      <formula>"(select below)"</formula>
    </cfRule>
  </conditionalFormatting>
  <conditionalFormatting sqref="Q187">
    <cfRule type="cellIs" dxfId="68" priority="213" operator="equal">
      <formula>$E$500</formula>
    </cfRule>
  </conditionalFormatting>
  <conditionalFormatting sqref="N194">
    <cfRule type="expression" dxfId="67" priority="244">
      <formula>Q195="No"</formula>
    </cfRule>
  </conditionalFormatting>
  <conditionalFormatting sqref="D189:D190">
    <cfRule type="expression" dxfId="66" priority="216">
      <formula>$Q191="No"</formula>
    </cfRule>
  </conditionalFormatting>
  <conditionalFormatting sqref="H190 N190">
    <cfRule type="expression" dxfId="65" priority="217">
      <formula>$Q$187=21%</formula>
    </cfRule>
  </conditionalFormatting>
  <conditionalFormatting sqref="P361">
    <cfRule type="cellIs" dxfId="64" priority="358" operator="equal">
      <formula>"**"</formula>
    </cfRule>
  </conditionalFormatting>
  <conditionalFormatting sqref="C70:F70">
    <cfRule type="expression" dxfId="63" priority="154">
      <formula>AND(N($N70)&gt;0,$Q70="TBD")</formula>
    </cfRule>
  </conditionalFormatting>
  <conditionalFormatting sqref="I35:I36">
    <cfRule type="expression" dxfId="62" priority="110">
      <formula>$P35="**"</formula>
    </cfRule>
  </conditionalFormatting>
  <conditionalFormatting sqref="Q316">
    <cfRule type="expression" dxfId="61" priority="328">
      <formula>H316&lt;0</formula>
    </cfRule>
    <cfRule type="expression" dxfId="60" priority="329">
      <formula>H316&gt;=0</formula>
    </cfRule>
  </conditionalFormatting>
  <conditionalFormatting sqref="Q362">
    <cfRule type="expression" dxfId="59" priority="360">
      <formula>H362&gt;=0</formula>
    </cfRule>
    <cfRule type="expression" dxfId="58" priority="361">
      <formula>H362&lt;0</formula>
    </cfRule>
  </conditionalFormatting>
  <conditionalFormatting sqref="K508:N521">
    <cfRule type="expression" dxfId="57" priority="460">
      <formula>$K$506=$K508</formula>
    </cfRule>
  </conditionalFormatting>
  <conditionalFormatting sqref="C395">
    <cfRule type="expression" dxfId="56" priority="362">
      <formula>$P395="**"</formula>
    </cfRule>
  </conditionalFormatting>
  <conditionalFormatting sqref="K482">
    <cfRule type="cellIs" dxfId="55" priority="385" operator="equal">
      <formula>"(less than 60% maximum)"</formula>
    </cfRule>
    <cfRule type="cellIs" dxfId="54" priority="458" operator="equal">
      <formula>"(equal to 60% maximum)"</formula>
    </cfRule>
    <cfRule type="cellIs" dxfId="53" priority="459" operator="equal">
      <formula>"(greater than 60% maximum)"</formula>
    </cfRule>
  </conditionalFormatting>
  <conditionalFormatting sqref="M479:P481">
    <cfRule type="cellIs" dxfId="52" priority="368" operator="equal">
      <formula>"(Total Units here matches the Total Units entered on row 33 above)"</formula>
    </cfRule>
    <cfRule type="cellIs" dxfId="51" priority="369" operator="equal">
      <formula>"(Total Units here does NOT match the Total Units entered on row 33 above)"</formula>
    </cfRule>
  </conditionalFormatting>
  <conditionalFormatting sqref="L36:M36">
    <cfRule type="cellIs" dxfId="50" priority="147" operator="equal">
      <formula>$F$500</formula>
    </cfRule>
  </conditionalFormatting>
  <conditionalFormatting sqref="K546">
    <cfRule type="expression" dxfId="49" priority="463">
      <formula>OR(K546=0,K546="(enter a value)")</formula>
    </cfRule>
  </conditionalFormatting>
  <conditionalFormatting sqref="K545:N545">
    <cfRule type="cellIs" dxfId="48" priority="462" operator="equal">
      <formula>$F$500</formula>
    </cfRule>
  </conditionalFormatting>
  <conditionalFormatting sqref="K545:N545">
    <cfRule type="cellIs" dxfId="47" priority="461" operator="equal">
      <formula>""</formula>
    </cfRule>
  </conditionalFormatting>
  <conditionalFormatting sqref="F469:K469">
    <cfRule type="expression" dxfId="46" priority="367">
      <formula>AND($K469+$K468&lt;$H$577,$H480&gt;0)</formula>
    </cfRule>
  </conditionalFormatting>
  <conditionalFormatting sqref="K278:N278">
    <cfRule type="expression" dxfId="45" priority="315">
      <formula>AND(K278=$K$551,N(H278)&gt;0)</formula>
    </cfRule>
  </conditionalFormatting>
  <conditionalFormatting sqref="K280:N280">
    <cfRule type="expression" dxfId="44" priority="316">
      <formula>AND(K280=$K$551,N(H280)&gt;0)</formula>
    </cfRule>
  </conditionalFormatting>
  <conditionalFormatting sqref="K282:N282">
    <cfRule type="expression" dxfId="43" priority="317">
      <formula>AND(K282=$K$551,N(H282)&gt;0)</formula>
    </cfRule>
  </conditionalFormatting>
  <conditionalFormatting sqref="K284:N284">
    <cfRule type="expression" dxfId="42" priority="318">
      <formula>AND(K284=$K$551,N(H284)&gt;0)</formula>
    </cfRule>
  </conditionalFormatting>
  <conditionalFormatting sqref="K286:N286">
    <cfRule type="expression" dxfId="41" priority="319">
      <formula>AND(K286=$K$551,N(H286)&gt;0)</formula>
    </cfRule>
  </conditionalFormatting>
  <conditionalFormatting sqref="K288:N288">
    <cfRule type="expression" dxfId="40" priority="320">
      <formula>AND(K288=$K$551,N(H288)&gt;0)</formula>
    </cfRule>
  </conditionalFormatting>
  <conditionalFormatting sqref="K290:N290">
    <cfRule type="expression" dxfId="39" priority="321">
      <formula>AND(K290=$K$551,N(H290)&gt;0)</formula>
    </cfRule>
  </conditionalFormatting>
  <conditionalFormatting sqref="K292:N292">
    <cfRule type="expression" dxfId="38" priority="322">
      <formula>AND(K292=$K$551,N(H292)&gt;0)</formula>
    </cfRule>
  </conditionalFormatting>
  <conditionalFormatting sqref="K294:N294">
    <cfRule type="expression" dxfId="37" priority="323">
      <formula>AND(K294=$K$551,N(H294)&gt;0)</formula>
    </cfRule>
  </conditionalFormatting>
  <conditionalFormatting sqref="K296:N296">
    <cfRule type="expression" dxfId="36" priority="324">
      <formula>AND(K296=$K$551,N(H296)&gt;0)</formula>
    </cfRule>
  </conditionalFormatting>
  <conditionalFormatting sqref="K330:N330">
    <cfRule type="expression" dxfId="35" priority="336">
      <formula>AND(K330=$K$551,N(H330)&gt;0)</formula>
    </cfRule>
  </conditionalFormatting>
  <conditionalFormatting sqref="K332:N332">
    <cfRule type="expression" dxfId="34" priority="337">
      <formula>AND(K332=$K$551,N(H332)&gt;0)</formula>
    </cfRule>
  </conditionalFormatting>
  <conditionalFormatting sqref="K334:N334">
    <cfRule type="expression" dxfId="33" priority="338">
      <formula>AND(K334=$K$551,N(H334)&gt;0)</formula>
    </cfRule>
  </conditionalFormatting>
  <conditionalFormatting sqref="K336:N336">
    <cfRule type="expression" dxfId="32" priority="339">
      <formula>AND(K336=$K$551,N(H336)&gt;0)</formula>
    </cfRule>
  </conditionalFormatting>
  <conditionalFormatting sqref="K338:N338">
    <cfRule type="expression" dxfId="31" priority="340">
      <formula>AND(K338=$K$551,N(H338)&gt;0)</formula>
    </cfRule>
  </conditionalFormatting>
  <conditionalFormatting sqref="K340:N340">
    <cfRule type="expression" dxfId="30" priority="341">
      <formula>AND(K340=$K$551,N(H340)&gt;0)</formula>
    </cfRule>
  </conditionalFormatting>
  <conditionalFormatting sqref="K342:N342">
    <cfRule type="expression" dxfId="29" priority="349">
      <formula>AND(K342=$K$551,N(H342)&gt;0)</formula>
    </cfRule>
  </conditionalFormatting>
  <conditionalFormatting sqref="K344:N344">
    <cfRule type="expression" dxfId="28" priority="350">
      <formula>AND(K344=$K$551,N(H344)&gt;0)</formula>
    </cfRule>
  </conditionalFormatting>
  <conditionalFormatting sqref="K346:N346">
    <cfRule type="expression" dxfId="27" priority="353">
      <formula>AND(K346=$K$551,N(H346)&gt;0)</formula>
    </cfRule>
  </conditionalFormatting>
  <conditionalFormatting sqref="K348:N348">
    <cfRule type="expression" dxfId="26" priority="354">
      <formula>AND(K348=$K$551,N(H348)&gt;0)</formula>
    </cfRule>
  </conditionalFormatting>
  <conditionalFormatting sqref="K35:N35">
    <cfRule type="cellIs" dxfId="25" priority="129" operator="equal">
      <formula>$F$500</formula>
    </cfRule>
  </conditionalFormatting>
  <conditionalFormatting sqref="K35:N35">
    <cfRule type="cellIs" dxfId="24" priority="128" operator="equal">
      <formula>""</formula>
    </cfRule>
  </conditionalFormatting>
  <conditionalFormatting sqref="I257:K257">
    <cfRule type="expression" dxfId="23" priority="470">
      <formula>OR(K$35=F$503,K$35=F$504)</formula>
    </cfRule>
  </conditionalFormatting>
  <conditionalFormatting sqref="I257:K257">
    <cfRule type="expression" dxfId="22" priority="471">
      <formula>AND(OR(K35=F503,K35=F504),OR(I257="",I257=$C$500))</formula>
    </cfRule>
  </conditionalFormatting>
  <conditionalFormatting sqref="K547:M547 I256:K256">
    <cfRule type="expression" dxfId="21" priority="472">
      <formula>OR(K$35=F$503,K$35=F$504)</formula>
    </cfRule>
    <cfRule type="expression" dxfId="20" priority="473">
      <formula>AND(OR(K$35=F$503,K$35=F$504),N(I256)=0)</formula>
    </cfRule>
  </conditionalFormatting>
  <conditionalFormatting sqref="K398:M398">
    <cfRule type="expression" dxfId="19" priority="474">
      <formula>AND(K398=K504,K35&lt;&gt;F503)</formula>
    </cfRule>
  </conditionalFormatting>
  <conditionalFormatting sqref="K402:M402">
    <cfRule type="expression" dxfId="18" priority="475">
      <formula>AND(K402=C503,K35&lt;&gt;F503)</formula>
    </cfRule>
  </conditionalFormatting>
  <conditionalFormatting sqref="H42:H45 H63:H67 H69:H70 H78:H133 H135:H136 H145:H169 H171:H178 H180 H182:H191 K42:K45 K63:K67 K69:K70 K78:K133 K135:K136 K145:K169 K171:K178 K180 K182:K191 K193:K197 K47:K61 H47:H61 H193:H197">
    <cfRule type="expression" dxfId="17" priority="93">
      <formula>H42&lt;&gt;ROUNDDOWN(H42,0)</formula>
    </cfRule>
  </conditionalFormatting>
  <conditionalFormatting sqref="G37">
    <cfRule type="cellIs" dxfId="16" priority="44" operator="notEqual">
      <formula>""</formula>
    </cfRule>
  </conditionalFormatting>
  <conditionalFormatting sqref="H46 K46">
    <cfRule type="expression" dxfId="15" priority="41">
      <formula>H46&lt;&gt;ROUNDDOWN(H46,0)</formula>
    </cfRule>
  </conditionalFormatting>
  <conditionalFormatting sqref="K380:M380">
    <cfRule type="expression" dxfId="14" priority="37">
      <formula>AND(K380=C479,K12&lt;&gt;F479)</formula>
    </cfRule>
  </conditionalFormatting>
  <conditionalFormatting sqref="I386:N392">
    <cfRule type="expression" dxfId="13" priority="31">
      <formula>$G386=""</formula>
    </cfRule>
  </conditionalFormatting>
  <conditionalFormatting sqref="G386:H392">
    <cfRule type="expression" dxfId="12" priority="30">
      <formula>$K$380&lt;&gt;"Yes"</formula>
    </cfRule>
  </conditionalFormatting>
  <conditionalFormatting sqref="G386:N393">
    <cfRule type="expression" dxfId="11" priority="25">
      <formula>$K$380&lt;&gt;"Yes"</formula>
    </cfRule>
  </conditionalFormatting>
  <conditionalFormatting sqref="K396:N396 K398:M398 K402:M402">
    <cfRule type="expression" dxfId="10" priority="24">
      <formula>$K$380="Yes"</formula>
    </cfRule>
  </conditionalFormatting>
  <conditionalFormatting sqref="L393:N393">
    <cfRule type="expression" dxfId="9" priority="22">
      <formula>$G$393=""</formula>
    </cfRule>
  </conditionalFormatting>
  <conditionalFormatting sqref="N256">
    <cfRule type="cellIs" dxfId="8" priority="15" operator="equal">
      <formula>"Inputs Needed"</formula>
    </cfRule>
  </conditionalFormatting>
  <conditionalFormatting sqref="G393:H393">
    <cfRule type="cellIs" dxfId="7" priority="483" operator="equal">
      <formula>""</formula>
    </cfRule>
    <cfRule type="expression" dxfId="6" priority="484">
      <formula>AND($K$380="Yes",$G$393&lt;&gt;"",$G$393&lt;&gt;#REF!)</formula>
    </cfRule>
  </conditionalFormatting>
  <conditionalFormatting sqref="Q393:S393">
    <cfRule type="expression" dxfId="5" priority="485">
      <formula>AND($K$380="Yes",$G$393&lt;&gt;"",$G$393&lt;&gt;#REF!)</formula>
    </cfRule>
  </conditionalFormatting>
  <conditionalFormatting sqref="K36">
    <cfRule type="expression" dxfId="4" priority="9">
      <formula>OR(K36=0,K36="(enter a value)")</formula>
    </cfRule>
  </conditionalFormatting>
  <conditionalFormatting sqref="P256">
    <cfRule type="expression" dxfId="3" priority="8">
      <formula>$N$256="Inputs Needed"</formula>
    </cfRule>
  </conditionalFormatting>
  <conditionalFormatting sqref="N398">
    <cfRule type="cellIs" dxfId="2" priority="5" operator="equal">
      <formula>"Select Dev Type"</formula>
    </cfRule>
  </conditionalFormatting>
  <conditionalFormatting sqref="N402">
    <cfRule type="cellIs" dxfId="1" priority="4" operator="equal">
      <formula>"Select ESSC Type"</formula>
    </cfRule>
  </conditionalFormatting>
  <conditionalFormatting sqref="K506">
    <cfRule type="expression" dxfId="0" priority="3">
      <formula>K380="Yes"</formula>
    </cfRule>
  </conditionalFormatting>
  <dataValidations count="11">
    <dataValidation type="list" allowBlank="1" showInputMessage="1" showErrorMessage="1" sqref="K545:N545 K35:N35" xr:uid="{00000000-0002-0000-0000-000000000000}">
      <formula1>$F$500:$F$504</formula1>
    </dataValidation>
    <dataValidation type="list" allowBlank="1" showInputMessage="1" showErrorMessage="1" sqref="I257:K257 K380:M380 K417:K420 K408:K410 K412 K424:K425 K422 K537:K538 K414:K415" xr:uid="{00000000-0002-0000-0000-000002000000}">
      <formula1>$C$500:$C$502</formula1>
    </dataValidation>
    <dataValidation type="list" allowBlank="1" showInputMessage="1" showErrorMessage="1" sqref="K402:M402" xr:uid="{00000000-0002-0000-0000-000004000000}">
      <formula1>$C$500:$C$503</formula1>
    </dataValidation>
    <dataValidation type="list" allowBlank="1" showInputMessage="1" showErrorMessage="1" sqref="K398:M398" xr:uid="{00000000-0002-0000-0000-000005000000}">
      <formula1>$K$500:$K$504</formula1>
    </dataValidation>
    <dataValidation type="whole" allowBlank="1" showInputMessage="1" showErrorMessage="1" prompt="Please enter a whole number of at least 20." sqref="K546" xr:uid="{00000000-0002-0000-0000-000007000000}">
      <formula1>20</formula1>
      <formula2>999</formula2>
    </dataValidation>
    <dataValidation type="list" allowBlank="1" showInputMessage="1" showErrorMessage="1" sqref="K278:N278 K294:N294 K280:N280 K282:N282 K284:N284 K286:N286 K288:N288 K290:N290 K292:N292 K296:N296 K330:N330 K346:N346 K332:N332 K334:N334 K336:N336 K338:N338 K340:N340 K342:N342 K344:N344 K348:N348" xr:uid="{B33E778D-2CA4-4F3B-A671-9997B30AA293}">
      <formula1>SourceType</formula1>
    </dataValidation>
    <dataValidation type="list" allowBlank="1" showInputMessage="1" showErrorMessage="1" sqref="Q187" xr:uid="{00000000-0002-0000-0000-000001000000}">
      <formula1>$E$500:$E$502</formula1>
    </dataValidation>
    <dataValidation type="whole" allowBlank="1" showInputMessage="1" showErrorMessage="1" prompt="Please enter a whole number of at least 30." sqref="N36" xr:uid="{00FD7B8A-92C0-4312-9E7E-A4A7FB43CDA7}">
      <formula1>30</formula1>
      <formula2>999</formula2>
    </dataValidation>
    <dataValidation type="whole" allowBlank="1" showInputMessage="1" showErrorMessage="1" error="Only whole numbers are allowed to be entered and exist in the Application's Development Cost Pro Forma._x000a_Please adjust your entry accordingly." sqref="H42 K42 K44 H44 H48 K48 K50 H50 H52 K52 H54 K54 H56 K56 H58 K58 H60 K60 H65 K65 H70 K70 H78 K78 H80 K80 H82 K82 H84 K84 H86 K86 H88 K88 H90 K90 H92 K92 H94 K94 H96 K96 H98 K98 H100 K100 H102 K102 H105 K105 H107 K107 H109 K109 H111 K111 H113 K113 H115 K115 H117 K117 H119 K119 H121 K121 H123 K123 H125 K125 H127 K127 H129 K129 H131 K131 H136 K136 H145 K145 H148 K148 H150 K150 H153 K153 H156 K156 H161 K161 H164 K164 H166 K166 H168 K168 H174 K174 H176 K176 H46 K196 H159 K159 H185 K185 H187 K187 K46" xr:uid="{1BDEF99A-D43E-4DBA-917C-B89C764C547B}">
      <formula1>-1000000000</formula1>
      <formula2>1000000000</formula2>
    </dataValidation>
    <dataValidation type="whole" allowBlank="1" showInputMessage="1" showErrorMessage="1" prompt="Please enter a whole number of at least 30." sqref="K36" xr:uid="{3B655261-45B2-4830-B7C2-76DF5DBE59BA}">
      <formula1>75</formula1>
      <formula2>250</formula2>
    </dataValidation>
    <dataValidation type="list" allowBlank="1" showInputMessage="1" showErrorMessage="1" sqref="K377:M377" xr:uid="{00000000-0002-0000-0000-000006000000}">
      <formula1>$E$507:$E$543</formula1>
    </dataValidation>
  </dataValidations>
  <printOptions horizontalCentered="1"/>
  <pageMargins left="0.5" right="0.5" top="0.75" bottom="0.75" header="0.25" footer="0.25"/>
  <pageSetup scale="82" orientation="portrait" r:id="rId1"/>
  <rowBreaks count="7" manualBreakCount="7">
    <brk id="72" max="15" man="1"/>
    <brk id="138" max="15" man="1"/>
    <brk id="200" max="15" man="1"/>
    <brk id="266" max="15" man="1"/>
    <brk id="318" max="16383" man="1"/>
    <brk id="364" max="15" man="1"/>
    <brk id="452" max="15" man="1"/>
  </rowBreaks>
  <ignoredErrors>
    <ignoredError sqref="I390" formula="1"/>
    <ignoredError sqref="K448 P449"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3" ma:contentTypeDescription="Create a new document." ma:contentTypeScope="" ma:versionID="7068d0d59b844c49f7532eb600a13af7">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e98e98429e0413c4fd574a2e67cfef7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5BC0F5-3D4C-4C0F-8687-C3C9AABC0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072B5-3729-49E2-BF1D-EBF19C55143D}">
  <ds:schemaRefs>
    <ds:schemaRef ds:uri="http://schemas.microsoft.com/sharepoint/v3/contenttype/forms"/>
  </ds:schemaRefs>
</ds:datastoreItem>
</file>

<file path=customXml/itemProps3.xml><?xml version="1.0" encoding="utf-8"?>
<ds:datastoreItem xmlns:ds="http://schemas.openxmlformats.org/officeDocument/2006/customXml" ds:itemID="{06D1D602-BD9F-4FD5-B934-BF4F7E3B2EA2}">
  <ds:schemaRefs>
    <ds:schemaRef ds:uri="http://www.w3.org/XML/1998/namespace"/>
    <ds:schemaRef ds:uri="http://purl.org/dc/terms/"/>
    <ds:schemaRef ds:uri="a84349eb-4374-47bc-83f0-36d288636098"/>
    <ds:schemaRef ds:uri="http://schemas.microsoft.com/office/2006/documentManagement/types"/>
    <ds:schemaRef ds:uri="http://purl.org/dc/elements/1.1/"/>
    <ds:schemaRef ds:uri="http://schemas.microsoft.com/office/2006/metadata/properties"/>
    <ds:schemaRef ds:uri="68dfe011-c19e-4dbd-a5cd-00e4d25ab099"/>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253</vt:i4>
      </vt:variant>
    </vt:vector>
  </HeadingPairs>
  <TitlesOfParts>
    <vt:vector size="254" baseType="lpstr">
      <vt:lpstr>Sheet1</vt:lpstr>
      <vt:lpstr>Acq_elig</vt:lpstr>
      <vt:lpstr>Acq_inelig</vt:lpstr>
      <vt:lpstr>Acq_total</vt:lpstr>
      <vt:lpstr>Acquisition_eligible</vt:lpstr>
      <vt:lpstr>Acquisition_ineligible</vt:lpstr>
      <vt:lpstr>Acquisition_total</vt:lpstr>
      <vt:lpstr>Actual_Accessory_eligible</vt:lpstr>
      <vt:lpstr>Actual_Accessory_ineligible</vt:lpstr>
      <vt:lpstr>Actual_Accessory_total</vt:lpstr>
      <vt:lpstr>Actual_Comm_Retail_eligible</vt:lpstr>
      <vt:lpstr>Actual_Comm_Retail_ineligible</vt:lpstr>
      <vt:lpstr>Actual_Comm_Retail_total</vt:lpstr>
      <vt:lpstr>Actual_commonareas_eligible</vt:lpstr>
      <vt:lpstr>Actual_commonareas_ineligible</vt:lpstr>
      <vt:lpstr>Actual_commonareas_total</vt:lpstr>
      <vt:lpstr>Actual_Constructioncost_eligible</vt:lpstr>
      <vt:lpstr>Actual_Constructioncost_ineligible</vt:lpstr>
      <vt:lpstr>Actual_Constructioncost_total</vt:lpstr>
      <vt:lpstr>Actual_Demolition_eligible</vt:lpstr>
      <vt:lpstr>Actual_Demolition_ineligible</vt:lpstr>
      <vt:lpstr>Actual_Demolition_total</vt:lpstr>
      <vt:lpstr>Actual_existingrental_eligible</vt:lpstr>
      <vt:lpstr>Actual_existingrental_ineligible</vt:lpstr>
      <vt:lpstr>Actual_existingrental_total</vt:lpstr>
      <vt:lpstr>Actual_GCfee_eligible</vt:lpstr>
      <vt:lpstr>Actual_GCfee_ineligible</vt:lpstr>
      <vt:lpstr>Actual_GCfee_total</vt:lpstr>
      <vt:lpstr>Actual_NewUnits_eligible</vt:lpstr>
      <vt:lpstr>Actual_NewUnits_ineligible</vt:lpstr>
      <vt:lpstr>Actual_NewUnits_total</vt:lpstr>
      <vt:lpstr>Actual_Offsite_eligible</vt:lpstr>
      <vt:lpstr>Actual_Offsite_ineligible</vt:lpstr>
      <vt:lpstr>Actual_Offsite_total</vt:lpstr>
      <vt:lpstr>Actual_Other_eligible</vt:lpstr>
      <vt:lpstr>Actual_Other_ineligible</vt:lpstr>
      <vt:lpstr>Actual_Other_total</vt:lpstr>
      <vt:lpstr>Actual_recreational_eligible</vt:lpstr>
      <vt:lpstr>Actual_recreational_ineligible</vt:lpstr>
      <vt:lpstr>Actual_recreational_total</vt:lpstr>
      <vt:lpstr>Actual_sitework_eligible</vt:lpstr>
      <vt:lpstr>Actual_sitework_ineligible</vt:lpstr>
      <vt:lpstr>Actual_sitework_total</vt:lpstr>
      <vt:lpstr>Actual_TotalConstructioncost_eligible</vt:lpstr>
      <vt:lpstr>Actual_TotalConstructioncost_ineligible</vt:lpstr>
      <vt:lpstr>Actual_TotalConstructioncost_total</vt:lpstr>
      <vt:lpstr>ConstrAnalysis__1st_Mtg</vt:lpstr>
      <vt:lpstr>ConstrAnalysis__1st_Type</vt:lpstr>
      <vt:lpstr>ConstrAnalysis__2nd_Mtg</vt:lpstr>
      <vt:lpstr>ConstrAnalysis__2nd_Type</vt:lpstr>
      <vt:lpstr>ConstrAnalysis__3rd_Mtg</vt:lpstr>
      <vt:lpstr>ConstrAnalysis__3rd_Type</vt:lpstr>
      <vt:lpstr>ConstrAnalysis__4th_Mtg</vt:lpstr>
      <vt:lpstr>ConstrAnalysis__4th_Type</vt:lpstr>
      <vt:lpstr>ConstrAnalysis__5th_Mtg</vt:lpstr>
      <vt:lpstr>ConstrAnalysis__5th_Type</vt:lpstr>
      <vt:lpstr>ConstrAnalysis__6th_Mtg</vt:lpstr>
      <vt:lpstr>ConstrAnalysis__6th_Type</vt:lpstr>
      <vt:lpstr>ConstrAnalysis__7th_Mtg</vt:lpstr>
      <vt:lpstr>ConstrAnalysis__7th_Type</vt:lpstr>
      <vt:lpstr>ConstrAnalysis__8th_Mtg</vt:lpstr>
      <vt:lpstr>ConstrAnalysis__8th_Type</vt:lpstr>
      <vt:lpstr>ConstrAnalysis__9th_Mtg</vt:lpstr>
      <vt:lpstr>ConstrAnalysis__9th_Type</vt:lpstr>
      <vt:lpstr>ConstrAnalysis_10th_Mtg</vt:lpstr>
      <vt:lpstr>ConstrAnalysis_10th_Type</vt:lpstr>
      <vt:lpstr>ConstrAnalysis_deferredfee</vt:lpstr>
      <vt:lpstr>ConstrAnalysis_HC</vt:lpstr>
      <vt:lpstr>ConstrAnalysis_other1</vt:lpstr>
      <vt:lpstr>ConstrAnalysis_other1_title</vt:lpstr>
      <vt:lpstr>ConstrAnalysis_other2</vt:lpstr>
      <vt:lpstr>ConstrAnalysis_other2_title</vt:lpstr>
      <vt:lpstr>ConstrAnalysis_surplus</vt:lpstr>
      <vt:lpstr>ConstrAnalysis_totalsources</vt:lpstr>
      <vt:lpstr>Contingency_Hard_eligible</vt:lpstr>
      <vt:lpstr>Contingency_Hard_ineligible</vt:lpstr>
      <vt:lpstr>Contingency_Hard_total</vt:lpstr>
      <vt:lpstr>Contingency_Soft_eligible</vt:lpstr>
      <vt:lpstr>Contingency_Soft_ineligible</vt:lpstr>
      <vt:lpstr>Contingency_Soft_total</vt:lpstr>
      <vt:lpstr>Description_acquisition_other</vt:lpstr>
      <vt:lpstr>Description_Actual_offsite</vt:lpstr>
      <vt:lpstr>Description_Actual_other</vt:lpstr>
      <vt:lpstr>Description_financial_other</vt:lpstr>
      <vt:lpstr>Description_General_impact</vt:lpstr>
      <vt:lpstr>Description_General_other</vt:lpstr>
      <vt:lpstr>Developer_fee_acq_eligible</vt:lpstr>
      <vt:lpstr>Developer_fee_acq_ineligible</vt:lpstr>
      <vt:lpstr>Developer_fee_acq_total</vt:lpstr>
      <vt:lpstr>Developer_fee_eligible</vt:lpstr>
      <vt:lpstr>Developer_fee_ineligible</vt:lpstr>
      <vt:lpstr>Developer_fee_non_acq_eligible</vt:lpstr>
      <vt:lpstr>Developer_fee_non_acq_ineligible</vt:lpstr>
      <vt:lpstr>Developer_fee_non_acq_total</vt:lpstr>
      <vt:lpstr>Developer_fee_Percentage_dropdown</vt:lpstr>
      <vt:lpstr>Developer_fee_total</vt:lpstr>
      <vt:lpstr>Development_Cost_eligible</vt:lpstr>
      <vt:lpstr>Development_Cost_ineligible</vt:lpstr>
      <vt:lpstr>Development_Cost_total</vt:lpstr>
      <vt:lpstr>ELIData</vt:lpstr>
      <vt:lpstr>Excel_RFA_Number</vt:lpstr>
      <vt:lpstr>Financial_bridge_commitment_eligible</vt:lpstr>
      <vt:lpstr>Financial_bridge_commitment_ineligible</vt:lpstr>
      <vt:lpstr>Financial_bridge_commitment_total</vt:lpstr>
      <vt:lpstr>Financial_bridge_interest_eligible</vt:lpstr>
      <vt:lpstr>Financial_bridge_interest_ineligible</vt:lpstr>
      <vt:lpstr>Financial_bridge_interest_total</vt:lpstr>
      <vt:lpstr>Financial_constr_commitment_eligible</vt:lpstr>
      <vt:lpstr>Financial_constr_commitment_ineligible</vt:lpstr>
      <vt:lpstr>Financial_constr_commitment_total</vt:lpstr>
      <vt:lpstr>Financial_constr_enhancement_eligible</vt:lpstr>
      <vt:lpstr>Financial_constr_enhancement_ineligible</vt:lpstr>
      <vt:lpstr>Financial_constr_enhancement_total</vt:lpstr>
      <vt:lpstr>Financial_constr_interest_eligible</vt:lpstr>
      <vt:lpstr>Financial_constr_interest_ineligible</vt:lpstr>
      <vt:lpstr>Financial_constr_interest_total</vt:lpstr>
      <vt:lpstr>Financial_nonperm_closing_eligible</vt:lpstr>
      <vt:lpstr>Financial_nonperm_closing_ineligible</vt:lpstr>
      <vt:lpstr>Financial_nonperm_closing_total</vt:lpstr>
      <vt:lpstr>Financial_other_eligible</vt:lpstr>
      <vt:lpstr>Financial_other_ineligible</vt:lpstr>
      <vt:lpstr>Financial_other_total</vt:lpstr>
      <vt:lpstr>Financial_perm_closing_ineligible</vt:lpstr>
      <vt:lpstr>Financial_perm_closing_total</vt:lpstr>
      <vt:lpstr>Financial_perm_commitment_ineligible</vt:lpstr>
      <vt:lpstr>Financial_perm_commitment_total</vt:lpstr>
      <vt:lpstr>Financial_perm_enhancement_ineligible</vt:lpstr>
      <vt:lpstr>Financial_perm_enhancement_total</vt:lpstr>
      <vt:lpstr>Financial_total_eligible</vt:lpstr>
      <vt:lpstr>Financial_total_ineligible</vt:lpstr>
      <vt:lpstr>Financial_totalcosts_total</vt:lpstr>
      <vt:lpstr>FundingTable</vt:lpstr>
      <vt:lpstr>General_Accounting_eligible</vt:lpstr>
      <vt:lpstr>General_Accounting_ineligible</vt:lpstr>
      <vt:lpstr>General_Accounting_total</vt:lpstr>
      <vt:lpstr>General_adminfee_ineligible</vt:lpstr>
      <vt:lpstr>General_adminfee_total</vt:lpstr>
      <vt:lpstr>General_applicationfee_ineligible</vt:lpstr>
      <vt:lpstr>General_applicationfee_total</vt:lpstr>
      <vt:lpstr>General_Appraisal_eligible</vt:lpstr>
      <vt:lpstr>General_Appraisal_ineligible</vt:lpstr>
      <vt:lpstr>General_Appraisal_total</vt:lpstr>
      <vt:lpstr>General_Architectfeedesign_eligible</vt:lpstr>
      <vt:lpstr>General_Architectfeedesign_ineligible</vt:lpstr>
      <vt:lpstr>General_Architectfeedesign_total</vt:lpstr>
      <vt:lpstr>General_Architectfeesupervision_eligible</vt:lpstr>
      <vt:lpstr>General_Architectfeesupervision_ineligible</vt:lpstr>
      <vt:lpstr>General_Architectfeesupervision_total</vt:lpstr>
      <vt:lpstr>General_builder_ins_eligible</vt:lpstr>
      <vt:lpstr>General_builder_ins_ineligible</vt:lpstr>
      <vt:lpstr>General_builder_ins_total</vt:lpstr>
      <vt:lpstr>General_capitalneeds_eligible</vt:lpstr>
      <vt:lpstr>General_capitalneeds_ineligible</vt:lpstr>
      <vt:lpstr>General_capitalneeds_total</vt:lpstr>
      <vt:lpstr>General_compliancefee_ineligible</vt:lpstr>
      <vt:lpstr>General_compliancefee_total</vt:lpstr>
      <vt:lpstr>General_cu_fee_eligible</vt:lpstr>
      <vt:lpstr>General_cu_fee_ineligible</vt:lpstr>
      <vt:lpstr>General_cu_fee_total</vt:lpstr>
      <vt:lpstr>General_engineering_eligible</vt:lpstr>
      <vt:lpstr>General_engineering_ineligible</vt:lpstr>
      <vt:lpstr>General_engineering_total</vt:lpstr>
      <vt:lpstr>General_environmental_eligible</vt:lpstr>
      <vt:lpstr>General_environmental_ineligible</vt:lpstr>
      <vt:lpstr>General_environmental_total</vt:lpstr>
      <vt:lpstr>General_HERS_eligible</vt:lpstr>
      <vt:lpstr>General_HERS_ineligible</vt:lpstr>
      <vt:lpstr>General_HERS_total</vt:lpstr>
      <vt:lpstr>General_Impact_eligible</vt:lpstr>
      <vt:lpstr>General_Impact_ineligible</vt:lpstr>
      <vt:lpstr>General_Impact_total</vt:lpstr>
      <vt:lpstr>General_inspectionfee_eligible</vt:lpstr>
      <vt:lpstr>General_inspectionfee_ineligible</vt:lpstr>
      <vt:lpstr>General_inspectionfee_total</vt:lpstr>
      <vt:lpstr>General_insurance_eligible</vt:lpstr>
      <vt:lpstr>General_insurance_ineligible</vt:lpstr>
      <vt:lpstr>General_insurance_total</vt:lpstr>
      <vt:lpstr>General_legalfee_eligible</vt:lpstr>
      <vt:lpstr>General_legalfee_ineligible</vt:lpstr>
      <vt:lpstr>General_legalfee_total</vt:lpstr>
      <vt:lpstr>General_marketing_ineligible</vt:lpstr>
      <vt:lpstr>General_marketing_total</vt:lpstr>
      <vt:lpstr>General_marketstudy_eligible</vt:lpstr>
      <vt:lpstr>General_marketstudy_ineligible</vt:lpstr>
      <vt:lpstr>General_marketstudy_total</vt:lpstr>
      <vt:lpstr>General_other_eligible</vt:lpstr>
      <vt:lpstr>General_other_ineligible</vt:lpstr>
      <vt:lpstr>General_other_total</vt:lpstr>
      <vt:lpstr>General_permit_eligible</vt:lpstr>
      <vt:lpstr>General_permit_ineligible</vt:lpstr>
      <vt:lpstr>General_permit_total</vt:lpstr>
      <vt:lpstr>General_propertytaxes_eligible</vt:lpstr>
      <vt:lpstr>General_propertytaxes_ineligible</vt:lpstr>
      <vt:lpstr>General_propertytaxes_total</vt:lpstr>
      <vt:lpstr>General_relocation_eligible</vt:lpstr>
      <vt:lpstr>General_relocation_ineligible</vt:lpstr>
      <vt:lpstr>General_relocation_total</vt:lpstr>
      <vt:lpstr>General_soiltest_eligible</vt:lpstr>
      <vt:lpstr>General_soiltest_ineligible</vt:lpstr>
      <vt:lpstr>General_soiltest_total</vt:lpstr>
      <vt:lpstr>General_survey_eligible</vt:lpstr>
      <vt:lpstr>General_survey_ineligible</vt:lpstr>
      <vt:lpstr>General_survey_total</vt:lpstr>
      <vt:lpstr>General_titleinsurance_eligible</vt:lpstr>
      <vt:lpstr>General_titleinsurance_ineligible</vt:lpstr>
      <vt:lpstr>General_titleinsurance_total</vt:lpstr>
      <vt:lpstr>General_totaldevelopmentcost_eligible</vt:lpstr>
      <vt:lpstr>General_totaldevelopmentcost_ineligible</vt:lpstr>
      <vt:lpstr>General_totaldevelopmentcost_total</vt:lpstr>
      <vt:lpstr>General_utilityconnection_eligible</vt:lpstr>
      <vt:lpstr>General_utilityconnection_ineligible</vt:lpstr>
      <vt:lpstr>General_utilityconnection_total</vt:lpstr>
      <vt:lpstr>Land_ineligible</vt:lpstr>
      <vt:lpstr>Land_total</vt:lpstr>
      <vt:lpstr>ODR_eligible</vt:lpstr>
      <vt:lpstr>ODR_ineligible</vt:lpstr>
      <vt:lpstr>ODR_total</vt:lpstr>
      <vt:lpstr>Other_eligible</vt:lpstr>
      <vt:lpstr>Other_ineligible</vt:lpstr>
      <vt:lpstr>Other_total</vt:lpstr>
      <vt:lpstr>PermAnalysis__1st_Mtg</vt:lpstr>
      <vt:lpstr>PermAnalysis__1st_Type</vt:lpstr>
      <vt:lpstr>PermAnalysis__2nd_Mtg</vt:lpstr>
      <vt:lpstr>PermAnalysis__2nd_Type</vt:lpstr>
      <vt:lpstr>PermAnalysis__3rd_Mtg</vt:lpstr>
      <vt:lpstr>PermAnalysis__3rd_Type</vt:lpstr>
      <vt:lpstr>PermAnalysis__4th_Mtg</vt:lpstr>
      <vt:lpstr>PermAnalysis__4th_Type</vt:lpstr>
      <vt:lpstr>PermAnalysis__5th_Mtg</vt:lpstr>
      <vt:lpstr>PermAnalysis__5th_Type</vt:lpstr>
      <vt:lpstr>PermAnalysis__6th_Mtg</vt:lpstr>
      <vt:lpstr>PermAnalysis__6th_Type</vt:lpstr>
      <vt:lpstr>PermAnalysis__7th_Mtg</vt:lpstr>
      <vt:lpstr>PermAnalysis__7th_Type</vt:lpstr>
      <vt:lpstr>PermAnalysis__8th_Mtg</vt:lpstr>
      <vt:lpstr>PermAnalysis__8th_Type</vt:lpstr>
      <vt:lpstr>PermAnalysis__9th_Mtg</vt:lpstr>
      <vt:lpstr>PermAnalysis__9th_Type</vt:lpstr>
      <vt:lpstr>PermAnalysis_10th_Mtg</vt:lpstr>
      <vt:lpstr>PermAnalysis_10th_Type</vt:lpstr>
      <vt:lpstr>PermAnalysis_deferredfee</vt:lpstr>
      <vt:lpstr>PermAnalysis_HC</vt:lpstr>
      <vt:lpstr>PermAnalysis_other1</vt:lpstr>
      <vt:lpstr>PermAnalysis_other1_title</vt:lpstr>
      <vt:lpstr>PermAnalysis_other2</vt:lpstr>
      <vt:lpstr>PermAnalysis_other2_title</vt:lpstr>
      <vt:lpstr>PermAnalysis_surplus</vt:lpstr>
      <vt:lpstr>PermAnalysis_totalsources</vt:lpstr>
      <vt:lpstr>Sheet1!Print_Area</vt:lpstr>
      <vt:lpstr>Pro_Forma_Dev_Cat</vt:lpstr>
      <vt:lpstr>SourceType</vt:lpstr>
      <vt:lpstr>TDC_eligible</vt:lpstr>
      <vt:lpstr>TDC_ineligible</vt:lpstr>
      <vt:lpstr>TDC_total</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 Tatreau</dc:creator>
  <cp:lastModifiedBy>Jean Salmonsen</cp:lastModifiedBy>
  <cp:lastPrinted>2020-08-14T16:19:28Z</cp:lastPrinted>
  <dcterms:created xsi:type="dcterms:W3CDTF">2012-05-16T14:37:48Z</dcterms:created>
  <dcterms:modified xsi:type="dcterms:W3CDTF">2021-09-28T16:40:49Z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ies>
</file>