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Combined Cycle/2021 Rules and RFAs/2021-208 - Workforce/Set-Aside worksheet/"/>
    </mc:Choice>
  </mc:AlternateContent>
  <xr:revisionPtr revIDLastSave="1" documentId="8_{28C7ABF4-7C28-4BF8-A4DC-D8B0C625B584}" xr6:coauthVersionLast="45" xr6:coauthVersionMax="45" xr10:uidLastSave="{173BE2BD-80ED-4E54-8EF2-6F52A4EBFE58}"/>
  <workbookProtection workbookAlgorithmName="SHA-512" workbookHashValue="jaH4UPzE76K6vqJhoWHdTAHdOnwnGdwqu7iikwZBfH1m06mY0cs7GYNpPCPOTcFRHvyEoqY/h6MT4+TuZ2aWLw==" workbookSaltValue="mAuShMzIwHZJ+52Sp3cFDw==" workbookSpinCount="100000" lockStructure="1"/>
  <bookViews>
    <workbookView xWindow="-110" yWindow="-110" windowWidth="19420" windowHeight="10420" xr2:uid="{EE68C298-6B24-47E0-88FE-0A082A7865FF}"/>
  </bookViews>
  <sheets>
    <sheet name="Data Entry Tab" sheetId="1" r:id="rId1"/>
    <sheet name="Charts" sheetId="2" r:id="rId2"/>
  </sheets>
  <definedNames>
    <definedName name="ELIData">'Data Entry Tab'!$C$101:$D$168</definedName>
    <definedName name="_xlnm.Print_Area" localSheetId="0">'Data Entry Tab'!$A$28:$G$65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E16" i="1" l="1"/>
  <c r="G16" i="1" l="1"/>
  <c r="C47" i="1" l="1"/>
  <c r="C48" i="1"/>
  <c r="C44" i="1"/>
  <c r="C45" i="1"/>
  <c r="C46" i="1"/>
  <c r="C49" i="1" l="1"/>
  <c r="A48" i="1" l="1"/>
  <c r="B60" i="1"/>
  <c r="F16" i="1"/>
  <c r="B58" i="1"/>
  <c r="A46" i="1"/>
  <c r="A44" i="1"/>
  <c r="F33" i="1"/>
  <c r="A47" i="1" l="1"/>
  <c r="I23" i="1" l="1"/>
  <c r="I21" i="1"/>
  <c r="E18" i="1"/>
  <c r="F34" i="1"/>
  <c r="G34" i="1" l="1"/>
  <c r="F37" i="1"/>
  <c r="F21" i="1"/>
  <c r="B62" i="1"/>
  <c r="G21" i="1"/>
  <c r="E38" i="1"/>
  <c r="A45" i="1"/>
  <c r="C43" i="1" l="1"/>
  <c r="A43" i="1" s="1"/>
  <c r="Q43" i="1" l="1"/>
  <c r="P41" i="1"/>
  <c r="B41" i="1"/>
  <c r="C27" i="2" l="1"/>
  <c r="C26" i="2"/>
  <c r="C25" i="2"/>
  <c r="C24" i="2"/>
  <c r="C23" i="2"/>
  <c r="C22" i="2"/>
  <c r="C21" i="2"/>
  <c r="C15" i="2"/>
  <c r="C6" i="2"/>
  <c r="C14" i="2"/>
  <c r="C13" i="2"/>
  <c r="C12" i="2"/>
  <c r="C11" i="2"/>
  <c r="C10" i="2"/>
  <c r="C9" i="2"/>
  <c r="C8" i="2"/>
  <c r="C7" i="2"/>
  <c r="G32" i="1"/>
  <c r="A49" i="1" l="1"/>
  <c r="I22" i="1" s="1"/>
  <c r="G37" i="1"/>
  <c r="C16" i="2"/>
  <c r="D22" i="1"/>
  <c r="K21" i="1"/>
  <c r="L21" i="1" s="1"/>
  <c r="D21" i="1"/>
  <c r="D19" i="1"/>
  <c r="D18" i="1"/>
  <c r="D16" i="1"/>
  <c r="B64" i="1" l="1"/>
  <c r="G41" i="1"/>
  <c r="E24" i="1"/>
  <c r="F38" i="1"/>
  <c r="G38" i="1" s="1"/>
  <c r="F36" i="1"/>
  <c r="G36" i="1" s="1"/>
  <c r="F35" i="1"/>
  <c r="D20" i="1"/>
  <c r="D17" i="1"/>
  <c r="F32" i="1" l="1"/>
  <c r="U33" i="1"/>
  <c r="G39" i="1"/>
  <c r="G33" i="1"/>
  <c r="G24" i="1" s="1"/>
  <c r="G31" i="1"/>
  <c r="G30" i="1"/>
  <c r="G29" i="1"/>
  <c r="O29" i="1"/>
  <c r="U30" i="1" l="1"/>
  <c r="Q16" i="1"/>
  <c r="Q17" i="1" s="1"/>
  <c r="T32" i="1" l="1"/>
  <c r="T31" i="1"/>
  <c r="S32" i="1"/>
  <c r="S31" i="1"/>
  <c r="T26" i="1"/>
  <c r="T24" i="1"/>
  <c r="T23" i="1"/>
  <c r="T22" i="1"/>
  <c r="T21" i="1"/>
  <c r="T20" i="1"/>
  <c r="T19" i="1"/>
  <c r="T18" i="1"/>
  <c r="T17" i="1"/>
  <c r="T16" i="1"/>
  <c r="P27" i="1"/>
  <c r="C24" i="1"/>
  <c r="K23" i="1"/>
  <c r="L23" i="1" s="1"/>
  <c r="K20" i="1"/>
  <c r="L20" i="1" s="1"/>
  <c r="K19" i="1"/>
  <c r="L19" i="1" s="1"/>
  <c r="K18" i="1"/>
  <c r="L18" i="1" s="1"/>
  <c r="K17" i="1"/>
  <c r="L17" i="1" s="1"/>
  <c r="K16" i="1"/>
  <c r="L16" i="1" s="1"/>
  <c r="N47" i="1" l="1"/>
  <c r="H47" i="1"/>
  <c r="I47" i="1"/>
  <c r="Q44" i="1"/>
  <c r="Q45" i="1"/>
  <c r="U32" i="1"/>
  <c r="H31" i="1"/>
  <c r="I31" i="1"/>
  <c r="N31" i="1"/>
  <c r="N51" i="1"/>
  <c r="H51" i="1"/>
  <c r="I51" i="1"/>
  <c r="I42" i="1"/>
  <c r="S25" i="1"/>
  <c r="S26" i="1" s="1"/>
  <c r="U26" i="1" s="1"/>
  <c r="T25" i="1"/>
  <c r="T27" i="1" s="1"/>
  <c r="R27" i="1"/>
  <c r="N42" i="1"/>
  <c r="H42" i="1"/>
  <c r="H34" i="1"/>
  <c r="H38" i="1"/>
  <c r="N34" i="1"/>
  <c r="N38" i="1"/>
  <c r="C26" i="1"/>
  <c r="I55" i="1" s="1"/>
  <c r="U31" i="1"/>
  <c r="H55" i="1" l="1"/>
  <c r="N55" i="1"/>
  <c r="U25" i="1"/>
  <c r="S27" i="1"/>
  <c r="K22" i="1"/>
  <c r="H24" i="1"/>
  <c r="C28" i="2" s="1"/>
  <c r="C29" i="2" s="1"/>
  <c r="L22" i="1" l="1"/>
  <c r="L24" i="1" s="1"/>
  <c r="K24" i="1"/>
  <c r="D24" i="1"/>
  <c r="U16" i="1"/>
  <c r="U17" i="1"/>
  <c r="Q18" i="1" l="1"/>
  <c r="U18" i="1" s="1"/>
  <c r="I24" i="1" l="1"/>
  <c r="Q19" i="1"/>
  <c r="U19" i="1" s="1"/>
  <c r="Q20" i="1" l="1"/>
  <c r="Q21" i="1" s="1"/>
  <c r="U21" i="1" s="1"/>
  <c r="U20" i="1" l="1"/>
  <c r="Q22" i="1"/>
  <c r="U22" i="1" l="1"/>
  <c r="Q23" i="1"/>
  <c r="U23" i="1" s="1"/>
  <c r="Q24" i="1" l="1"/>
  <c r="U24" i="1" s="1"/>
  <c r="U27" i="1" s="1"/>
  <c r="I28" i="1" l="1"/>
  <c r="N28" i="1"/>
  <c r="H28" i="1"/>
  <c r="Q27" i="1"/>
  <c r="I34" i="1" s="1"/>
  <c r="I38" i="1" l="1"/>
</calcChain>
</file>

<file path=xl/sharedStrings.xml><?xml version="1.0" encoding="utf-8"?>
<sst xmlns="http://schemas.openxmlformats.org/spreadsheetml/2006/main" count="181" uniqueCount="147">
  <si>
    <t># of HC Units</t>
  </si>
  <si>
    <t>AMI Level</t>
  </si>
  <si>
    <t>% of Total Units</t>
  </si>
  <si>
    <t># of Workforce Units</t>
  </si>
  <si>
    <t># of Total Units</t>
  </si>
  <si>
    <t>RFA Limit by Groups of AMI Levels</t>
  </si>
  <si>
    <t>Minimum Limit for HC Units 20% - 60% AMI:</t>
  </si>
  <si>
    <t>Maximum Limit for HC Units 20% - 60% AMI:</t>
  </si>
  <si>
    <t>Minimum Limit for ELI HC Units:</t>
  </si>
  <si>
    <t>% of Total</t>
  </si>
  <si>
    <t>Monroe Only</t>
  </si>
  <si>
    <t>Average AMI of the Qualifying Housing Credit Units</t>
  </si>
  <si>
    <t>Enter # of HC Units</t>
  </si>
  <si>
    <t>Enter # of Workforce Units</t>
  </si>
  <si>
    <t>Enter % of Total Units</t>
  </si>
  <si>
    <t>Totals</t>
  </si>
  <si>
    <t>ü</t>
  </si>
  <si>
    <t>20% @ 50%:</t>
  </si>
  <si>
    <t>40% @ 60%:</t>
  </si>
  <si>
    <t>IRC Minimum HC Set-Aside Commitment: AVERAGE INCOME TEST</t>
  </si>
  <si>
    <t>General Assistance for the applicable Set-Aside Commitment</t>
  </si>
  <si>
    <t>C</t>
  </si>
  <si>
    <t>D</t>
  </si>
  <si>
    <t>🙂</t>
  </si>
  <si>
    <t>🙁</t>
  </si>
  <si>
    <t>Joint HC/ Workforce Units</t>
  </si>
  <si>
    <t>HC Only
Units</t>
  </si>
  <si>
    <t>Workforce Only Units</t>
  </si>
  <si>
    <t>Type of Units</t>
  </si>
  <si>
    <r>
      <rPr>
        <b/>
        <sz val="11"/>
        <color theme="1"/>
        <rFont val="Calibri"/>
        <family val="2"/>
        <scheme val="minor"/>
      </rPr>
      <t>2.</t>
    </r>
    <r>
      <rPr>
        <sz val="11"/>
        <color theme="1"/>
        <rFont val="Calibri"/>
        <family val="2"/>
        <scheme val="minor"/>
      </rPr>
      <t xml:space="preserve"> Determine if the Applicant is selecting the Internal Revenue Code Minimum Housing Credit Set-Aside Commitment of (a) 20% @ 50% AMI, (b) 40% @ 60% AMI, or (c) Average Income Test.</t>
    </r>
  </si>
  <si>
    <r>
      <rPr>
        <b/>
        <sz val="11"/>
        <color theme="1"/>
        <rFont val="Calibri"/>
        <family val="2"/>
        <scheme val="minor"/>
      </rPr>
      <t>4.</t>
    </r>
    <r>
      <rPr>
        <sz val="11"/>
        <color theme="1"/>
        <rFont val="Calibri"/>
        <family val="2"/>
        <scheme val="minor"/>
      </rPr>
      <t xml:space="preserve"> If either (a) or (b) is the intended commitment, enter the percentage set-aside commitments as appropriate in column P for Housing Credits Units (rows 16 through 24) and column R for Workforce Units (either row 25 or 25 and/or 26 for Monroe County locations).  If option (c) is the intended commitment, enter the number of Housing Credit Units to be set-aside in column C (rows 16 through 22) and the number of Workforce Units in column H (rows 21 through 23 where row 23 is only for Monroe County locations).  If option (c) is the intended commitment, the number of units in cells C21 and C22 as well as H21 and H22 are all considered to be Workforce Units and will be reflected as such in column K which will display the total number of units being committed to at each AMI level.</t>
    </r>
  </si>
  <si>
    <r>
      <rPr>
        <b/>
        <sz val="11"/>
        <color theme="1"/>
        <rFont val="Calibri"/>
        <family val="2"/>
        <scheme val="minor"/>
      </rPr>
      <t>7.</t>
    </r>
    <r>
      <rPr>
        <sz val="11"/>
        <color theme="1"/>
        <rFont val="Calibri"/>
        <family val="2"/>
        <scheme val="minor"/>
      </rPr>
      <t xml:space="preserve"> The use of this template is not required and is at the option and sole risk of the Applicant.  The Corporation does not take any responsibility for programming errors and it is the sole responsibility of the Applicant to meet all criteria of the RFA.</t>
    </r>
  </si>
  <si>
    <t>RFA Set-Aside Commitment Criteria for AIT</t>
  </si>
  <si>
    <t># of Units*</t>
  </si>
  <si>
    <t>Select IRC Minimum HC Set-Aside Commitment:</t>
  </si>
  <si>
    <r>
      <rPr>
        <b/>
        <sz val="11"/>
        <color theme="1"/>
        <rFont val="Calibri"/>
        <family val="2"/>
        <scheme val="minor"/>
      </rPr>
      <t>3.</t>
    </r>
    <r>
      <rPr>
        <sz val="11"/>
        <color theme="1"/>
        <rFont val="Calibri"/>
        <family val="2"/>
        <scheme val="minor"/>
      </rPr>
      <t xml:space="preserve"> If option (a) above is the intended commitment, go to cell T13 and choose the marker option from the drop-down menu (and unselect the marker option in cell V13 - a default setting).  If option (b) or (c) is the intended commitment, go to the next step.</t>
    </r>
  </si>
  <si>
    <t>Select the County in which the proposed Development is located:</t>
  </si>
  <si>
    <t>County</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</si>
  <si>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</si>
  <si>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</si>
  <si>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</si>
  <si>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</si>
  <si>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</si>
  <si>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</si>
  <si>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</si>
  <si>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</si>
  <si>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</si>
  <si>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</si>
  <si>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</si>
  <si>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</si>
  <si>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</si>
  <si>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</si>
  <si>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</si>
  <si>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</si>
  <si>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</si>
  <si>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</si>
  <si>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</si>
  <si>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</si>
  <si>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</si>
  <si>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</si>
  <si>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</si>
  <si>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</si>
  <si>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</si>
  <si>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</si>
  <si>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</si>
  <si>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</si>
  <si>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</si>
  <si>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</si>
  <si>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</si>
  <si>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</si>
  <si>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</si>
  <si>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</si>
  <si>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</si>
  <si>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</si>
  <si>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</si>
  <si>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</si>
  <si>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</si>
  <si>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</si>
  <si>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</si>
  <si>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</si>
  <si>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</si>
  <si>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</si>
  <si>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</si>
  <si>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</si>
  <si>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</si>
  <si>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</si>
  <si>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</si>
  <si>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</si>
  <si>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</si>
  <si>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</si>
  <si>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</si>
  <si>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</si>
  <si>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</si>
  <si>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</si>
  <si>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</si>
  <si>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</si>
  <si>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</si>
  <si>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</si>
  <si>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</si>
  <si>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</si>
  <si>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</si>
  <si>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</si>
  <si>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</si>
  <si>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</si>
  <si>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</si>
  <si>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r>
      <rPr>
        <b/>
        <sz val="11"/>
        <color theme="1"/>
        <rFont val="Calibri"/>
        <family val="2"/>
        <scheme val="minor"/>
      </rPr>
      <t xml:space="preserve">1. </t>
    </r>
    <r>
      <rPr>
        <sz val="11"/>
        <color theme="1"/>
        <rFont val="Calibri"/>
        <family val="2"/>
        <scheme val="minor"/>
      </rPr>
      <t>Please enter the total number of units in the proposed Development in cell G11 and select the county in which the proposed Development is to be located in cell M11.  The qualifying ELI AMI % will be highlighted for the selected county.</t>
    </r>
  </si>
  <si>
    <t>Enter the total number of units in the proposed Development:</t>
  </si>
  <si>
    <t>&lt;select&gt;</t>
  </si>
  <si>
    <t>* (given the Joint Units above &amp; related limits)</t>
  </si>
  <si>
    <r>
      <rPr>
        <b/>
        <sz val="11"/>
        <rFont val="Calibri"/>
        <family val="2"/>
        <scheme val="minor"/>
      </rPr>
      <t>6.</t>
    </r>
    <r>
      <rPr>
        <sz val="11"/>
        <rFont val="Calibri"/>
        <family val="2"/>
        <scheme val="minor"/>
      </rPr>
      <t xml:space="preserve"> The input data will be transferred to a chart that looks like the one in the Application that can be used to assist the Applicant in completing the Application.  Those charts are located in the Charts tab.</t>
    </r>
  </si>
  <si>
    <t>Maximum Potential Total HC Units:</t>
  </si>
  <si>
    <t>Joint Units: Lesser of maximum limit or entered units:</t>
  </si>
  <si>
    <t>Actual number of HC Units entered 20% - 60% AMI:</t>
  </si>
  <si>
    <t>Set-Aside Commitments Charts (Section Four, 6.d.(2))</t>
  </si>
  <si>
    <t>Total Set-Aside Breakdown Chart</t>
  </si>
  <si>
    <t>Percentage of Residential Units</t>
  </si>
  <si>
    <r>
      <rPr>
        <b/>
        <sz val="11"/>
        <color theme="1"/>
        <rFont val="Calibri"/>
        <family val="2"/>
      </rPr>
      <t xml:space="preserve">§ Four, 6.d.(2)(a).  </t>
    </r>
    <r>
      <rPr>
        <b/>
        <sz val="11"/>
        <color theme="1"/>
        <rFont val="Calibri"/>
        <family val="2"/>
        <scheme val="minor"/>
      </rPr>
      <t>20% @ 50% AMI or 40% @ 60% AMI</t>
    </r>
  </si>
  <si>
    <t>At or Below 25%</t>
  </si>
  <si>
    <t>At or Below 28%</t>
  </si>
  <si>
    <t>At or Below 30%</t>
  </si>
  <si>
    <t>At or Below 33%</t>
  </si>
  <si>
    <t>At or Below 35%</t>
  </si>
  <si>
    <t>At or Below 40%</t>
  </si>
  <si>
    <t>At or Below 45%</t>
  </si>
  <si>
    <t>At or Below 50%</t>
  </si>
  <si>
    <t>At or Below 60%</t>
  </si>
  <si>
    <t>At or Below 120% if Monroe County or at or Below 80% if not Monroe County</t>
  </si>
  <si>
    <t>Housing Credit Units</t>
  </si>
  <si>
    <t>Workforce Housing Units</t>
  </si>
  <si>
    <t>Total Set-Aside Percentage</t>
  </si>
  <si>
    <t>§ Four, 6.d.(2)(b).  Average Income Test</t>
  </si>
  <si>
    <t>At or Below 20%</t>
  </si>
  <si>
    <t>At or Below 70%</t>
  </si>
  <si>
    <t>At or Below 80%</t>
  </si>
  <si>
    <t>Joint Housing Credit/Workforce Housing Units</t>
  </si>
  <si>
    <t>Exact Limit for ELI HC Units:</t>
  </si>
  <si>
    <t>Non-HC Workforce Units</t>
  </si>
  <si>
    <r>
      <t xml:space="preserve">Enter the % of units to be placed at </t>
    </r>
    <r>
      <rPr>
        <u/>
        <sz val="11"/>
        <color theme="1"/>
        <rFont val="Calibri"/>
        <family val="2"/>
        <scheme val="minor"/>
      </rPr>
      <t>40% AMI</t>
    </r>
    <r>
      <rPr>
        <sz val="11"/>
        <color theme="1"/>
        <rFont val="Calibri"/>
        <family val="2"/>
        <scheme val="minor"/>
      </rPr>
      <t xml:space="preserve"> for the example above*:</t>
    </r>
  </si>
  <si>
    <r>
      <t xml:space="preserve">Enter the % of units to be placed at </t>
    </r>
    <r>
      <rPr>
        <u/>
        <sz val="11"/>
        <color theme="1"/>
        <rFont val="Calibri"/>
        <family val="2"/>
        <scheme val="minor"/>
      </rPr>
      <t>50% AMI</t>
    </r>
    <r>
      <rPr>
        <sz val="11"/>
        <color theme="1"/>
        <rFont val="Calibri"/>
        <family val="2"/>
        <scheme val="minor"/>
      </rPr>
      <t xml:space="preserve"> for the example above*:</t>
    </r>
  </si>
  <si>
    <r>
      <t>Enter the total % of units that will be Joint HC/Workforce units</t>
    </r>
    <r>
      <rPr>
        <sz val="11"/>
        <color theme="1"/>
        <rFont val="Calibri"/>
        <family val="2"/>
        <scheme val="minor"/>
      </rPr>
      <t xml:space="preserve"> for the example above***:</t>
    </r>
  </si>
  <si>
    <r>
      <rPr>
        <b/>
        <sz val="11"/>
        <color theme="1"/>
        <rFont val="Calibri"/>
        <family val="2"/>
        <scheme val="minor"/>
      </rPr>
      <t>5.</t>
    </r>
    <r>
      <rPr>
        <sz val="11"/>
        <color theme="1"/>
        <rFont val="Calibri"/>
        <family val="2"/>
        <scheme val="minor"/>
      </rPr>
      <t xml:space="preserve"> There is a General Assistance area in columns H through N beginning on row 27 that should be able to provide guidance relative to the RFA requirements and the minimum IRC set-aside commitment in which data has been entered.  When all eight (8) areas of material guidance have been met, all criteria will have a green background in the indicator columns to indicate each criteria has been met, as applicable.  If any of the eight criteria have not been met, the background color will be pink, indicating additional edits to the input fields is needed.  If HC units have been entered in the AIT chart, the analsys will evaluate the AIT chart and ignore the other set-aside chart regardless of data entered in it. If no HC units have been entered in the AIT chart, the analysis will assume the default chart of 40% @ 60% unless cell T13 has been altered.</t>
    </r>
  </si>
  <si>
    <r>
      <t>Enter the</t>
    </r>
    <r>
      <rPr>
        <b/>
        <sz val="11"/>
        <color theme="1"/>
        <rFont val="Calibri"/>
        <family val="2"/>
        <scheme val="minor"/>
      </rPr>
      <t xml:space="preserve"> total %</t>
    </r>
    <r>
      <rPr>
        <sz val="11"/>
        <color theme="1"/>
        <rFont val="Calibri"/>
        <family val="2"/>
        <scheme val="minor"/>
      </rPr>
      <t xml:space="preserve"> of units that will be </t>
    </r>
    <r>
      <rPr>
        <u/>
        <sz val="11"/>
        <color theme="1"/>
        <rFont val="Calibri"/>
        <family val="2"/>
        <scheme val="minor"/>
      </rPr>
      <t>60% AMI or less</t>
    </r>
    <r>
      <rPr>
        <sz val="11"/>
        <color theme="1"/>
        <rFont val="Calibri"/>
        <family val="2"/>
        <scheme val="minor"/>
      </rPr>
      <t xml:space="preserve"> for the example above**:</t>
    </r>
  </si>
  <si>
    <t>Minimum Limit for Workforce Units:</t>
  </si>
  <si>
    <t>Maximum Limit for Workforce Units:</t>
  </si>
  <si>
    <t>Actual number of Workforce Units entered:</t>
  </si>
  <si>
    <t>Set-Aside Commitment Template to assist with RFA 2021-208</t>
  </si>
  <si>
    <t>2020 ELI 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</si>
</sst>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color rgb="FF0000FF"/>
      <name val="Calibri"/>
      <family val="2"/>
      <scheme val="minor"/>
    </font>
    <font>
      <sz val="11"/>
      <color theme="1"/>
      <name val="Wingdings"/>
      <charset val="2"/>
    </font>
    <font>
      <sz val="11"/>
      <color rgb="FF0000FF"/>
      <name val="Wingdings"/>
      <charset val="2"/>
    </font>
    <font>
      <b/>
      <sz val="20"/>
      <color theme="1"/>
      <name val="Wingdings"/>
      <charset val="2"/>
    </font>
    <font>
      <sz val="11"/>
      <color theme="1"/>
      <name val="Segoe UI Emoji"/>
      <family val="2"/>
    </font>
    <font>
      <b/>
      <sz val="28"/>
      <color theme="1"/>
      <name val="Segoe UI Symbol"/>
      <family val="2"/>
    </font>
    <font>
      <sz val="8"/>
      <color theme="1"/>
      <name val="Calibri"/>
      <family val="2"/>
      <scheme val="minor"/>
    </font>
    <font>
      <b/>
      <u/>
      <sz val="16"/>
      <color theme="1"/>
      <name val="Calibri"/>
      <family val="2"/>
      <scheme val="minor"/>
    </font>
    <font>
      <i/>
      <sz val="11"/>
      <color theme="1"/>
      <name val="Calibri"/>
      <family val="2"/>
      <scheme val="minor"/>
    </font>
    <font>
      <b/>
      <sz val="11"/>
      <name val="Calibri"/>
      <family val="2"/>
      <scheme val="minor"/>
    </font>
    <font>
      <sz val="9"/>
      <color theme="1"/>
      <name val="Calibri"/>
      <family val="2"/>
      <scheme val="minor"/>
    </font>
    <font>
      <i/>
      <sz val="10"/>
      <color theme="1"/>
      <name val="Calibri"/>
      <family val="2"/>
      <scheme val="minor"/>
    </font>
    <font>
      <sz val="11"/>
      <name val="Calibri"/>
      <family val="2"/>
      <scheme val="minor"/>
    </font>
    <font>
      <sz val="11"/>
      <color rgb="FF7030A0"/>
      <name val="Calibri"/>
      <family val="2"/>
      <scheme val="minor"/>
    </font>
    <font>
      <b/>
      <u/>
      <sz val="14"/>
      <color theme="1"/>
      <name val="Calibri"/>
      <family val="2"/>
      <scheme val="minor"/>
    </font>
    <font>
      <b/>
      <sz val="11"/>
      <color theme="1"/>
      <name val="Calibri"/>
      <family val="2"/>
    </font>
    <font>
      <sz val="11"/>
      <color theme="0"/>
      <name val="Calibri"/>
      <family val="2"/>
      <scheme val="minor"/>
    </font>
    <font>
      <b/>
      <sz val="10"/>
      <color rgb="FFC00000"/>
      <name val="Calibri"/>
      <family val="2"/>
      <scheme val="minor"/>
    </font>
    <font>
      <u/>
      <sz val="11"/>
      <color theme="1"/>
      <name val="Calibri"/>
      <family val="2"/>
      <scheme val="minor"/>
    </font>
    <font>
      <i/>
      <sz val="9"/>
      <color theme="1"/>
      <name val="Calibri"/>
      <family val="2"/>
      <scheme val="minor"/>
    </font>
  </fonts>
  <fills count="7">
    <fill>
      <patternFill patternType="none"/>
    </fill>
    <fill>
      <patternFill patternType="gray125"/>
    </fill>
    <fill>
      <patternFill patternType="lightUp">
        <fgColor theme="0" tint="-0.24994659260841701"/>
        <bgColor indexed="65"/>
      </patternFill>
    </fill>
    <fill>
      <patternFill patternType="lightGray">
        <fgColor rgb="FFFFFFCC"/>
      </patternFill>
    </fill>
    <fill>
      <patternFill patternType="solid">
        <fgColor theme="0" tint="-4.9989318521683403E-2"/>
        <bgColor indexed="64"/>
      </patternFill>
    </fill>
    <fill>
      <patternFill patternType="solid">
        <fgColor theme="0"/>
        <bgColor indexed="64"/>
      </patternFill>
    </fill>
    <fill>
      <patternFill patternType="lightGray">
        <fgColor rgb="FFFFFFCC"/>
        <bgColor theme="0"/>
      </patternFill>
    </fill>
  </fills>
  <borders count="1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medium">
        <color indexed="64"/>
      </right>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style="thin">
        <color indexed="64"/>
      </top>
      <bottom style="hair">
        <color indexed="64"/>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bottom style="hair">
        <color indexed="64"/>
      </bottom>
      <diagonal/>
    </border>
    <border>
      <left style="medium">
        <color indexed="64"/>
      </left>
      <right style="dotted">
        <color indexed="64"/>
      </right>
      <top style="hair">
        <color indexed="64"/>
      </top>
      <bottom style="dashed">
        <color indexed="64"/>
      </bottom>
      <diagonal/>
    </border>
    <border>
      <left style="dotted">
        <color indexed="64"/>
      </left>
      <right style="dotted">
        <color indexed="64"/>
      </right>
      <top style="hair">
        <color indexed="64"/>
      </top>
      <bottom style="dashed">
        <color indexed="64"/>
      </bottom>
      <diagonal/>
    </border>
    <border>
      <left style="dotted">
        <color indexed="64"/>
      </left>
      <right style="dotted">
        <color indexed="64"/>
      </right>
      <top/>
      <bottom style="dashed">
        <color indexed="64"/>
      </bottom>
      <diagonal/>
    </border>
    <border>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dotted">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tted">
        <color auto="1"/>
      </right>
      <top/>
      <bottom style="thin">
        <color indexed="64"/>
      </bottom>
      <diagonal/>
    </border>
    <border>
      <left style="dotted">
        <color auto="1"/>
      </left>
      <right/>
      <top style="thin">
        <color indexed="64"/>
      </top>
      <bottom style="hair">
        <color indexed="64"/>
      </bottom>
      <diagonal/>
    </border>
    <border>
      <left/>
      <right style="dotted">
        <color auto="1"/>
      </right>
      <top style="hair">
        <color indexed="64"/>
      </top>
      <bottom style="hair">
        <color indexed="64"/>
      </bottom>
      <diagonal/>
    </border>
    <border>
      <left style="dotted">
        <color auto="1"/>
      </left>
      <right/>
      <top style="hair">
        <color indexed="64"/>
      </top>
      <bottom style="hair">
        <color indexed="64"/>
      </bottom>
      <diagonal/>
    </border>
    <border>
      <left style="dotted">
        <color indexed="64"/>
      </left>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dotted">
        <color indexed="64"/>
      </right>
      <top style="hair">
        <color indexed="64"/>
      </top>
      <bottom style="dashDot">
        <color indexed="64"/>
      </bottom>
      <diagonal/>
    </border>
    <border>
      <left style="dotted">
        <color indexed="64"/>
      </left>
      <right style="dotted">
        <color indexed="64"/>
      </right>
      <top style="hair">
        <color indexed="64"/>
      </top>
      <bottom style="dashDot">
        <color indexed="64"/>
      </bottom>
      <diagonal/>
    </border>
    <border>
      <left style="dotted">
        <color indexed="64"/>
      </left>
      <right style="dotted">
        <color indexed="64"/>
      </right>
      <top/>
      <bottom style="dashDot">
        <color indexed="64"/>
      </bottom>
      <diagonal/>
    </border>
    <border>
      <left style="dotted">
        <color indexed="64"/>
      </left>
      <right style="medium">
        <color indexed="64"/>
      </right>
      <top/>
      <bottom style="dashDot">
        <color indexed="64"/>
      </bottom>
      <diagonal/>
    </border>
    <border>
      <left style="medium">
        <color indexed="64"/>
      </left>
      <right/>
      <top/>
      <bottom/>
      <diagonal/>
    </border>
    <border>
      <left/>
      <right style="medium">
        <color indexed="64"/>
      </right>
      <top/>
      <bottom/>
      <diagonal/>
    </border>
    <border>
      <left/>
      <right/>
      <top/>
      <bottom style="hair">
        <color auto="1"/>
      </bottom>
      <diagonal/>
    </border>
    <border>
      <left/>
      <right style="medium">
        <color indexed="64"/>
      </right>
      <top/>
      <bottom style="hair">
        <color auto="1"/>
      </bottom>
      <diagonal/>
    </border>
    <border>
      <left style="medium">
        <color indexed="64"/>
      </left>
      <right/>
      <top/>
      <bottom style="hair">
        <color auto="1"/>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hair">
        <color indexed="64"/>
      </top>
      <bottom/>
      <diagonal/>
    </border>
    <border>
      <left style="medium">
        <color indexed="64"/>
      </left>
      <right style="dotted">
        <color indexed="64"/>
      </right>
      <top style="hair">
        <color indexed="64"/>
      </top>
      <bottom/>
      <diagonal/>
    </border>
    <border>
      <left style="dotted">
        <color indexed="64"/>
      </left>
      <right style="dotted">
        <color indexed="64"/>
      </right>
      <top style="hair">
        <color indexed="64"/>
      </top>
      <bottom/>
      <diagonal/>
    </border>
    <border>
      <left/>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style="medium">
        <color indexed="64"/>
      </right>
      <top style="hair">
        <color indexed="64"/>
      </top>
      <bottom/>
      <diagonal/>
    </border>
    <border>
      <left/>
      <right style="dotted">
        <color auto="1"/>
      </right>
      <top style="hair">
        <color indexed="64"/>
      </top>
      <bottom/>
      <diagonal/>
    </border>
    <border>
      <left style="dotted">
        <color auto="1"/>
      </left>
      <right/>
      <top style="hair">
        <color indexed="64"/>
      </top>
      <bottom/>
      <diagonal/>
    </border>
    <border>
      <left/>
      <right style="dotted">
        <color auto="1"/>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ashDot">
        <color indexed="64"/>
      </bottom>
      <diagonal/>
    </border>
    <border>
      <left style="thin">
        <color indexed="64"/>
      </left>
      <right style="dotted">
        <color indexed="64"/>
      </right>
      <top style="dashDot">
        <color indexed="64"/>
      </top>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right style="thin">
        <color indexed="64"/>
      </right>
      <top style="hair">
        <color indexed="64"/>
      </top>
      <bottom style="hair">
        <color indexed="64"/>
      </bottom>
      <diagonal/>
    </border>
    <border>
      <left style="dotted">
        <color indexed="64"/>
      </left>
      <right style="medium">
        <color indexed="64"/>
      </right>
      <top style="double">
        <color indexed="64"/>
      </top>
      <bottom style="thin">
        <color indexed="64"/>
      </bottom>
      <diagonal/>
    </border>
    <border>
      <left style="medium">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73">
    <xf numFmtId="0" fontId="0" fillId="0" borderId="0" xfId="0"/>
    <xf numFmtId="10" fontId="0" fillId="2" borderId="8" xfId="1" applyNumberFormat="1" applyFont="1" applyFill="1" applyBorder="1" applyAlignment="1">
      <alignment horizontal="center" vertical="center"/>
    </xf>
    <xf numFmtId="10" fontId="0" fillId="2" borderId="10" xfId="1" applyNumberFormat="1" applyFont="1" applyFill="1" applyBorder="1" applyAlignment="1">
      <alignment horizontal="center" vertical="center"/>
    </xf>
    <xf numFmtId="38" fontId="0" fillId="2" borderId="7" xfId="0" applyNumberFormat="1" applyFill="1" applyBorder="1" applyAlignment="1">
      <alignment horizontal="right" vertical="center"/>
    </xf>
    <xf numFmtId="38" fontId="0" fillId="2" borderId="20" xfId="0" applyNumberFormat="1" applyFill="1" applyBorder="1" applyAlignment="1">
      <alignment horizontal="right" vertical="center"/>
    </xf>
    <xf numFmtId="38" fontId="0" fillId="2" borderId="19" xfId="0" applyNumberFormat="1" applyFill="1" applyBorder="1" applyAlignment="1">
      <alignment horizontal="right" vertical="center"/>
    </xf>
    <xf numFmtId="9" fontId="5" fillId="2" borderId="39" xfId="0" applyNumberFormat="1" applyFont="1" applyFill="1" applyBorder="1" applyAlignment="1">
      <alignment horizontal="center" vertical="center"/>
    </xf>
    <xf numFmtId="38" fontId="0" fillId="2" borderId="38" xfId="0" applyNumberFormat="1" applyFill="1" applyBorder="1" applyAlignment="1">
      <alignment horizontal="right" vertical="center" indent="1"/>
    </xf>
    <xf numFmtId="38" fontId="0" fillId="2" borderId="40" xfId="0" applyNumberFormat="1" applyFill="1" applyBorder="1" applyAlignment="1">
      <alignment horizontal="right" vertical="center" indent="1"/>
    </xf>
    <xf numFmtId="38" fontId="5" fillId="3" borderId="21" xfId="0" applyNumberFormat="1" applyFont="1" applyFill="1" applyBorder="1" applyAlignment="1" applyProtection="1">
      <alignment horizontal="right" vertical="center" indent="1"/>
      <protection locked="0"/>
    </xf>
    <xf numFmtId="38" fontId="5" fillId="3" borderId="27" xfId="0" applyNumberFormat="1" applyFont="1" applyFill="1" applyBorder="1" applyAlignment="1" applyProtection="1">
      <alignment horizontal="right" vertical="center" indent="1"/>
      <protection locked="0"/>
    </xf>
    <xf numFmtId="38" fontId="5" fillId="3" borderId="23" xfId="0" applyNumberFormat="1" applyFont="1" applyFill="1" applyBorder="1" applyAlignment="1" applyProtection="1">
      <alignment horizontal="right" vertical="center" indent="1"/>
      <protection locked="0"/>
    </xf>
    <xf numFmtId="38" fontId="5" fillId="3" borderId="22" xfId="0" applyNumberFormat="1" applyFont="1" applyFill="1" applyBorder="1" applyAlignment="1" applyProtection="1">
      <alignment horizontal="right" vertical="center" indent="1"/>
      <protection locked="0"/>
    </xf>
    <xf numFmtId="38" fontId="5" fillId="3" borderId="44" xfId="0" applyNumberFormat="1" applyFont="1" applyFill="1" applyBorder="1" applyAlignment="1" applyProtection="1">
      <alignment horizontal="right" vertical="center" indent="1"/>
      <protection locked="0"/>
    </xf>
    <xf numFmtId="9" fontId="5" fillId="3" borderId="21" xfId="0" applyNumberFormat="1" applyFont="1" applyFill="1" applyBorder="1" applyAlignment="1" applyProtection="1">
      <alignment horizontal="center" vertical="center"/>
      <protection locked="0"/>
    </xf>
    <xf numFmtId="9" fontId="5" fillId="3" borderId="22" xfId="0" applyNumberFormat="1" applyFont="1" applyFill="1" applyBorder="1" applyAlignment="1" applyProtection="1">
      <alignment horizontal="center" vertical="center"/>
      <protection locked="0"/>
    </xf>
    <xf numFmtId="38" fontId="5" fillId="3" borderId="73" xfId="0" applyNumberFormat="1" applyFont="1" applyFill="1" applyBorder="1" applyAlignment="1" applyProtection="1">
      <alignment horizontal="right" vertical="center" indent="1"/>
      <protection locked="0"/>
    </xf>
    <xf numFmtId="38" fontId="0" fillId="2" borderId="76" xfId="0" applyNumberFormat="1" applyFill="1" applyBorder="1" applyAlignment="1">
      <alignment horizontal="right" vertical="center" indent="1"/>
    </xf>
    <xf numFmtId="10" fontId="0" fillId="2" borderId="20" xfId="1" applyNumberFormat="1" applyFont="1" applyFill="1" applyBorder="1" applyAlignment="1">
      <alignment horizontal="center" vertical="center"/>
    </xf>
    <xf numFmtId="10" fontId="3" fillId="2" borderId="20" xfId="1" applyNumberFormat="1" applyFont="1" applyFill="1" applyBorder="1" applyAlignment="1">
      <alignment vertical="center" wrapText="1"/>
    </xf>
    <xf numFmtId="38" fontId="5" fillId="3" borderId="76" xfId="0" applyNumberFormat="1" applyFont="1" applyFill="1" applyBorder="1" applyAlignment="1" applyProtection="1">
      <alignment horizontal="right" vertical="center" indent="1"/>
      <protection locked="0"/>
    </xf>
    <xf numFmtId="9" fontId="5" fillId="2" borderId="73" xfId="0" applyNumberFormat="1" applyFont="1" applyFill="1" applyBorder="1" applyAlignment="1">
      <alignment horizontal="center" vertical="center"/>
    </xf>
    <xf numFmtId="38" fontId="0" fillId="2" borderId="77" xfId="0" applyNumberFormat="1" applyFill="1" applyBorder="1" applyAlignment="1">
      <alignment horizontal="right" vertical="center" indent="1"/>
    </xf>
    <xf numFmtId="9" fontId="5" fillId="3" borderId="78" xfId="0" applyNumberFormat="1" applyFont="1" applyFill="1" applyBorder="1" applyAlignment="1" applyProtection="1">
      <alignment horizontal="center" vertical="center"/>
      <protection locked="0"/>
    </xf>
    <xf numFmtId="9" fontId="5" fillId="2" borderId="76" xfId="0" applyNumberFormat="1" applyFont="1" applyFill="1" applyBorder="1" applyAlignment="1">
      <alignment horizontal="center" vertical="center"/>
    </xf>
    <xf numFmtId="38" fontId="0" fillId="2" borderId="19" xfId="0" applyNumberFormat="1" applyFill="1" applyBorder="1" applyAlignment="1">
      <alignment horizontal="right" vertical="center" indent="1"/>
    </xf>
    <xf numFmtId="9" fontId="5" fillId="3" borderId="80" xfId="0" applyNumberFormat="1" applyFont="1" applyFill="1" applyBorder="1" applyAlignment="1" applyProtection="1">
      <alignment horizontal="center" vertical="center"/>
      <protection locked="0"/>
    </xf>
    <xf numFmtId="38" fontId="0" fillId="2" borderId="33" xfId="0" applyNumberFormat="1" applyFill="1" applyBorder="1" applyAlignment="1">
      <alignment horizontal="right" vertical="center"/>
    </xf>
    <xf numFmtId="10" fontId="0" fillId="2" borderId="18" xfId="1" applyNumberFormat="1" applyFont="1" applyFill="1" applyBorder="1" applyAlignment="1">
      <alignment horizontal="center" vertical="center"/>
    </xf>
    <xf numFmtId="10" fontId="0" fillId="2" borderId="11" xfId="1" applyNumberFormat="1" applyFont="1" applyFill="1" applyBorder="1" applyAlignment="1">
      <alignment horizontal="center" vertical="center"/>
    </xf>
    <xf numFmtId="0" fontId="12" fillId="5" borderId="0" xfId="0" applyFont="1" applyFill="1"/>
    <xf numFmtId="0" fontId="0" fillId="5" borderId="0" xfId="0" applyFill="1"/>
    <xf numFmtId="0" fontId="0" fillId="5" borderId="86" xfId="0" applyFill="1" applyBorder="1" applyAlignment="1">
      <alignment horizontal="center" wrapText="1"/>
    </xf>
    <xf numFmtId="0" fontId="2" fillId="5" borderId="81" xfId="0" applyFont="1" applyFill="1" applyBorder="1" applyAlignment="1">
      <alignment horizontal="center" vertical="center"/>
    </xf>
    <xf numFmtId="0" fontId="0" fillId="5" borderId="0" xfId="0" applyFill="1" applyAlignment="1">
      <alignment vertical="center"/>
    </xf>
    <xf numFmtId="0" fontId="0" fillId="5" borderId="11"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33" xfId="0" applyFill="1" applyBorder="1" applyAlignment="1">
      <alignment horizontal="center" wrapText="1"/>
    </xf>
    <xf numFmtId="0" fontId="0" fillId="5" borderId="18" xfId="0" applyFill="1" applyBorder="1" applyAlignment="1">
      <alignment horizontal="center" wrapText="1"/>
    </xf>
    <xf numFmtId="0" fontId="0" fillId="5" borderId="0" xfId="0" applyFill="1" applyAlignment="1">
      <alignment horizontal="center"/>
    </xf>
    <xf numFmtId="0" fontId="0" fillId="5" borderId="90" xfId="0" applyFill="1" applyBorder="1" applyAlignment="1">
      <alignment horizontal="center" wrapText="1"/>
    </xf>
    <xf numFmtId="0" fontId="0" fillId="5" borderId="6" xfId="0" applyFill="1" applyBorder="1" applyAlignment="1">
      <alignment horizontal="center" wrapText="1"/>
    </xf>
    <xf numFmtId="0" fontId="0" fillId="5" borderId="37" xfId="0" applyFill="1" applyBorder="1" applyAlignment="1">
      <alignment horizontal="center" wrapText="1"/>
    </xf>
    <xf numFmtId="0" fontId="0" fillId="5" borderId="41" xfId="0" applyFill="1" applyBorder="1" applyAlignment="1">
      <alignment horizontal="center" wrapText="1"/>
    </xf>
    <xf numFmtId="0" fontId="0" fillId="5" borderId="88" xfId="0" applyFill="1" applyBorder="1" applyAlignment="1">
      <alignment horizontal="center" wrapText="1"/>
    </xf>
    <xf numFmtId="10" fontId="0" fillId="5" borderId="26" xfId="1" applyNumberFormat="1" applyFont="1" applyFill="1" applyBorder="1" applyAlignment="1">
      <alignment horizontal="center" vertical="center"/>
    </xf>
    <xf numFmtId="10" fontId="0" fillId="5" borderId="74" xfId="1" applyNumberFormat="1" applyFont="1" applyFill="1" applyBorder="1" applyAlignment="1">
      <alignment horizontal="center" vertical="center"/>
    </xf>
    <xf numFmtId="10" fontId="0" fillId="5" borderId="20" xfId="1" applyNumberFormat="1" applyFont="1" applyFill="1" applyBorder="1" applyAlignment="1">
      <alignment horizontal="center" vertical="center"/>
    </xf>
    <xf numFmtId="38" fontId="0" fillId="5" borderId="13" xfId="0" applyNumberFormat="1" applyFill="1" applyBorder="1" applyAlignment="1">
      <alignment horizontal="right" vertical="center" indent="1"/>
    </xf>
    <xf numFmtId="10" fontId="0" fillId="5" borderId="14" xfId="1" applyNumberFormat="1" applyFont="1" applyFill="1" applyBorder="1" applyAlignment="1">
      <alignment horizontal="center" vertical="center"/>
    </xf>
    <xf numFmtId="10" fontId="11" fillId="5" borderId="15" xfId="1" applyNumberFormat="1" applyFont="1" applyFill="1" applyBorder="1" applyAlignment="1">
      <alignment horizontal="center" vertical="center" wrapText="1"/>
    </xf>
    <xf numFmtId="10" fontId="0" fillId="5" borderId="36" xfId="1" applyNumberFormat="1" applyFont="1" applyFill="1" applyBorder="1" applyAlignment="1">
      <alignment horizontal="center" vertical="center"/>
    </xf>
    <xf numFmtId="9" fontId="0" fillId="5" borderId="32" xfId="1" applyFont="1" applyFill="1" applyBorder="1" applyAlignment="1">
      <alignment horizontal="center" vertical="center"/>
    </xf>
    <xf numFmtId="9" fontId="0" fillId="5" borderId="72" xfId="1" applyFont="1" applyFill="1" applyBorder="1" applyAlignment="1">
      <alignment horizontal="center" vertical="center"/>
    </xf>
    <xf numFmtId="9" fontId="0" fillId="5" borderId="71" xfId="1" applyFont="1" applyFill="1" applyBorder="1" applyAlignment="1">
      <alignment horizontal="center" vertical="center"/>
    </xf>
    <xf numFmtId="10" fontId="0" fillId="5" borderId="24" xfId="1" applyNumberFormat="1" applyFont="1" applyFill="1" applyBorder="1" applyAlignment="1">
      <alignment horizontal="center" vertical="center"/>
    </xf>
    <xf numFmtId="10" fontId="0" fillId="5" borderId="28" xfId="1" applyNumberFormat="1" applyFont="1" applyFill="1" applyBorder="1" applyAlignment="1">
      <alignment horizontal="center" vertical="center"/>
    </xf>
    <xf numFmtId="10" fontId="0" fillId="5" borderId="25" xfId="1" applyNumberFormat="1" applyFont="1" applyFill="1" applyBorder="1" applyAlignment="1">
      <alignment horizontal="center" vertical="center"/>
    </xf>
    <xf numFmtId="10" fontId="0" fillId="5" borderId="45" xfId="1" applyNumberFormat="1" applyFont="1" applyFill="1" applyBorder="1" applyAlignment="1">
      <alignment horizontal="center" vertical="center"/>
    </xf>
    <xf numFmtId="0" fontId="4" fillId="5" borderId="0" xfId="0" applyFont="1" applyFill="1" applyAlignment="1">
      <alignment horizontal="center"/>
    </xf>
    <xf numFmtId="9" fontId="0" fillId="5" borderId="53" xfId="1" applyFont="1" applyFill="1" applyBorder="1" applyAlignment="1">
      <alignment horizontal="center" vertical="center"/>
    </xf>
    <xf numFmtId="9" fontId="0" fillId="5" borderId="54" xfId="1" applyFont="1" applyFill="1" applyBorder="1" applyAlignment="1">
      <alignment horizontal="center" vertical="center"/>
    </xf>
    <xf numFmtId="9" fontId="0" fillId="5" borderId="65" xfId="1" applyFont="1" applyFill="1" applyBorder="1" applyAlignment="1">
      <alignment horizontal="center" vertical="center"/>
    </xf>
    <xf numFmtId="9" fontId="0" fillId="5" borderId="91" xfId="1" applyFont="1" applyFill="1" applyBorder="1" applyAlignment="1">
      <alignment horizontal="center" vertical="center"/>
    </xf>
    <xf numFmtId="38" fontId="0" fillId="5" borderId="43" xfId="0" applyNumberFormat="1" applyFill="1" applyBorder="1" applyAlignment="1">
      <alignment horizontal="right" vertical="center" indent="1"/>
    </xf>
    <xf numFmtId="9" fontId="0" fillId="5" borderId="13" xfId="0" applyNumberFormat="1" applyFill="1" applyBorder="1" applyAlignment="1">
      <alignment horizontal="center" vertical="center"/>
    </xf>
    <xf numFmtId="38" fontId="0" fillId="5" borderId="15" xfId="0" applyNumberFormat="1" applyFill="1" applyBorder="1" applyAlignment="1">
      <alignment horizontal="right" vertical="center" indent="1"/>
    </xf>
    <xf numFmtId="38" fontId="0" fillId="5" borderId="79" xfId="0" applyNumberFormat="1" applyFill="1" applyBorder="1" applyAlignment="1">
      <alignment horizontal="right" vertical="center" indent="1"/>
    </xf>
    <xf numFmtId="38" fontId="0" fillId="5" borderId="19" xfId="0" applyNumberFormat="1" applyFill="1" applyBorder="1" applyAlignment="1">
      <alignment horizontal="right" vertical="center" indent="1"/>
    </xf>
    <xf numFmtId="9" fontId="0" fillId="5" borderId="21" xfId="1" applyNumberFormat="1" applyFont="1" applyFill="1" applyBorder="1" applyAlignment="1">
      <alignment horizontal="center" vertical="center"/>
    </xf>
    <xf numFmtId="38" fontId="0" fillId="5" borderId="42" xfId="0" applyNumberFormat="1" applyFill="1" applyBorder="1" applyAlignment="1">
      <alignment horizontal="right" vertical="center" indent="1"/>
    </xf>
    <xf numFmtId="9" fontId="0" fillId="5" borderId="22" xfId="1" applyNumberFormat="1" applyFont="1" applyFill="1" applyBorder="1" applyAlignment="1">
      <alignment horizontal="center" vertical="center"/>
    </xf>
    <xf numFmtId="9" fontId="0" fillId="5" borderId="73" xfId="1" applyNumberFormat="1" applyFont="1" applyFill="1" applyBorder="1" applyAlignment="1">
      <alignment horizontal="center" vertical="center"/>
    </xf>
    <xf numFmtId="38" fontId="0" fillId="5" borderId="77" xfId="0" applyNumberFormat="1" applyFill="1" applyBorder="1" applyAlignment="1">
      <alignment horizontal="right" vertical="center" indent="1"/>
    </xf>
    <xf numFmtId="9" fontId="0" fillId="5" borderId="76" xfId="1" applyNumberFormat="1" applyFont="1" applyFill="1" applyBorder="1" applyAlignment="1">
      <alignment horizontal="center" vertical="center"/>
    </xf>
    <xf numFmtId="0" fontId="2" fillId="5" borderId="75" xfId="0" applyFont="1" applyFill="1" applyBorder="1" applyAlignment="1">
      <alignment horizontal="left" vertical="center"/>
    </xf>
    <xf numFmtId="0" fontId="0" fillId="5" borderId="50" xfId="0" applyFill="1" applyBorder="1" applyAlignment="1">
      <alignment vertical="center"/>
    </xf>
    <xf numFmtId="0" fontId="0" fillId="5" borderId="50" xfId="0" applyFill="1" applyBorder="1" applyAlignment="1">
      <alignment horizontal="right" vertical="center"/>
    </xf>
    <xf numFmtId="9" fontId="0" fillId="5" borderId="50" xfId="0" applyNumberFormat="1" applyFill="1" applyBorder="1" applyAlignment="1">
      <alignment horizontal="center" vertical="center"/>
    </xf>
    <xf numFmtId="38" fontId="0" fillId="5" borderId="62" xfId="0" applyNumberFormat="1" applyFill="1" applyBorder="1" applyAlignment="1">
      <alignment horizontal="right" vertical="center" indent="1"/>
    </xf>
    <xf numFmtId="0" fontId="0" fillId="5" borderId="30" xfId="0" applyFill="1" applyBorder="1" applyAlignment="1">
      <alignment vertical="center"/>
    </xf>
    <xf numFmtId="0" fontId="0" fillId="5" borderId="30" xfId="0" applyFill="1" applyBorder="1" applyAlignment="1">
      <alignment horizontal="right" vertical="center"/>
    </xf>
    <xf numFmtId="9" fontId="0" fillId="5" borderId="30" xfId="0" applyNumberFormat="1" applyFill="1" applyBorder="1" applyAlignment="1">
      <alignment horizontal="center" vertical="center"/>
    </xf>
    <xf numFmtId="38" fontId="0" fillId="5" borderId="94" xfId="0" applyNumberFormat="1" applyFill="1" applyBorder="1" applyAlignment="1">
      <alignment horizontal="right" vertical="center" indent="1"/>
    </xf>
    <xf numFmtId="0" fontId="0" fillId="5" borderId="95" xfId="0" applyFill="1" applyBorder="1" applyAlignment="1">
      <alignment horizontal="center" vertical="center"/>
    </xf>
    <xf numFmtId="0" fontId="0" fillId="5" borderId="86" xfId="0" applyFill="1" applyBorder="1" applyAlignment="1">
      <alignment vertical="center"/>
    </xf>
    <xf numFmtId="38" fontId="0" fillId="5" borderId="96" xfId="0" applyNumberFormat="1" applyFill="1" applyBorder="1" applyAlignment="1">
      <alignment horizontal="right" vertical="center" indent="1"/>
    </xf>
    <xf numFmtId="10" fontId="0" fillId="5" borderId="97" xfId="1" applyNumberFormat="1" applyFont="1" applyFill="1" applyBorder="1" applyAlignment="1">
      <alignment horizontal="center" vertical="center"/>
    </xf>
    <xf numFmtId="10" fontId="0" fillId="5" borderId="95" xfId="1" applyNumberFormat="1" applyFont="1" applyFill="1" applyBorder="1" applyAlignment="1">
      <alignment horizontal="center" vertical="center"/>
    </xf>
    <xf numFmtId="0" fontId="0" fillId="5" borderId="98" xfId="0" applyFill="1" applyBorder="1" applyAlignment="1">
      <alignment horizontal="center" vertical="center"/>
    </xf>
    <xf numFmtId="9" fontId="0" fillId="5" borderId="96" xfId="0" applyNumberFormat="1" applyFill="1" applyBorder="1" applyAlignment="1">
      <alignment horizontal="center" vertical="center"/>
    </xf>
    <xf numFmtId="38" fontId="0" fillId="5" borderId="95" xfId="0" applyNumberFormat="1" applyFill="1" applyBorder="1" applyAlignment="1">
      <alignment horizontal="right" vertical="center" indent="1"/>
    </xf>
    <xf numFmtId="0" fontId="2" fillId="4" borderId="34" xfId="0" applyFont="1" applyFill="1" applyBorder="1" applyAlignment="1">
      <alignment vertical="center"/>
    </xf>
    <xf numFmtId="38" fontId="5" fillId="3" borderId="35" xfId="0" applyNumberFormat="1" applyFont="1" applyFill="1" applyBorder="1" applyAlignment="1" applyProtection="1">
      <alignment horizontal="right" vertical="center" indent="1"/>
      <protection locked="0"/>
    </xf>
    <xf numFmtId="0" fontId="0" fillId="5" borderId="61" xfId="0" applyFill="1" applyBorder="1" applyAlignment="1">
      <alignment vertical="center"/>
    </xf>
    <xf numFmtId="0" fontId="0" fillId="5" borderId="50" xfId="0" applyFill="1" applyBorder="1"/>
    <xf numFmtId="38" fontId="0" fillId="5" borderId="50" xfId="0" applyNumberFormat="1" applyFill="1" applyBorder="1" applyAlignment="1">
      <alignment horizontal="right" vertical="center" indent="1"/>
    </xf>
    <xf numFmtId="0" fontId="0" fillId="5" borderId="100" xfId="0" applyFill="1" applyBorder="1" applyAlignment="1">
      <alignment vertical="center"/>
    </xf>
    <xf numFmtId="0" fontId="0" fillId="5" borderId="30" xfId="0" applyFill="1" applyBorder="1"/>
    <xf numFmtId="9" fontId="0" fillId="5" borderId="30" xfId="1" applyFont="1" applyFill="1" applyBorder="1" applyAlignment="1">
      <alignment horizontal="center" vertical="center"/>
    </xf>
    <xf numFmtId="38" fontId="0" fillId="5" borderId="30" xfId="0" applyNumberFormat="1" applyFill="1" applyBorder="1" applyAlignment="1">
      <alignment horizontal="right" vertical="center" indent="1"/>
    </xf>
    <xf numFmtId="0" fontId="0" fillId="5" borderId="0" xfId="0" applyFill="1" applyAlignment="1"/>
    <xf numFmtId="0" fontId="13" fillId="5" borderId="0" xfId="0" applyFont="1" applyFill="1" applyAlignment="1">
      <alignment horizontal="right" vertical="center"/>
    </xf>
    <xf numFmtId="0" fontId="7" fillId="3" borderId="34"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6" fillId="5" borderId="57" xfId="0" applyFont="1" applyFill="1" applyBorder="1"/>
    <xf numFmtId="0" fontId="6" fillId="5" borderId="102" xfId="0" applyFont="1" applyFill="1" applyBorder="1" applyAlignment="1">
      <alignment horizontal="center" vertical="center"/>
    </xf>
    <xf numFmtId="0" fontId="6" fillId="5" borderId="5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102" xfId="0" applyFont="1" applyFill="1" applyBorder="1" applyAlignment="1">
      <alignment horizontal="center" vertical="center"/>
    </xf>
    <xf numFmtId="0" fontId="4" fillId="5" borderId="57" xfId="0" applyFont="1" applyFill="1" applyBorder="1" applyAlignment="1">
      <alignment horizontal="left"/>
    </xf>
    <xf numFmtId="0" fontId="4" fillId="5" borderId="58" xfId="0" applyFont="1" applyFill="1" applyBorder="1" applyAlignment="1">
      <alignment horizontal="center"/>
    </xf>
    <xf numFmtId="0" fontId="0" fillId="5" borderId="59" xfId="0" applyFill="1" applyBorder="1"/>
    <xf numFmtId="9" fontId="0" fillId="5" borderId="60" xfId="1" applyFont="1" applyFill="1" applyBorder="1" applyAlignment="1">
      <alignment horizontal="center" vertical="center"/>
    </xf>
    <xf numFmtId="0" fontId="0" fillId="5" borderId="102" xfId="0" applyFill="1" applyBorder="1"/>
    <xf numFmtId="9" fontId="0" fillId="5" borderId="103" xfId="1" applyFont="1" applyFill="1" applyBorder="1" applyAlignment="1">
      <alignment horizontal="center" vertical="center"/>
    </xf>
    <xf numFmtId="0" fontId="0" fillId="5" borderId="60" xfId="0" applyFill="1" applyBorder="1"/>
    <xf numFmtId="0" fontId="5" fillId="6" borderId="35" xfId="0" applyFont="1" applyFill="1" applyBorder="1" applyAlignment="1" applyProtection="1">
      <alignment horizontal="center" vertical="center"/>
      <protection locked="0"/>
    </xf>
    <xf numFmtId="9" fontId="0" fillId="4" borderId="31" xfId="1" applyFont="1" applyFill="1" applyBorder="1" applyAlignment="1">
      <alignment horizontal="center" vertical="center"/>
    </xf>
    <xf numFmtId="9" fontId="0" fillId="4" borderId="32" xfId="1" applyFont="1" applyFill="1" applyBorder="1" applyAlignment="1">
      <alignment horizontal="center" vertical="center"/>
    </xf>
    <xf numFmtId="38" fontId="0" fillId="5" borderId="21" xfId="0" applyNumberFormat="1" applyFill="1" applyBorder="1" applyAlignment="1">
      <alignment horizontal="right" vertical="center"/>
    </xf>
    <xf numFmtId="10" fontId="0" fillId="5" borderId="42" xfId="1" applyNumberFormat="1" applyFont="1" applyFill="1" applyBorder="1" applyAlignment="1">
      <alignment horizontal="center" vertical="center"/>
    </xf>
    <xf numFmtId="38" fontId="0" fillId="5" borderId="22" xfId="0" applyNumberFormat="1" applyFill="1" applyBorder="1" applyAlignment="1">
      <alignment horizontal="right" vertical="center"/>
    </xf>
    <xf numFmtId="10" fontId="0" fillId="5" borderId="43" xfId="1" applyNumberFormat="1" applyFont="1" applyFill="1" applyBorder="1" applyAlignment="1">
      <alignment horizontal="center" vertical="center"/>
    </xf>
    <xf numFmtId="38" fontId="0" fillId="5" borderId="73" xfId="0" applyNumberFormat="1" applyFill="1" applyBorder="1" applyAlignment="1">
      <alignment horizontal="right" vertical="center"/>
    </xf>
    <xf numFmtId="10" fontId="0" fillId="5" borderId="77" xfId="1" applyNumberFormat="1" applyFont="1" applyFill="1" applyBorder="1" applyAlignment="1">
      <alignment horizontal="center" vertical="center"/>
    </xf>
    <xf numFmtId="38" fontId="0" fillId="5" borderId="76" xfId="0" applyNumberFormat="1" applyFill="1" applyBorder="1" applyAlignment="1">
      <alignment horizontal="right" vertical="center"/>
    </xf>
    <xf numFmtId="10" fontId="0" fillId="5" borderId="19" xfId="1" applyNumberFormat="1" applyFont="1" applyFill="1" applyBorder="1" applyAlignment="1">
      <alignment horizontal="center" vertical="center"/>
    </xf>
    <xf numFmtId="38" fontId="0" fillId="5" borderId="13" xfId="0" applyNumberFormat="1" applyFill="1" applyBorder="1" applyAlignment="1">
      <alignment horizontal="right" vertical="center"/>
    </xf>
    <xf numFmtId="10" fontId="0" fillId="5" borderId="15" xfId="1" applyNumberFormat="1" applyFont="1" applyFill="1" applyBorder="1" applyAlignment="1">
      <alignment horizontal="center" vertical="center"/>
    </xf>
    <xf numFmtId="0" fontId="16" fillId="5" borderId="0" xfId="0" applyFont="1" applyFill="1" applyAlignment="1">
      <alignment horizontal="right" vertical="top"/>
    </xf>
    <xf numFmtId="0" fontId="18" fillId="5" borderId="50" xfId="0" applyFont="1" applyFill="1" applyBorder="1" applyAlignment="1">
      <alignment vertical="center"/>
    </xf>
    <xf numFmtId="0" fontId="18" fillId="5" borderId="50" xfId="0" applyFont="1" applyFill="1" applyBorder="1" applyAlignment="1">
      <alignment horizontal="right" vertical="center"/>
    </xf>
    <xf numFmtId="9" fontId="18" fillId="5" borderId="50" xfId="0" applyNumberFormat="1" applyFont="1" applyFill="1" applyBorder="1" applyAlignment="1">
      <alignment horizontal="center" vertical="center"/>
    </xf>
    <xf numFmtId="38" fontId="18" fillId="5" borderId="62" xfId="0" applyNumberFormat="1" applyFont="1" applyFill="1" applyBorder="1" applyAlignment="1">
      <alignment horizontal="right" vertical="center" indent="1"/>
    </xf>
    <xf numFmtId="0" fontId="19" fillId="0" borderId="0" xfId="0" applyFont="1"/>
    <xf numFmtId="0" fontId="0" fillId="0" borderId="105" xfId="0" applyBorder="1"/>
    <xf numFmtId="0" fontId="0" fillId="0" borderId="105" xfId="0" applyBorder="1" applyAlignment="1">
      <alignment horizontal="center" vertical="center"/>
    </xf>
    <xf numFmtId="0" fontId="0" fillId="0" borderId="110" xfId="0" applyBorder="1"/>
    <xf numFmtId="0" fontId="2" fillId="0" borderId="110" xfId="0" applyFont="1" applyBorder="1" applyAlignment="1">
      <alignment horizontal="center" vertical="center" wrapText="1"/>
    </xf>
    <xf numFmtId="0" fontId="0" fillId="0" borderId="109" xfId="0" applyBorder="1" applyAlignment="1">
      <alignment horizontal="center" vertical="top" wrapText="1"/>
    </xf>
    <xf numFmtId="0" fontId="0" fillId="0" borderId="109" xfId="0" applyBorder="1" applyAlignment="1">
      <alignment horizontal="center" vertical="center" wrapText="1"/>
    </xf>
    <xf numFmtId="0" fontId="0" fillId="0" borderId="109" xfId="0" applyBorder="1" applyAlignment="1">
      <alignment horizontal="center" vertical="center"/>
    </xf>
    <xf numFmtId="9" fontId="2" fillId="0" borderId="110" xfId="1" applyFont="1" applyBorder="1" applyAlignment="1">
      <alignment horizontal="center" vertical="center"/>
    </xf>
    <xf numFmtId="0" fontId="2" fillId="0" borderId="105" xfId="0" applyFont="1" applyBorder="1" applyAlignment="1">
      <alignment horizontal="center" vertical="top" wrapText="1"/>
    </xf>
    <xf numFmtId="9" fontId="2" fillId="0" borderId="110" xfId="1" applyFont="1" applyBorder="1" applyAlignment="1">
      <alignment horizontal="center" vertical="center" wrapText="1"/>
    </xf>
    <xf numFmtId="0" fontId="0" fillId="0" borderId="112" xfId="0" applyBorder="1" applyAlignment="1">
      <alignment horizontal="center" vertical="top" wrapText="1"/>
    </xf>
    <xf numFmtId="0" fontId="0" fillId="0" borderId="112" xfId="0" applyBorder="1" applyAlignment="1">
      <alignment horizontal="center" vertical="center" wrapText="1"/>
    </xf>
    <xf numFmtId="38" fontId="0" fillId="0" borderId="105" xfId="0" applyNumberFormat="1" applyBorder="1" applyAlignment="1">
      <alignment horizontal="center" vertical="center"/>
    </xf>
    <xf numFmtId="38" fontId="0" fillId="0" borderId="109" xfId="0" applyNumberFormat="1" applyBorder="1" applyAlignment="1">
      <alignment horizontal="center" vertical="center"/>
    </xf>
    <xf numFmtId="38" fontId="0" fillId="0" borderId="112" xfId="0" applyNumberFormat="1" applyBorder="1" applyAlignment="1">
      <alignment horizontal="center" vertical="center"/>
    </xf>
    <xf numFmtId="9" fontId="0" fillId="0" borderId="105" xfId="1" applyFont="1" applyBorder="1" applyAlignment="1">
      <alignment horizontal="center" vertical="center"/>
    </xf>
    <xf numFmtId="9" fontId="0" fillId="0" borderId="109" xfId="1" applyFont="1" applyBorder="1" applyAlignment="1">
      <alignment horizontal="center" vertical="center"/>
    </xf>
    <xf numFmtId="0" fontId="0" fillId="5" borderId="0" xfId="0" quotePrefix="1" applyFill="1"/>
    <xf numFmtId="0" fontId="4" fillId="5" borderId="0" xfId="0" applyFont="1" applyFill="1"/>
    <xf numFmtId="9" fontId="0" fillId="5" borderId="59" xfId="0" applyNumberFormat="1" applyFill="1" applyBorder="1" applyAlignment="1">
      <alignment horizontal="center"/>
    </xf>
    <xf numFmtId="0" fontId="0" fillId="5" borderId="0" xfId="0" applyFill="1" applyBorder="1"/>
    <xf numFmtId="0" fontId="0" fillId="5" borderId="59" xfId="0" applyFill="1" applyBorder="1" applyAlignment="1">
      <alignment horizontal="center"/>
    </xf>
    <xf numFmtId="0" fontId="0" fillId="5" borderId="111" xfId="0" applyFill="1" applyBorder="1"/>
    <xf numFmtId="0" fontId="0" fillId="5" borderId="103" xfId="0" applyFill="1" applyBorder="1"/>
    <xf numFmtId="0" fontId="3" fillId="5" borderId="50" xfId="0" applyFont="1" applyFill="1" applyBorder="1" applyAlignment="1">
      <alignment horizontal="right" vertical="center"/>
    </xf>
    <xf numFmtId="0" fontId="0" fillId="5" borderId="0" xfId="0" applyFill="1" applyBorder="1" applyAlignment="1">
      <alignment vertical="center"/>
    </xf>
    <xf numFmtId="164" fontId="0" fillId="5" borderId="59" xfId="1" applyNumberFormat="1" applyFont="1" applyFill="1" applyBorder="1" applyAlignment="1">
      <alignment horizontal="center" vertical="center"/>
    </xf>
    <xf numFmtId="0" fontId="24" fillId="5" borderId="0" xfId="0" applyFont="1" applyFill="1" applyBorder="1" applyAlignment="1">
      <alignment vertical="top" wrapText="1"/>
    </xf>
    <xf numFmtId="0" fontId="21" fillId="5" borderId="0" xfId="0" applyFont="1" applyFill="1" applyAlignment="1">
      <alignment horizontal="center" vertical="center"/>
    </xf>
    <xf numFmtId="0" fontId="17" fillId="5" borderId="0" xfId="0" applyFont="1" applyFill="1" applyBorder="1" applyAlignment="1">
      <alignment vertical="center"/>
    </xf>
    <xf numFmtId="38" fontId="17" fillId="5" borderId="0" xfId="0" applyNumberFormat="1" applyFont="1" applyFill="1" applyBorder="1" applyAlignment="1">
      <alignment vertical="center"/>
    </xf>
    <xf numFmtId="0" fontId="13" fillId="5" borderId="57" xfId="0" applyFont="1" applyFill="1" applyBorder="1" applyAlignment="1">
      <alignment horizontal="right" vertical="top" wrapText="1"/>
    </xf>
    <xf numFmtId="0" fontId="13" fillId="5" borderId="56" xfId="0" applyFont="1" applyFill="1" applyBorder="1" applyAlignment="1">
      <alignment horizontal="right" vertical="top" wrapText="1"/>
    </xf>
    <xf numFmtId="0" fontId="13" fillId="5" borderId="58" xfId="0" applyFont="1" applyFill="1" applyBorder="1" applyAlignment="1">
      <alignment horizontal="right" vertical="top" wrapText="1"/>
    </xf>
    <xf numFmtId="0" fontId="13" fillId="5" borderId="102" xfId="0" applyFont="1" applyFill="1" applyBorder="1" applyAlignment="1">
      <alignment horizontal="right" vertical="top" wrapText="1"/>
    </xf>
    <xf numFmtId="0" fontId="13" fillId="5" borderId="111" xfId="0" applyFont="1" applyFill="1" applyBorder="1" applyAlignment="1">
      <alignment horizontal="right" vertical="top" wrapText="1"/>
    </xf>
    <xf numFmtId="0" fontId="13" fillId="5" borderId="103" xfId="0" applyFont="1" applyFill="1" applyBorder="1" applyAlignment="1">
      <alignment horizontal="right" vertical="top" wrapText="1"/>
    </xf>
    <xf numFmtId="0" fontId="13" fillId="5" borderId="59" xfId="0" applyFont="1" applyFill="1" applyBorder="1" applyAlignment="1">
      <alignment horizontal="right" vertical="top" wrapText="1"/>
    </xf>
    <xf numFmtId="0" fontId="13" fillId="5" borderId="0" xfId="0" applyFont="1" applyFill="1" applyBorder="1" applyAlignment="1">
      <alignment horizontal="right" vertical="top" wrapText="1"/>
    </xf>
    <xf numFmtId="0" fontId="13" fillId="5" borderId="60" xfId="0" applyFont="1" applyFill="1" applyBorder="1" applyAlignment="1">
      <alignment horizontal="right" vertical="top" wrapText="1"/>
    </xf>
    <xf numFmtId="0" fontId="0" fillId="5" borderId="58" xfId="0" applyFill="1" applyBorder="1" applyAlignment="1">
      <alignment horizontal="center" wrapText="1"/>
    </xf>
    <xf numFmtId="0" fontId="0" fillId="5" borderId="60" xfId="0" applyFill="1" applyBorder="1" applyAlignment="1">
      <alignment horizontal="center" wrapText="1"/>
    </xf>
    <xf numFmtId="0" fontId="0" fillId="5" borderId="57" xfId="0" applyFont="1" applyFill="1" applyBorder="1" applyAlignment="1">
      <alignment horizontal="right" vertical="center" wrapText="1"/>
    </xf>
    <xf numFmtId="0" fontId="0" fillId="5" borderId="56" xfId="0" applyFont="1" applyFill="1" applyBorder="1" applyAlignment="1">
      <alignment horizontal="right" vertical="center" wrapText="1"/>
    </xf>
    <xf numFmtId="0" fontId="0" fillId="5" borderId="102" xfId="0" applyFont="1" applyFill="1" applyBorder="1" applyAlignment="1">
      <alignment horizontal="right" vertical="center" wrapText="1"/>
    </xf>
    <xf numFmtId="0" fontId="0" fillId="5" borderId="111" xfId="0" applyFont="1" applyFill="1" applyBorder="1" applyAlignment="1">
      <alignment horizontal="right" vertical="center" wrapText="1"/>
    </xf>
    <xf numFmtId="9" fontId="5" fillId="3" borderId="58" xfId="1" applyFont="1" applyFill="1" applyBorder="1" applyAlignment="1" applyProtection="1">
      <alignment horizontal="center" vertical="center"/>
      <protection locked="0"/>
    </xf>
    <xf numFmtId="9" fontId="5" fillId="3" borderId="103" xfId="1" applyFont="1" applyFill="1" applyBorder="1" applyAlignment="1" applyProtection="1">
      <alignment horizontal="center" vertical="center"/>
      <protection locked="0"/>
    </xf>
    <xf numFmtId="0" fontId="22" fillId="5" borderId="115" xfId="0" applyFont="1" applyFill="1" applyBorder="1" applyAlignment="1">
      <alignment horizontal="center" wrapText="1"/>
    </xf>
    <xf numFmtId="0" fontId="4" fillId="5" borderId="57" xfId="0" applyFont="1" applyFill="1" applyBorder="1" applyAlignment="1">
      <alignment horizontal="left" wrapText="1"/>
    </xf>
    <xf numFmtId="0" fontId="4" fillId="5" borderId="56" xfId="0" applyFont="1" applyFill="1" applyBorder="1" applyAlignment="1">
      <alignment horizontal="left" wrapText="1"/>
    </xf>
    <xf numFmtId="0" fontId="4" fillId="5" borderId="58" xfId="0" applyFont="1" applyFill="1" applyBorder="1" applyAlignment="1">
      <alignment horizontal="left" wrapText="1"/>
    </xf>
    <xf numFmtId="0" fontId="4" fillId="5" borderId="59" xfId="0" applyFont="1" applyFill="1" applyBorder="1" applyAlignment="1">
      <alignment horizontal="left" wrapText="1"/>
    </xf>
    <xf numFmtId="0" fontId="4" fillId="5" borderId="0" xfId="0" applyFont="1" applyFill="1" applyBorder="1" applyAlignment="1">
      <alignment horizontal="left" wrapText="1"/>
    </xf>
    <xf numFmtId="0" fontId="4" fillId="5" borderId="60" xfId="0" applyFont="1" applyFill="1" applyBorder="1" applyAlignment="1">
      <alignment horizontal="left" wrapText="1"/>
    </xf>
    <xf numFmtId="0" fontId="8" fillId="0" borderId="55" xfId="0" quotePrefix="1" applyFont="1" applyBorder="1" applyAlignment="1">
      <alignment horizontal="center" vertical="center"/>
    </xf>
    <xf numFmtId="0" fontId="17" fillId="5" borderId="66" xfId="0" applyFont="1" applyFill="1" applyBorder="1" applyAlignment="1">
      <alignment horizontal="left" vertical="top" wrapText="1"/>
    </xf>
    <xf numFmtId="0" fontId="17" fillId="5" borderId="67" xfId="0" applyFont="1" applyFill="1" applyBorder="1" applyAlignment="1">
      <alignment horizontal="left" vertical="top" wrapText="1"/>
    </xf>
    <xf numFmtId="0" fontId="17" fillId="5" borderId="104" xfId="0" applyFont="1" applyFill="1" applyBorder="1" applyAlignment="1">
      <alignment horizontal="left" vertical="top" wrapText="1"/>
    </xf>
    <xf numFmtId="0" fontId="10" fillId="0" borderId="65" xfId="0" applyFont="1" applyBorder="1" applyAlignment="1">
      <alignment horizontal="center" vertical="center"/>
    </xf>
    <xf numFmtId="0" fontId="10" fillId="0" borderId="114" xfId="0" applyFont="1" applyBorder="1" applyAlignment="1">
      <alignment horizontal="center" vertical="center"/>
    </xf>
    <xf numFmtId="0" fontId="10" fillId="0" borderId="90" xfId="0" applyFont="1" applyBorder="1" applyAlignment="1">
      <alignment horizontal="center" vertical="center"/>
    </xf>
    <xf numFmtId="0" fontId="8" fillId="0" borderId="113" xfId="0" quotePrefix="1" applyFont="1" applyBorder="1" applyAlignment="1">
      <alignment horizontal="center" vertical="center"/>
    </xf>
    <xf numFmtId="0" fontId="8" fillId="0" borderId="68" xfId="0" quotePrefix="1" applyFont="1" applyBorder="1" applyAlignment="1">
      <alignment horizontal="center" vertical="center"/>
    </xf>
    <xf numFmtId="0" fontId="8" fillId="0" borderId="88" xfId="0" quotePrefix="1" applyFont="1" applyBorder="1" applyAlignment="1">
      <alignment horizontal="center" vertical="center"/>
    </xf>
    <xf numFmtId="0" fontId="0" fillId="5" borderId="70" xfId="0" applyFill="1" applyBorder="1" applyAlignment="1">
      <alignment horizontal="left" vertical="top" wrapText="1"/>
    </xf>
    <xf numFmtId="0" fontId="0" fillId="5" borderId="66" xfId="0" applyFill="1" applyBorder="1" applyAlignment="1">
      <alignment horizontal="left" vertical="top" wrapText="1"/>
    </xf>
    <xf numFmtId="0" fontId="10" fillId="0" borderId="54" xfId="0" applyFont="1" applyBorder="1" applyAlignment="1">
      <alignment horizontal="center" vertical="center"/>
    </xf>
    <xf numFmtId="0" fontId="0" fillId="5" borderId="67" xfId="0" applyFill="1" applyBorder="1" applyAlignment="1">
      <alignment horizontal="left" vertical="top" wrapText="1"/>
    </xf>
    <xf numFmtId="0" fontId="0" fillId="5" borderId="69" xfId="0" applyFill="1" applyBorder="1" applyAlignment="1">
      <alignment horizontal="left" vertical="top" wrapText="1"/>
    </xf>
    <xf numFmtId="10" fontId="11" fillId="5" borderId="8" xfId="1" applyNumberFormat="1" applyFont="1" applyFill="1" applyBorder="1" applyAlignment="1">
      <alignment horizontal="center" vertical="center" wrapText="1"/>
    </xf>
    <xf numFmtId="10" fontId="3" fillId="5" borderId="17" xfId="1" applyNumberFormat="1" applyFont="1" applyFill="1" applyBorder="1" applyAlignment="1">
      <alignment horizontal="center" vertical="center" wrapText="1"/>
    </xf>
    <xf numFmtId="10" fontId="3" fillId="5" borderId="29" xfId="1" applyNumberFormat="1" applyFont="1" applyFill="1" applyBorder="1" applyAlignment="1">
      <alignment horizontal="center" vertical="center" wrapText="1"/>
    </xf>
    <xf numFmtId="10" fontId="3" fillId="5" borderId="8" xfId="1" applyNumberFormat="1" applyFont="1" applyFill="1" applyBorder="1" applyAlignment="1">
      <alignment horizontal="center" vertical="center" wrapText="1"/>
    </xf>
    <xf numFmtId="0" fontId="0" fillId="5" borderId="87" xfId="0" applyFill="1" applyBorder="1" applyAlignment="1">
      <alignment horizontal="center" vertical="center" wrapText="1"/>
    </xf>
    <xf numFmtId="0" fontId="0" fillId="5" borderId="68" xfId="0" applyFill="1" applyBorder="1" applyAlignment="1">
      <alignment horizontal="center" vertical="center" wrapText="1"/>
    </xf>
    <xf numFmtId="0" fontId="0" fillId="5" borderId="88" xfId="0" applyFill="1" applyBorder="1" applyAlignment="1">
      <alignment horizontal="center" vertical="center" wrapText="1"/>
    </xf>
    <xf numFmtId="0" fontId="0" fillId="5" borderId="89" xfId="0" applyFill="1" applyBorder="1" applyAlignment="1">
      <alignment horizontal="center" vertical="center" wrapText="1"/>
    </xf>
    <xf numFmtId="10" fontId="0" fillId="5" borderId="10" xfId="1" applyNumberFormat="1" applyFont="1" applyFill="1" applyBorder="1" applyAlignment="1">
      <alignment horizontal="center" vertical="center" wrapText="1"/>
    </xf>
    <xf numFmtId="10" fontId="0" fillId="5" borderId="12" xfId="1" applyNumberFormat="1" applyFont="1" applyFill="1" applyBorder="1" applyAlignment="1">
      <alignment horizontal="center" vertical="center" wrapText="1"/>
    </xf>
    <xf numFmtId="10" fontId="15" fillId="5" borderId="92" xfId="1" applyNumberFormat="1" applyFont="1" applyFill="1" applyBorder="1" applyAlignment="1">
      <alignment horizontal="center" vertical="center" wrapText="1"/>
    </xf>
    <xf numFmtId="10" fontId="15" fillId="5" borderId="93" xfId="1" applyNumberFormat="1" applyFont="1" applyFill="1" applyBorder="1" applyAlignment="1">
      <alignment horizontal="center" vertical="center" wrapText="1"/>
    </xf>
    <xf numFmtId="0" fontId="17" fillId="0" borderId="30" xfId="0" applyFont="1" applyFill="1" applyBorder="1" applyAlignment="1">
      <alignment horizontal="left" vertical="top" wrapText="1"/>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8" fillId="0" borderId="58" xfId="0" quotePrefix="1" applyFont="1" applyBorder="1" applyAlignment="1">
      <alignment horizontal="center" vertical="center"/>
    </xf>
    <xf numFmtId="0" fontId="8" fillId="0" borderId="60" xfId="0" quotePrefix="1" applyFont="1" applyBorder="1" applyAlignment="1">
      <alignment horizontal="center" vertical="center"/>
    </xf>
    <xf numFmtId="0" fontId="8" fillId="0" borderId="62" xfId="0" quotePrefix="1" applyFont="1" applyBorder="1" applyAlignment="1">
      <alignment horizontal="center" vertical="center"/>
    </xf>
    <xf numFmtId="0" fontId="0" fillId="5" borderId="63" xfId="0" quotePrefix="1" applyFill="1" applyBorder="1" applyAlignment="1">
      <alignment horizontal="left" vertical="top" wrapText="1"/>
    </xf>
    <xf numFmtId="0" fontId="0" fillId="5" borderId="56" xfId="0" quotePrefix="1" applyFill="1" applyBorder="1" applyAlignment="1">
      <alignment horizontal="left" vertical="top" wrapText="1"/>
    </xf>
    <xf numFmtId="0" fontId="0" fillId="5" borderId="64" xfId="0" quotePrefix="1" applyFill="1" applyBorder="1" applyAlignment="1">
      <alignment horizontal="left" vertical="top" wrapText="1"/>
    </xf>
    <xf numFmtId="0" fontId="0" fillId="5" borderId="48" xfId="0" quotePrefix="1" applyFill="1" applyBorder="1" applyAlignment="1">
      <alignment horizontal="left" vertical="top" wrapText="1"/>
    </xf>
    <xf numFmtId="0" fontId="0" fillId="5" borderId="0" xfId="0" quotePrefix="1" applyFill="1" applyBorder="1" applyAlignment="1">
      <alignment horizontal="left" vertical="top" wrapText="1"/>
    </xf>
    <xf numFmtId="0" fontId="0" fillId="5" borderId="49" xfId="0" quotePrefix="1" applyFill="1" applyBorder="1" applyAlignment="1">
      <alignment horizontal="left" vertical="top" wrapText="1"/>
    </xf>
    <xf numFmtId="0" fontId="0" fillId="5" borderId="52" xfId="0" quotePrefix="1" applyFill="1" applyBorder="1" applyAlignment="1">
      <alignment horizontal="left" vertical="top" wrapText="1"/>
    </xf>
    <xf numFmtId="0" fontId="0" fillId="5" borderId="50" xfId="0" quotePrefix="1" applyFill="1" applyBorder="1" applyAlignment="1">
      <alignment horizontal="left" vertical="top" wrapText="1"/>
    </xf>
    <xf numFmtId="0" fontId="0" fillId="5" borderId="51" xfId="0" quotePrefix="1" applyFill="1" applyBorder="1" applyAlignment="1">
      <alignment horizontal="left" vertical="top" wrapText="1"/>
    </xf>
    <xf numFmtId="0" fontId="0" fillId="5" borderId="30" xfId="0" applyFill="1" applyBorder="1" applyAlignment="1">
      <alignment horizontal="left" vertical="center" wrapText="1"/>
    </xf>
    <xf numFmtId="0" fontId="0" fillId="5" borderId="50" xfId="0" applyFill="1" applyBorder="1" applyAlignment="1">
      <alignment horizontal="left" vertical="center" wrapText="1"/>
    </xf>
    <xf numFmtId="0" fontId="17" fillId="5" borderId="30" xfId="0" applyFont="1" applyFill="1" applyBorder="1" applyAlignment="1">
      <alignment horizontal="left" vertical="center" wrapText="1"/>
    </xf>
    <xf numFmtId="0" fontId="4" fillId="5" borderId="0" xfId="0" applyFont="1" applyFill="1" applyAlignment="1">
      <alignment horizontal="right" vertical="center"/>
    </xf>
    <xf numFmtId="0" fontId="4" fillId="5" borderId="59" xfId="0" applyFont="1" applyFill="1" applyBorder="1" applyAlignment="1">
      <alignment horizontal="right"/>
    </xf>
    <xf numFmtId="0" fontId="4" fillId="5" borderId="0" xfId="0" applyFont="1" applyFill="1" applyBorder="1" applyAlignment="1">
      <alignment horizontal="right"/>
    </xf>
    <xf numFmtId="0" fontId="2" fillId="4" borderId="99"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0" fillId="5" borderId="101" xfId="0" applyFill="1" applyBorder="1" applyAlignment="1">
      <alignment horizontal="left" vertical="center"/>
    </xf>
    <xf numFmtId="0" fontId="0" fillId="5" borderId="34" xfId="0" applyFill="1" applyBorder="1" applyAlignment="1">
      <alignment horizontal="left" vertical="center"/>
    </xf>
    <xf numFmtId="0" fontId="0" fillId="5" borderId="35" xfId="0" applyFill="1" applyBorder="1" applyAlignment="1">
      <alignment horizontal="left" vertical="center"/>
    </xf>
    <xf numFmtId="0" fontId="14" fillId="5" borderId="99" xfId="0" applyFont="1" applyFill="1" applyBorder="1" applyAlignment="1">
      <alignment horizontal="right" vertical="center"/>
    </xf>
    <xf numFmtId="0" fontId="14" fillId="5" borderId="34" xfId="0" applyFont="1" applyFill="1" applyBorder="1" applyAlignment="1">
      <alignment horizontal="righ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3" fillId="5" borderId="9" xfId="1" applyNumberFormat="1" applyFont="1" applyFill="1" applyBorder="1" applyAlignment="1">
      <alignment horizontal="center" vertical="center" wrapText="1"/>
    </xf>
    <xf numFmtId="0" fontId="3" fillId="5" borderId="10" xfId="1" applyNumberFormat="1" applyFont="1" applyFill="1" applyBorder="1" applyAlignment="1">
      <alignment horizontal="center" vertical="center" wrapText="1"/>
    </xf>
    <xf numFmtId="0" fontId="3" fillId="5" borderId="47" xfId="1" applyNumberFormat="1" applyFont="1" applyFill="1" applyBorder="1" applyAlignment="1">
      <alignment horizontal="center" vertical="center" wrapText="1"/>
    </xf>
    <xf numFmtId="0" fontId="0" fillId="5" borderId="16" xfId="0" applyFill="1" applyBorder="1" applyAlignment="1">
      <alignment horizontal="center"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3" fillId="5" borderId="85" xfId="0" applyFont="1" applyFill="1" applyBorder="1" applyAlignment="1">
      <alignment horizontal="center" vertical="center" wrapText="1"/>
    </xf>
    <xf numFmtId="0" fontId="3" fillId="5" borderId="86" xfId="0" applyFont="1" applyFill="1" applyBorder="1" applyAlignment="1">
      <alignment horizontal="center" vertical="center" wrapText="1"/>
    </xf>
    <xf numFmtId="0" fontId="0" fillId="5" borderId="82" xfId="0" applyFill="1" applyBorder="1" applyAlignment="1">
      <alignment horizontal="center" vertical="center" wrapText="1"/>
    </xf>
    <xf numFmtId="0" fontId="0" fillId="5" borderId="83" xfId="0" applyFill="1" applyBorder="1" applyAlignment="1">
      <alignment horizontal="center" vertical="center" wrapText="1"/>
    </xf>
    <xf numFmtId="0" fontId="0" fillId="5" borderId="84" xfId="0" applyFill="1" applyBorder="1" applyAlignment="1">
      <alignment horizontal="center" vertical="center" wrapText="1"/>
    </xf>
    <xf numFmtId="10" fontId="11" fillId="5" borderId="10" xfId="1" applyNumberFormat="1" applyFont="1" applyFill="1" applyBorder="1" applyAlignment="1">
      <alignment horizontal="center" vertical="center" wrapText="1"/>
    </xf>
    <xf numFmtId="10" fontId="3" fillId="5" borderId="46" xfId="1" applyNumberFormat="1" applyFont="1" applyFill="1" applyBorder="1" applyAlignment="1">
      <alignment horizontal="center" vertical="center" wrapText="1"/>
    </xf>
    <xf numFmtId="0" fontId="0" fillId="0" borderId="105" xfId="0" applyBorder="1" applyAlignment="1">
      <alignment horizontal="center" vertical="top" wrapText="1"/>
    </xf>
    <xf numFmtId="0" fontId="0" fillId="0" borderId="109" xfId="0" applyBorder="1" applyAlignment="1">
      <alignment horizontal="center" vertical="top" wrapText="1"/>
    </xf>
    <xf numFmtId="0" fontId="2" fillId="0" borderId="111" xfId="0" applyFont="1" applyBorder="1" applyAlignment="1">
      <alignment horizontal="center" vertical="center"/>
    </xf>
    <xf numFmtId="0" fontId="20" fillId="0" borderId="111" xfId="0" applyFont="1" applyBorder="1" applyAlignment="1">
      <alignment horizontal="center" vertical="center"/>
    </xf>
    <xf numFmtId="0" fontId="2" fillId="0" borderId="106" xfId="0" applyFont="1" applyBorder="1" applyAlignment="1">
      <alignment horizontal="center"/>
    </xf>
    <xf numFmtId="0" fontId="2" fillId="0" borderId="107" xfId="0" applyFont="1" applyBorder="1" applyAlignment="1">
      <alignment horizontal="center"/>
    </xf>
    <xf numFmtId="0" fontId="2" fillId="0" borderId="108" xfId="0" applyFont="1" applyBorder="1" applyAlignment="1">
      <alignment horizontal="center"/>
    </xf>
    <xf numFmtId="0" fontId="0" fillId="0" borderId="105" xfId="0" applyBorder="1" applyAlignment="1">
      <alignment horizontal="center"/>
    </xf>
  </cellXfs>
  <cellStyles count="2">
    <cellStyle name="Normal" xfId="0" builtinId="0"/>
    <cellStyle name="Percent" xfId="1" builtinId="5"/>
  </cellStyles>
  <dxfs count="60">
    <dxf>
      <font>
        <u/>
        <color rgb="FFFF0000"/>
      </font>
    </dxf>
    <dxf>
      <font>
        <u/>
        <color rgb="FFFF0000"/>
      </font>
    </dxf>
    <dxf>
      <font>
        <b/>
        <i val="0"/>
        <color rgb="FFC00000"/>
      </font>
      <fill>
        <patternFill>
          <bgColor rgb="FFFFE6FF"/>
        </patternFill>
      </fill>
    </dxf>
    <dxf>
      <font>
        <b/>
        <i val="0"/>
        <color rgb="FFC00000"/>
      </font>
      <fill>
        <patternFill>
          <bgColor rgb="FFFFE6FF"/>
        </patternFill>
      </fill>
    </dxf>
    <dxf>
      <border>
        <bottom style="hair">
          <color auto="1"/>
        </bottom>
        <vertical/>
        <horizontal/>
      </border>
    </dxf>
    <dxf>
      <border>
        <bottom style="dashed">
          <color auto="1"/>
        </bottom>
        <vertical/>
        <horizontal/>
      </border>
    </dxf>
    <dxf>
      <font>
        <b/>
        <i val="0"/>
        <color theme="9" tint="-0.499984740745262"/>
      </font>
      <fill>
        <patternFill>
          <bgColor rgb="FFCCFFCC"/>
        </patternFill>
      </fill>
    </dxf>
    <dxf>
      <font>
        <b/>
        <i val="0"/>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dxf>
    <dxf>
      <font>
        <b/>
        <i val="0"/>
        <color theme="9" tint="-0.499984740745262"/>
      </font>
      <fill>
        <patternFill>
          <bgColor rgb="FFCCFFCC"/>
        </patternFill>
      </fill>
    </dxf>
    <dxf>
      <font>
        <b/>
        <i val="0"/>
        <color rgb="FFC00000"/>
      </font>
      <fill>
        <patternFill>
          <bgColor rgb="FFFFE6FF"/>
        </patternFill>
      </fill>
    </dxf>
    <dxf>
      <fill>
        <patternFill patternType="darkUp">
          <fgColor rgb="FFC00000"/>
        </patternFill>
      </fill>
    </dxf>
    <dxf>
      <fill>
        <patternFill patternType="lightUp">
          <fgColor theme="0" tint="-0.24994659260841701"/>
        </patternFill>
      </fill>
    </dxf>
    <dxf>
      <font>
        <color rgb="FFC00000"/>
      </font>
    </dxf>
    <dxf>
      <font>
        <color theme="9" tint="-0.24994659260841701"/>
      </font>
    </dxf>
    <dxf>
      <font>
        <b/>
        <i val="0"/>
        <color theme="9" tint="-0.499984740745262"/>
      </font>
      <fill>
        <patternFill>
          <bgColor theme="0" tint="-4.9989318521683403E-2"/>
        </patternFill>
      </fill>
    </dxf>
    <dxf>
      <fill>
        <patternFill patternType="lightUp">
          <fgColor theme="0" tint="-0.24994659260841701"/>
        </patternFill>
      </fill>
    </dxf>
    <dxf>
      <font>
        <b/>
        <i val="0"/>
        <color rgb="FFC00000"/>
      </font>
      <fill>
        <patternFill>
          <bgColor rgb="FFFFE6FF"/>
        </patternFill>
      </fill>
    </dxf>
    <dxf>
      <border>
        <bottom style="hair">
          <color auto="1"/>
        </bottom>
        <vertical/>
        <horizontal/>
      </border>
    </dxf>
    <dxf>
      <border>
        <bottom style="dashed">
          <color auto="1"/>
        </bottom>
        <vertical/>
        <horizontal/>
      </border>
    </dxf>
    <dxf>
      <font>
        <color theme="9" tint="-0.499984740745262"/>
      </font>
      <fill>
        <patternFill>
          <bgColor rgb="FFCCFFCC"/>
        </patternFill>
      </fill>
    </dxf>
    <dxf>
      <font>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b/>
        <i val="0"/>
        <color theme="9" tint="-0.499984740745262"/>
      </font>
      <fill>
        <patternFill>
          <bgColor rgb="FFCCFFCC"/>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theme="9" tint="-0.499984740745262"/>
      </font>
      <fill>
        <patternFill>
          <bgColor rgb="FFCCFFCC"/>
        </patternFill>
      </fill>
    </dxf>
    <dxf>
      <font>
        <b/>
        <i val="0"/>
        <color rgb="FFC00000"/>
      </font>
      <fill>
        <patternFill>
          <bgColor rgb="FFFFE6FF"/>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patternType="none">
          <bgColor auto="1"/>
        </patternFill>
      </fill>
    </dxf>
    <dxf>
      <font>
        <b/>
        <i val="0"/>
        <color theme="9" tint="-0.499984740745262"/>
      </font>
      <fill>
        <patternFill patternType="none">
          <bgColor auto="1"/>
        </patternFill>
      </fill>
    </dxf>
    <dxf>
      <font>
        <color rgb="FFC00000"/>
      </font>
    </dxf>
    <dxf>
      <font>
        <color theme="9" tint="-0.24994659260841701"/>
      </font>
      <fill>
        <patternFill patternType="none">
          <bgColor auto="1"/>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color rgb="FFC00000"/>
      </font>
      <fill>
        <patternFill>
          <bgColor rgb="FFFFE6FF"/>
        </patternFill>
      </fill>
    </dxf>
  </dxfs>
  <tableStyles count="0" defaultTableStyle="TableStyleMedium2" defaultPivotStyle="PivotStyleLight16"/>
  <colors>
    <mruColors>
      <color rgb="FFFFE6FF"/>
      <color rgb="FF8637FB"/>
      <color rgb="FFFFFF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9013-90AF-4C30-9B4C-7695ABFBC817}">
  <sheetPr>
    <pageSetUpPr fitToPage="1"/>
  </sheetPr>
  <dimension ref="A1:AG169"/>
  <sheetViews>
    <sheetView tabSelected="1" topLeftCell="B1" zoomScaleNormal="100" workbookViewId="0">
      <selection activeCell="A6" sqref="A6:W6"/>
    </sheetView>
  </sheetViews>
  <sheetFormatPr defaultRowHeight="14.5" x14ac:dyDescent="0.35"/>
  <cols>
    <col min="1" max="1" width="12.6328125" bestFit="1" customWidth="1"/>
    <col min="2" max="4" width="11.6328125" customWidth="1"/>
    <col min="5" max="5" width="12.6328125" customWidth="1"/>
    <col min="6" max="6" width="15.54296875" customWidth="1"/>
    <col min="7" max="7" width="16" customWidth="1"/>
    <col min="8" max="12" width="11.6328125" customWidth="1"/>
    <col min="13" max="13" width="14.54296875" customWidth="1"/>
    <col min="14" max="14" width="3.36328125" customWidth="1"/>
    <col min="15" max="22" width="11.6328125" customWidth="1"/>
    <col min="23" max="23" width="12.6328125" bestFit="1" customWidth="1"/>
    <col min="24" max="33" width="9.08984375" style="31"/>
  </cols>
  <sheetData>
    <row r="1" spans="1:28" ht="21" x14ac:dyDescent="0.5">
      <c r="A1" s="30" t="s">
        <v>145</v>
      </c>
      <c r="B1" s="31"/>
      <c r="C1" s="31"/>
      <c r="D1" s="31"/>
      <c r="E1" s="31"/>
      <c r="F1" s="31"/>
      <c r="G1" s="31"/>
      <c r="H1" s="31"/>
      <c r="I1" s="31"/>
      <c r="J1" s="31"/>
      <c r="K1" s="31"/>
      <c r="L1" s="31"/>
      <c r="M1" s="31"/>
      <c r="N1" s="31"/>
      <c r="O1" s="31"/>
      <c r="P1" s="31"/>
      <c r="Q1" s="31"/>
      <c r="R1" s="31"/>
      <c r="S1" s="31"/>
      <c r="T1" s="31"/>
      <c r="U1" s="31"/>
      <c r="V1" s="31"/>
      <c r="W1" s="31"/>
    </row>
    <row r="2" spans="1:28" ht="10.5" customHeight="1" x14ac:dyDescent="0.35">
      <c r="A2" s="31"/>
      <c r="B2" s="31"/>
      <c r="C2" s="31"/>
      <c r="D2" s="31"/>
      <c r="E2" s="31"/>
      <c r="F2" s="31"/>
      <c r="G2" s="31"/>
      <c r="H2" s="31"/>
      <c r="I2" s="31"/>
      <c r="J2" s="31"/>
      <c r="K2" s="31"/>
      <c r="L2" s="31"/>
      <c r="M2" s="31"/>
      <c r="N2" s="31"/>
      <c r="O2" s="31"/>
      <c r="P2" s="31"/>
      <c r="Q2" s="31"/>
      <c r="R2" s="31"/>
      <c r="S2" s="31"/>
      <c r="T2" s="31"/>
      <c r="U2" s="31"/>
      <c r="V2" s="31"/>
      <c r="W2" s="31"/>
    </row>
    <row r="3" spans="1:28" ht="24.9" customHeight="1" x14ac:dyDescent="0.35">
      <c r="A3" s="236" t="s">
        <v>105</v>
      </c>
      <c r="B3" s="236"/>
      <c r="C3" s="236"/>
      <c r="D3" s="236"/>
      <c r="E3" s="236"/>
      <c r="F3" s="236"/>
      <c r="G3" s="236"/>
      <c r="H3" s="236"/>
      <c r="I3" s="236"/>
      <c r="J3" s="236"/>
      <c r="K3" s="236"/>
      <c r="L3" s="236"/>
      <c r="M3" s="236"/>
      <c r="N3" s="236"/>
      <c r="O3" s="236"/>
      <c r="P3" s="236"/>
      <c r="Q3" s="236"/>
      <c r="R3" s="236"/>
      <c r="S3" s="236"/>
      <c r="T3" s="236"/>
      <c r="U3" s="236"/>
      <c r="V3" s="236"/>
      <c r="W3" s="236"/>
    </row>
    <row r="4" spans="1:28" ht="24.9" customHeight="1" x14ac:dyDescent="0.35">
      <c r="A4" s="235" t="s">
        <v>29</v>
      </c>
      <c r="B4" s="235"/>
      <c r="C4" s="235"/>
      <c r="D4" s="235"/>
      <c r="E4" s="235"/>
      <c r="F4" s="235"/>
      <c r="G4" s="235"/>
      <c r="H4" s="235"/>
      <c r="I4" s="235"/>
      <c r="J4" s="235"/>
      <c r="K4" s="235"/>
      <c r="L4" s="235"/>
      <c r="M4" s="235"/>
      <c r="N4" s="235"/>
      <c r="O4" s="235"/>
      <c r="P4" s="235"/>
      <c r="Q4" s="235"/>
      <c r="R4" s="235"/>
      <c r="S4" s="235"/>
      <c r="T4" s="235"/>
      <c r="U4" s="235"/>
      <c r="V4" s="235"/>
      <c r="W4" s="235"/>
    </row>
    <row r="5" spans="1:28" ht="24.9" customHeight="1" x14ac:dyDescent="0.35">
      <c r="A5" s="235" t="s">
        <v>35</v>
      </c>
      <c r="B5" s="235"/>
      <c r="C5" s="235"/>
      <c r="D5" s="235"/>
      <c r="E5" s="235"/>
      <c r="F5" s="235"/>
      <c r="G5" s="235"/>
      <c r="H5" s="235"/>
      <c r="I5" s="235"/>
      <c r="J5" s="235"/>
      <c r="K5" s="235"/>
      <c r="L5" s="235"/>
      <c r="M5" s="235"/>
      <c r="N5" s="235"/>
      <c r="O5" s="235"/>
      <c r="P5" s="235"/>
      <c r="Q5" s="235"/>
      <c r="R5" s="235"/>
      <c r="S5" s="235"/>
      <c r="T5" s="235"/>
      <c r="U5" s="235"/>
      <c r="V5" s="235"/>
      <c r="W5" s="235"/>
    </row>
    <row r="6" spans="1:28" ht="54.9" customHeight="1" x14ac:dyDescent="0.35">
      <c r="A6" s="235" t="s">
        <v>30</v>
      </c>
      <c r="B6" s="235"/>
      <c r="C6" s="235"/>
      <c r="D6" s="235"/>
      <c r="E6" s="235"/>
      <c r="F6" s="235"/>
      <c r="G6" s="235"/>
      <c r="H6" s="235"/>
      <c r="I6" s="235"/>
      <c r="J6" s="235"/>
      <c r="K6" s="235"/>
      <c r="L6" s="235"/>
      <c r="M6" s="235"/>
      <c r="N6" s="235"/>
      <c r="O6" s="235"/>
      <c r="P6" s="235"/>
      <c r="Q6" s="235"/>
      <c r="R6" s="235"/>
      <c r="S6" s="235"/>
      <c r="T6" s="235"/>
      <c r="U6" s="235"/>
      <c r="V6" s="235"/>
      <c r="W6" s="235"/>
    </row>
    <row r="7" spans="1:28" ht="54.9" customHeight="1" x14ac:dyDescent="0.35">
      <c r="A7" s="235" t="s">
        <v>140</v>
      </c>
      <c r="B7" s="235"/>
      <c r="C7" s="235"/>
      <c r="D7" s="235"/>
      <c r="E7" s="235"/>
      <c r="F7" s="235"/>
      <c r="G7" s="235"/>
      <c r="H7" s="235"/>
      <c r="I7" s="235"/>
      <c r="J7" s="235"/>
      <c r="K7" s="235"/>
      <c r="L7" s="235"/>
      <c r="M7" s="235"/>
      <c r="N7" s="235"/>
      <c r="O7" s="235"/>
      <c r="P7" s="235"/>
      <c r="Q7" s="235"/>
      <c r="R7" s="235"/>
      <c r="S7" s="235"/>
      <c r="T7" s="235"/>
      <c r="U7" s="235"/>
      <c r="V7" s="235"/>
      <c r="W7" s="235"/>
    </row>
    <row r="8" spans="1:28" ht="24.9" customHeight="1" x14ac:dyDescent="0.35">
      <c r="A8" s="237" t="s">
        <v>109</v>
      </c>
      <c r="B8" s="237"/>
      <c r="C8" s="237"/>
      <c r="D8" s="237"/>
      <c r="E8" s="237"/>
      <c r="F8" s="237"/>
      <c r="G8" s="237"/>
      <c r="H8" s="237"/>
      <c r="I8" s="237"/>
      <c r="J8" s="237"/>
      <c r="K8" s="237"/>
      <c r="L8" s="237"/>
      <c r="M8" s="237"/>
      <c r="N8" s="237"/>
      <c r="O8" s="237"/>
      <c r="P8" s="237"/>
      <c r="Q8" s="237"/>
      <c r="R8" s="237"/>
      <c r="S8" s="237"/>
      <c r="T8" s="237"/>
      <c r="U8" s="237"/>
      <c r="V8" s="237"/>
      <c r="W8" s="237"/>
    </row>
    <row r="9" spans="1:28" ht="24.9" customHeight="1" x14ac:dyDescent="0.35">
      <c r="A9" s="235" t="s">
        <v>31</v>
      </c>
      <c r="B9" s="235"/>
      <c r="C9" s="235"/>
      <c r="D9" s="235"/>
      <c r="E9" s="235"/>
      <c r="F9" s="235"/>
      <c r="G9" s="235"/>
      <c r="H9" s="235"/>
      <c r="I9" s="235"/>
      <c r="J9" s="235"/>
      <c r="K9" s="235"/>
      <c r="L9" s="235"/>
      <c r="M9" s="235"/>
      <c r="N9" s="235"/>
      <c r="O9" s="235"/>
      <c r="P9" s="235"/>
      <c r="Q9" s="235"/>
      <c r="R9" s="235"/>
      <c r="S9" s="235"/>
      <c r="T9" s="235"/>
      <c r="U9" s="235"/>
      <c r="V9" s="235"/>
      <c r="W9" s="235"/>
    </row>
    <row r="10" spans="1:28" ht="9.75" customHeight="1" thickBot="1" x14ac:dyDescent="0.4">
      <c r="A10" s="31"/>
      <c r="B10" s="31"/>
      <c r="C10" s="31"/>
      <c r="D10" s="31"/>
      <c r="E10" s="31"/>
      <c r="F10" s="31"/>
      <c r="G10" s="31"/>
      <c r="H10" s="31"/>
      <c r="I10" s="31"/>
      <c r="J10" s="31"/>
      <c r="K10" s="31"/>
      <c r="L10" s="31"/>
      <c r="M10" s="31"/>
      <c r="N10" s="31"/>
      <c r="O10" s="31"/>
      <c r="P10" s="31"/>
      <c r="Q10" s="31"/>
      <c r="R10" s="31"/>
      <c r="S10" s="31"/>
      <c r="T10" s="31"/>
      <c r="U10" s="31"/>
      <c r="V10" s="31"/>
      <c r="W10" s="31"/>
    </row>
    <row r="11" spans="1:28" ht="21.9" customHeight="1" thickBot="1" x14ac:dyDescent="0.4">
      <c r="A11" s="31"/>
      <c r="B11" s="247" t="s">
        <v>106</v>
      </c>
      <c r="C11" s="248"/>
      <c r="D11" s="248"/>
      <c r="E11" s="248"/>
      <c r="F11" s="248"/>
      <c r="G11" s="94">
        <v>0</v>
      </c>
      <c r="H11" s="247" t="s">
        <v>36</v>
      </c>
      <c r="I11" s="248"/>
      <c r="J11" s="248"/>
      <c r="K11" s="248"/>
      <c r="L11" s="248"/>
      <c r="M11" s="118" t="s">
        <v>107</v>
      </c>
      <c r="N11" s="31"/>
      <c r="O11" s="31"/>
      <c r="P11" s="31"/>
      <c r="Q11" s="31"/>
      <c r="R11" s="31"/>
      <c r="S11" s="31"/>
      <c r="T11" s="31"/>
      <c r="U11" s="31"/>
      <c r="V11" s="31"/>
      <c r="W11" s="31"/>
    </row>
    <row r="12" spans="1:28" ht="21.9" customHeight="1" thickBot="1" x14ac:dyDescent="0.4">
      <c r="A12" s="31"/>
      <c r="B12" s="31"/>
      <c r="C12" s="31"/>
      <c r="D12" s="31"/>
      <c r="E12" s="31"/>
      <c r="F12" s="31"/>
      <c r="G12" s="31"/>
      <c r="H12" s="31"/>
      <c r="I12" s="31"/>
      <c r="J12" s="31"/>
      <c r="K12" s="31"/>
      <c r="L12" s="31"/>
      <c r="M12" s="31"/>
      <c r="N12" s="31"/>
      <c r="O12" s="31"/>
      <c r="P12" s="31"/>
      <c r="Q12" s="31"/>
      <c r="R12" s="31"/>
      <c r="S12" s="31"/>
      <c r="T12" s="31"/>
      <c r="U12" s="31"/>
      <c r="V12" s="31"/>
      <c r="W12" s="31"/>
    </row>
    <row r="13" spans="1:28" ht="21.9" customHeight="1" thickBot="1" x14ac:dyDescent="0.4">
      <c r="A13" s="241" t="s">
        <v>19</v>
      </c>
      <c r="B13" s="242"/>
      <c r="C13" s="242"/>
      <c r="D13" s="242"/>
      <c r="E13" s="242"/>
      <c r="F13" s="242"/>
      <c r="G13" s="242"/>
      <c r="H13" s="242"/>
      <c r="I13" s="242"/>
      <c r="J13" s="242"/>
      <c r="K13" s="242"/>
      <c r="L13" s="243"/>
      <c r="M13" s="31"/>
      <c r="N13" s="31"/>
      <c r="O13" s="241" t="s">
        <v>34</v>
      </c>
      <c r="P13" s="242"/>
      <c r="Q13" s="242"/>
      <c r="R13" s="242"/>
      <c r="S13" s="93" t="s">
        <v>17</v>
      </c>
      <c r="T13" s="104"/>
      <c r="U13" s="93" t="s">
        <v>18</v>
      </c>
      <c r="V13" s="105" t="s">
        <v>16</v>
      </c>
      <c r="W13" s="31"/>
    </row>
    <row r="14" spans="1:28" ht="6" customHeight="1" thickBot="1" x14ac:dyDescent="0.4">
      <c r="A14" s="31"/>
      <c r="B14" s="31"/>
      <c r="C14" s="31"/>
      <c r="D14" s="31"/>
      <c r="E14" s="31"/>
      <c r="F14" s="31"/>
      <c r="G14" s="31"/>
      <c r="H14" s="31"/>
      <c r="I14" s="31"/>
      <c r="J14" s="31"/>
      <c r="K14" s="31"/>
      <c r="L14" s="31"/>
      <c r="M14" s="31"/>
      <c r="N14" s="31"/>
      <c r="O14" s="31"/>
      <c r="P14" s="31"/>
      <c r="Q14" s="31"/>
      <c r="R14" s="31"/>
      <c r="S14" s="31"/>
      <c r="T14" s="31"/>
      <c r="U14" s="31"/>
      <c r="V14" s="31"/>
      <c r="W14" s="31"/>
    </row>
    <row r="15" spans="1:28" ht="45" customHeight="1" x14ac:dyDescent="0.35">
      <c r="A15" s="32" t="s">
        <v>28</v>
      </c>
      <c r="B15" s="35" t="s">
        <v>1</v>
      </c>
      <c r="C15" s="36" t="s">
        <v>12</v>
      </c>
      <c r="D15" s="37" t="s">
        <v>2</v>
      </c>
      <c r="E15" s="255" t="s">
        <v>5</v>
      </c>
      <c r="F15" s="256"/>
      <c r="G15" s="257"/>
      <c r="H15" s="38" t="s">
        <v>13</v>
      </c>
      <c r="I15" s="39" t="s">
        <v>2</v>
      </c>
      <c r="J15" s="35" t="s">
        <v>28</v>
      </c>
      <c r="K15" s="36" t="s">
        <v>4</v>
      </c>
      <c r="L15" s="42" t="s">
        <v>2</v>
      </c>
      <c r="M15" s="40"/>
      <c r="N15" s="40"/>
      <c r="O15" s="41" t="s">
        <v>1</v>
      </c>
      <c r="P15" s="36" t="s">
        <v>14</v>
      </c>
      <c r="Q15" s="42" t="s">
        <v>0</v>
      </c>
      <c r="R15" s="43" t="s">
        <v>14</v>
      </c>
      <c r="S15" s="44" t="s">
        <v>3</v>
      </c>
      <c r="T15" s="36" t="s">
        <v>2</v>
      </c>
      <c r="U15" s="42" t="s">
        <v>4</v>
      </c>
      <c r="V15" s="45" t="s">
        <v>28</v>
      </c>
      <c r="W15" s="31"/>
    </row>
    <row r="16" spans="1:28" ht="21.9" customHeight="1" x14ac:dyDescent="0.35">
      <c r="A16" s="260" t="s">
        <v>26</v>
      </c>
      <c r="B16" s="119">
        <v>0.2</v>
      </c>
      <c r="C16" s="9">
        <v>0</v>
      </c>
      <c r="D16" s="56">
        <f t="shared" ref="D16:D22" si="0">IF($G$11=0,0,C16/$G$11)</f>
        <v>0</v>
      </c>
      <c r="E16" s="208" t="str">
        <f>"Must be "&amp;TEXT($F$29,"0%")&amp;", rounded up"</f>
        <v>Must be 15%, rounded up</v>
      </c>
      <c r="F16" s="208" t="str">
        <f>"Must be "&amp;TEXT($F$30,"0%")&amp;" - "&amp;TEXT($F$31,"0%")&amp;", rounded up"</f>
        <v>Must be 45% - 50%, rounded up</v>
      </c>
      <c r="G16" s="252" t="str">
        <f>"Must total from "&amp;TEXT(ROUNDUP($G$11*$F$30,0),"0")&amp;" to "&amp;TEXT(ROUNDUP($G$11*$F$31,0),"0")&amp;" HC Units"&amp;IF(SUM(C16:C20)&lt;ROUNDUP(G11*45%,0),"; Need to add "&amp;TEXT(ROUNDUP(G11*45%,0)-SUM(C16:C20),"0")&amp;" to "&amp;TEXT(ROUNDUP(G11*50%,0)-SUM(C16:C20),"0")&amp;" units","")&amp;IF(SUM(C16:C20)&gt;ROUNDUP(G11*50%,0),"; Need to remove "&amp;TEXT(SUM(C16:C20)-ROUNDUP(G11*50%,0),"0")&amp;" to "&amp;TEXT(SUM(C16:C20)-ROUNDUP(G11*45%,0),"0")&amp;" units","")</f>
        <v>Must total from 0 to 0 HC Units</v>
      </c>
      <c r="H16" s="3"/>
      <c r="I16" s="1"/>
      <c r="J16" s="2"/>
      <c r="K16" s="121">
        <f>C16</f>
        <v>0</v>
      </c>
      <c r="L16" s="122">
        <f t="shared" ref="L16:L23" si="1">IF($G$11=0,0,K16/$G$11)</f>
        <v>0</v>
      </c>
      <c r="M16" s="34"/>
      <c r="N16" s="34"/>
      <c r="O16" s="61">
        <v>0.25</v>
      </c>
      <c r="P16" s="14">
        <v>0</v>
      </c>
      <c r="Q16" s="65">
        <f>ROUNDUP(SUM(P$16:P16)*$G$11,0)</f>
        <v>0</v>
      </c>
      <c r="R16" s="6"/>
      <c r="S16" s="7"/>
      <c r="T16" s="70">
        <f>P16</f>
        <v>0</v>
      </c>
      <c r="U16" s="71">
        <f>Q16</f>
        <v>0</v>
      </c>
      <c r="V16" s="211" t="s">
        <v>26</v>
      </c>
      <c r="W16" s="34"/>
      <c r="X16" s="34"/>
      <c r="Y16" s="34"/>
      <c r="Z16" s="34"/>
      <c r="AA16" s="34"/>
      <c r="AB16" s="34"/>
    </row>
    <row r="17" spans="1:28" ht="21.9" customHeight="1" x14ac:dyDescent="0.35">
      <c r="A17" s="261"/>
      <c r="B17" s="120">
        <v>0.3</v>
      </c>
      <c r="C17" s="10">
        <v>0</v>
      </c>
      <c r="D17" s="57">
        <f t="shared" si="0"/>
        <v>0</v>
      </c>
      <c r="E17" s="209"/>
      <c r="F17" s="210"/>
      <c r="G17" s="253"/>
      <c r="H17" s="3"/>
      <c r="I17" s="1"/>
      <c r="J17" s="2"/>
      <c r="K17" s="123">
        <f t="shared" ref="K17:K20" si="2">C17</f>
        <v>0</v>
      </c>
      <c r="L17" s="124">
        <f t="shared" si="1"/>
        <v>0</v>
      </c>
      <c r="M17" s="34"/>
      <c r="N17" s="34"/>
      <c r="O17" s="62">
        <v>0.28000000000000003</v>
      </c>
      <c r="P17" s="15">
        <v>0</v>
      </c>
      <c r="Q17" s="65">
        <f>ROUNDUP(SUM(P$16:P17)*$G$11,0)-SUM(Q$16:Q16)</f>
        <v>0</v>
      </c>
      <c r="R17" s="6"/>
      <c r="S17" s="8"/>
      <c r="T17" s="72">
        <f>P17</f>
        <v>0</v>
      </c>
      <c r="U17" s="65">
        <f>Q17</f>
        <v>0</v>
      </c>
      <c r="V17" s="212"/>
      <c r="W17" s="34"/>
      <c r="X17" s="34"/>
      <c r="Y17" s="34"/>
      <c r="Z17" s="34"/>
      <c r="AA17" s="34"/>
      <c r="AB17" s="34"/>
    </row>
    <row r="18" spans="1:28" ht="21.9" customHeight="1" x14ac:dyDescent="0.35">
      <c r="A18" s="261"/>
      <c r="B18" s="53">
        <v>0.4</v>
      </c>
      <c r="C18" s="11">
        <v>0</v>
      </c>
      <c r="D18" s="46">
        <f t="shared" si="0"/>
        <v>0</v>
      </c>
      <c r="E18" s="210" t="str">
        <f>"(For the above minimum ELI set-aside, the minimum # of units is "&amp;TEXT(ROUNDUP($G$11*$F$29,0),"0")&amp;")"</f>
        <v>(For the above minimum ELI set-aside, the minimum # of units is 0)</v>
      </c>
      <c r="F18" s="210"/>
      <c r="G18" s="253"/>
      <c r="H18" s="3"/>
      <c r="I18" s="1"/>
      <c r="J18" s="2"/>
      <c r="K18" s="123">
        <f t="shared" si="2"/>
        <v>0</v>
      </c>
      <c r="L18" s="124">
        <f t="shared" si="1"/>
        <v>0</v>
      </c>
      <c r="M18" s="34"/>
      <c r="N18" s="34"/>
      <c r="O18" s="62">
        <v>0.3</v>
      </c>
      <c r="P18" s="15">
        <v>0</v>
      </c>
      <c r="Q18" s="65">
        <f>ROUNDUP(SUM(P$16:P18)*$G$11,0)-SUM(Q$16:Q17)</f>
        <v>0</v>
      </c>
      <c r="R18" s="6"/>
      <c r="S18" s="8"/>
      <c r="T18" s="72">
        <f t="shared" ref="T18:T24" si="3">P18</f>
        <v>0</v>
      </c>
      <c r="U18" s="65">
        <f t="shared" ref="U18:U24" si="4">Q18</f>
        <v>0</v>
      </c>
      <c r="V18" s="212"/>
      <c r="W18" s="34"/>
      <c r="X18" s="34"/>
      <c r="Y18" s="34"/>
      <c r="Z18" s="34"/>
      <c r="AA18" s="34"/>
      <c r="AB18" s="34"/>
    </row>
    <row r="19" spans="1:28" ht="21.9" customHeight="1" x14ac:dyDescent="0.35">
      <c r="A19" s="261"/>
      <c r="B19" s="53">
        <v>0.5</v>
      </c>
      <c r="C19" s="12">
        <v>0</v>
      </c>
      <c r="D19" s="58">
        <f t="shared" si="0"/>
        <v>0</v>
      </c>
      <c r="E19" s="210"/>
      <c r="F19" s="210"/>
      <c r="G19" s="253"/>
      <c r="H19" s="3"/>
      <c r="I19" s="1"/>
      <c r="J19" s="2"/>
      <c r="K19" s="123">
        <f t="shared" si="2"/>
        <v>0</v>
      </c>
      <c r="L19" s="124">
        <f t="shared" si="1"/>
        <v>0</v>
      </c>
      <c r="M19" s="34"/>
      <c r="N19" s="34"/>
      <c r="O19" s="62">
        <v>0.33</v>
      </c>
      <c r="P19" s="15">
        <v>0</v>
      </c>
      <c r="Q19" s="65">
        <f>ROUNDUP(SUM(P$16:P19)*$G$11,0)-SUM(Q$16:Q18)</f>
        <v>0</v>
      </c>
      <c r="R19" s="6"/>
      <c r="S19" s="8"/>
      <c r="T19" s="72">
        <f t="shared" si="3"/>
        <v>0</v>
      </c>
      <c r="U19" s="65">
        <f t="shared" si="4"/>
        <v>0</v>
      </c>
      <c r="V19" s="212"/>
      <c r="W19" s="34"/>
      <c r="X19" s="34"/>
      <c r="Y19" s="34"/>
      <c r="Z19" s="34"/>
      <c r="AA19" s="34"/>
      <c r="AB19" s="34"/>
    </row>
    <row r="20" spans="1:28" ht="21.9" customHeight="1" x14ac:dyDescent="0.35">
      <c r="A20" s="262"/>
      <c r="B20" s="53">
        <v>0.6</v>
      </c>
      <c r="C20" s="13">
        <v>0</v>
      </c>
      <c r="D20" s="59">
        <f t="shared" si="0"/>
        <v>0</v>
      </c>
      <c r="E20" s="210"/>
      <c r="F20" s="264"/>
      <c r="G20" s="254"/>
      <c r="H20" s="27"/>
      <c r="I20" s="28"/>
      <c r="J20" s="29"/>
      <c r="K20" s="123">
        <f t="shared" si="2"/>
        <v>0</v>
      </c>
      <c r="L20" s="124">
        <f t="shared" si="1"/>
        <v>0</v>
      </c>
      <c r="M20" s="34"/>
      <c r="N20" s="34"/>
      <c r="O20" s="62">
        <v>0.35</v>
      </c>
      <c r="P20" s="15">
        <v>0</v>
      </c>
      <c r="Q20" s="65">
        <f>ROUNDUP(SUM(P$16:P20)*$G$11,0)-SUM(Q$16:Q19)</f>
        <v>0</v>
      </c>
      <c r="R20" s="6"/>
      <c r="S20" s="8"/>
      <c r="T20" s="72">
        <f t="shared" si="3"/>
        <v>0</v>
      </c>
      <c r="U20" s="65">
        <f t="shared" si="4"/>
        <v>0</v>
      </c>
      <c r="V20" s="212"/>
      <c r="W20" s="34"/>
      <c r="X20" s="34"/>
      <c r="Y20" s="34"/>
      <c r="Z20" s="34"/>
      <c r="AA20" s="34"/>
      <c r="AB20" s="34"/>
    </row>
    <row r="21" spans="1:28" ht="21.9" customHeight="1" x14ac:dyDescent="0.35">
      <c r="A21" s="258" t="s">
        <v>25</v>
      </c>
      <c r="B21" s="53">
        <v>0.7</v>
      </c>
      <c r="C21" s="11">
        <v>0</v>
      </c>
      <c r="D21" s="46">
        <f t="shared" si="0"/>
        <v>0</v>
      </c>
      <c r="E21" s="210"/>
      <c r="F21" s="207" t="str">
        <f>"Must be "&amp;TEXT($F$33,"0%")&amp;" - "&amp;TEXT($F$34,"0%")&amp;", rounded down, combined w/ Non-Joint Workforce Units"</f>
        <v>Must be 50% - 55%, rounded down, combined w/ Non-Joint Workforce Units</v>
      </c>
      <c r="G21" s="263" t="str">
        <f>"Must total from "&amp;TEXT(ROUNDDOWN($G$11*$F$33,0),"0")&amp;" to "&amp;TEXT(ROUNDDOWN($G$11*$F$34,0),"0")&amp;" Joint + Non-Joint Workforce Units"</f>
        <v>Must total from 0 to 0 Joint + Non-Joint Workforce Units</v>
      </c>
      <c r="H21" s="11">
        <v>0</v>
      </c>
      <c r="I21" s="46">
        <f>IF($G$11=0,0,H21/$G$11)</f>
        <v>0</v>
      </c>
      <c r="J21" s="215" t="s">
        <v>136</v>
      </c>
      <c r="K21" s="123">
        <f>C21+H21</f>
        <v>0</v>
      </c>
      <c r="L21" s="124">
        <f t="shared" si="1"/>
        <v>0</v>
      </c>
      <c r="M21" s="34"/>
      <c r="N21" s="34"/>
      <c r="O21" s="62">
        <v>0.4</v>
      </c>
      <c r="P21" s="15">
        <v>0</v>
      </c>
      <c r="Q21" s="65">
        <f>ROUNDUP(SUM(P$16:P21)*$G$11,0)-SUM(Q$16:Q20)</f>
        <v>0</v>
      </c>
      <c r="R21" s="6"/>
      <c r="S21" s="8"/>
      <c r="T21" s="72">
        <f t="shared" si="3"/>
        <v>0</v>
      </c>
      <c r="U21" s="65">
        <f t="shared" si="4"/>
        <v>0</v>
      </c>
      <c r="V21" s="212"/>
      <c r="W21" s="34"/>
      <c r="X21" s="34"/>
      <c r="Y21" s="34"/>
      <c r="Z21" s="34"/>
      <c r="AA21" s="34"/>
      <c r="AB21" s="34"/>
    </row>
    <row r="22" spans="1:28" ht="21.9" customHeight="1" x14ac:dyDescent="0.35">
      <c r="A22" s="259"/>
      <c r="B22" s="54">
        <v>0.8</v>
      </c>
      <c r="C22" s="16">
        <v>0</v>
      </c>
      <c r="D22" s="47">
        <f t="shared" si="0"/>
        <v>0</v>
      </c>
      <c r="E22" s="210"/>
      <c r="F22" s="207"/>
      <c r="G22" s="263"/>
      <c r="H22" s="16">
        <v>0</v>
      </c>
      <c r="I22" s="47">
        <f>IF($G$11=0,0,H22/$G$11)</f>
        <v>0</v>
      </c>
      <c r="J22" s="215"/>
      <c r="K22" s="125">
        <f>C22+H22</f>
        <v>0</v>
      </c>
      <c r="L22" s="126">
        <f t="shared" si="1"/>
        <v>0</v>
      </c>
      <c r="M22" s="34"/>
      <c r="N22" s="34"/>
      <c r="O22" s="62">
        <v>0.45</v>
      </c>
      <c r="P22" s="15">
        <v>0</v>
      </c>
      <c r="Q22" s="65">
        <f>ROUNDUP(SUM(P$16:P22)*$G$11,0)-SUM(Q$16:Q21)</f>
        <v>0</v>
      </c>
      <c r="R22" s="6"/>
      <c r="S22" s="8"/>
      <c r="T22" s="72">
        <f t="shared" si="3"/>
        <v>0</v>
      </c>
      <c r="U22" s="65">
        <f t="shared" si="4"/>
        <v>0</v>
      </c>
      <c r="V22" s="212"/>
      <c r="W22" s="34"/>
      <c r="X22" s="34"/>
      <c r="Y22" s="34"/>
      <c r="Z22" s="34"/>
      <c r="AA22" s="34"/>
      <c r="AB22" s="34"/>
    </row>
    <row r="23" spans="1:28" ht="21.9" customHeight="1" thickBot="1" x14ac:dyDescent="0.4">
      <c r="A23" s="33" t="s">
        <v>10</v>
      </c>
      <c r="B23" s="55">
        <v>1.2</v>
      </c>
      <c r="C23" s="17"/>
      <c r="D23" s="18"/>
      <c r="E23" s="19"/>
      <c r="F23" s="4"/>
      <c r="G23" s="5"/>
      <c r="H23" s="20">
        <v>0</v>
      </c>
      <c r="I23" s="48">
        <f>IF($G$11=0,0,H23/$G$11)</f>
        <v>0</v>
      </c>
      <c r="J23" s="216"/>
      <c r="K23" s="127">
        <f t="shared" ref="K23" si="5">H23</f>
        <v>0</v>
      </c>
      <c r="L23" s="128">
        <f t="shared" si="1"/>
        <v>0</v>
      </c>
      <c r="M23" s="34"/>
      <c r="N23" s="34"/>
      <c r="O23" s="62">
        <v>0.5</v>
      </c>
      <c r="P23" s="15">
        <v>0</v>
      </c>
      <c r="Q23" s="65">
        <f>ROUNDUP(SUM(P$16:P23)*$G$11,0)-SUM(Q$16:Q22)</f>
        <v>0</v>
      </c>
      <c r="R23" s="6"/>
      <c r="S23" s="8"/>
      <c r="T23" s="72">
        <f t="shared" si="3"/>
        <v>0</v>
      </c>
      <c r="U23" s="65">
        <f t="shared" si="4"/>
        <v>0</v>
      </c>
      <c r="V23" s="212"/>
      <c r="W23" s="34"/>
      <c r="X23" s="34"/>
      <c r="Y23" s="34"/>
      <c r="Z23" s="34"/>
      <c r="AA23" s="34"/>
      <c r="AB23" s="34"/>
    </row>
    <row r="24" spans="1:28" ht="35.15" customHeight="1" thickTop="1" thickBot="1" x14ac:dyDescent="0.4">
      <c r="A24" s="86"/>
      <c r="B24" s="85" t="s">
        <v>15</v>
      </c>
      <c r="C24" s="49">
        <f>SUM(C16:C23)</f>
        <v>0</v>
      </c>
      <c r="D24" s="50">
        <f>SUM(D16:D23)</f>
        <v>0</v>
      </c>
      <c r="E24" s="217" t="str">
        <f>TEXT($F$30+MIN(D21+D22,$F$33),"0%")&amp;" - "&amp;TEXT(MIN(1,$F$31+MIN(IF(D21+D22&gt;0,D21+D22,$F$34),$F$34)),"0%")&amp;", rounded up*"</f>
        <v>45% - 100%, rounded up*</v>
      </c>
      <c r="F24" s="218"/>
      <c r="G24" s="51" t="str">
        <f>"Can total between "&amp;TEXT(ROUNDUP($G$11*$F$30,0)+MIN(C21+C22,G33),"0")&amp;"* and "&amp;TEXT(MIN($G$11,ROUNDUP($G$11*($F$31+$F$34),0)),"0")&amp;" HC Units"</f>
        <v>Can total between 0* and 0 HC Units</v>
      </c>
      <c r="H24" s="87">
        <f>SUM(H16:H23)</f>
        <v>0</v>
      </c>
      <c r="I24" s="88">
        <f>SUM(I16:I23)</f>
        <v>0</v>
      </c>
      <c r="J24" s="89"/>
      <c r="K24" s="129">
        <f>SUM(K16:K23)</f>
        <v>0</v>
      </c>
      <c r="L24" s="130">
        <f>SUM(L16:L23)</f>
        <v>0</v>
      </c>
      <c r="M24" s="34"/>
      <c r="N24" s="34"/>
      <c r="O24" s="62">
        <v>0.6</v>
      </c>
      <c r="P24" s="15">
        <v>0</v>
      </c>
      <c r="Q24" s="65">
        <f>ROUNDUP(SUM(P$16:P24)*$G$11,0)-SUM(Q$16:Q23)</f>
        <v>0</v>
      </c>
      <c r="R24" s="6"/>
      <c r="S24" s="8"/>
      <c r="T24" s="72">
        <f t="shared" si="3"/>
        <v>0</v>
      </c>
      <c r="U24" s="65">
        <f t="shared" si="4"/>
        <v>0</v>
      </c>
      <c r="V24" s="213"/>
      <c r="W24" s="34"/>
      <c r="X24" s="34"/>
      <c r="Y24" s="34"/>
      <c r="Z24" s="34"/>
      <c r="AA24" s="34"/>
      <c r="AB24" s="34"/>
    </row>
    <row r="25" spans="1:28" ht="21.9" customHeight="1" thickBot="1" x14ac:dyDescent="0.4">
      <c r="A25" s="34"/>
      <c r="B25" s="34"/>
      <c r="C25" s="34"/>
      <c r="D25" s="34"/>
      <c r="E25" s="34"/>
      <c r="F25" s="34"/>
      <c r="G25" s="131" t="s">
        <v>108</v>
      </c>
      <c r="H25" s="34"/>
      <c r="I25" s="34"/>
      <c r="J25" s="34"/>
      <c r="K25" s="34"/>
      <c r="L25" s="34"/>
      <c r="M25" s="34"/>
      <c r="N25" s="34"/>
      <c r="O25" s="63">
        <v>0.8</v>
      </c>
      <c r="P25" s="21"/>
      <c r="Q25" s="22"/>
      <c r="R25" s="23">
        <v>0</v>
      </c>
      <c r="S25" s="68">
        <f>ROUNDDOWN(SUM(R$16:R25)*$G$11,0)-SUM(S$16:S24)</f>
        <v>0</v>
      </c>
      <c r="T25" s="73">
        <f>R25</f>
        <v>0</v>
      </c>
      <c r="U25" s="74">
        <f>S25</f>
        <v>0</v>
      </c>
      <c r="V25" s="211" t="s">
        <v>27</v>
      </c>
      <c r="W25" s="34"/>
      <c r="X25" s="34"/>
      <c r="Y25" s="34"/>
      <c r="Z25" s="34"/>
      <c r="AA25" s="34"/>
      <c r="AB25" s="34"/>
    </row>
    <row r="26" spans="1:28" ht="21.9" customHeight="1" thickBot="1" x14ac:dyDescent="0.4">
      <c r="A26" s="34"/>
      <c r="B26" s="34"/>
      <c r="C26" s="52">
        <f>IF(C24=0,0,SUMPRODUCT(B16:B22,C16:C22)/C24)</f>
        <v>0</v>
      </c>
      <c r="D26" s="244" t="s">
        <v>11</v>
      </c>
      <c r="E26" s="245"/>
      <c r="F26" s="245"/>
      <c r="G26" s="246"/>
      <c r="H26" s="31"/>
      <c r="I26" s="31"/>
      <c r="J26" s="31"/>
      <c r="K26" s="31"/>
      <c r="L26" s="31"/>
      <c r="M26" s="31"/>
      <c r="N26" s="31"/>
      <c r="O26" s="64">
        <v>1.2</v>
      </c>
      <c r="P26" s="24"/>
      <c r="Q26" s="25"/>
      <c r="R26" s="26">
        <v>0</v>
      </c>
      <c r="S26" s="69">
        <f>ROUNDDOWN(SUM(R$16:R26)*$G$11,0)-SUM(S$16:S25)</f>
        <v>0</v>
      </c>
      <c r="T26" s="75">
        <f>R26</f>
        <v>0</v>
      </c>
      <c r="U26" s="69">
        <f>S26</f>
        <v>0</v>
      </c>
      <c r="V26" s="214"/>
      <c r="W26" s="76" t="s">
        <v>10</v>
      </c>
      <c r="X26" s="34"/>
      <c r="Y26" s="34"/>
      <c r="Z26" s="34"/>
      <c r="AA26" s="34"/>
      <c r="AB26" s="34"/>
    </row>
    <row r="27" spans="1:28" ht="21.9" customHeight="1" thickTop="1" thickBot="1" x14ac:dyDescent="0.4">
      <c r="A27" s="34"/>
      <c r="B27" s="34"/>
      <c r="C27" s="34"/>
      <c r="D27" s="34"/>
      <c r="E27" s="34"/>
      <c r="F27" s="34"/>
      <c r="G27" s="34"/>
      <c r="H27" s="34"/>
      <c r="I27" s="249" t="s">
        <v>20</v>
      </c>
      <c r="J27" s="250"/>
      <c r="K27" s="250"/>
      <c r="L27" s="250"/>
      <c r="M27" s="251"/>
      <c r="N27" s="34"/>
      <c r="O27" s="90" t="s">
        <v>15</v>
      </c>
      <c r="P27" s="66">
        <f t="shared" ref="P27:U27" si="6">SUM(P16:P26)</f>
        <v>0</v>
      </c>
      <c r="Q27" s="67">
        <f t="shared" si="6"/>
        <v>0</v>
      </c>
      <c r="R27" s="91">
        <f t="shared" si="6"/>
        <v>0</v>
      </c>
      <c r="S27" s="92">
        <f t="shared" si="6"/>
        <v>0</v>
      </c>
      <c r="T27" s="66">
        <f t="shared" si="6"/>
        <v>0</v>
      </c>
      <c r="U27" s="67">
        <f t="shared" si="6"/>
        <v>0</v>
      </c>
      <c r="V27" s="34"/>
      <c r="W27" s="34"/>
      <c r="X27" s="34"/>
      <c r="Y27" s="34"/>
      <c r="Z27" s="34"/>
      <c r="AA27" s="34"/>
      <c r="AB27" s="34"/>
    </row>
    <row r="28" spans="1:28" ht="21.9" customHeight="1" x14ac:dyDescent="0.35">
      <c r="A28" s="34"/>
      <c r="B28" s="238" t="s">
        <v>32</v>
      </c>
      <c r="C28" s="238"/>
      <c r="D28" s="238"/>
      <c r="E28" s="238"/>
      <c r="F28" s="60" t="s">
        <v>9</v>
      </c>
      <c r="G28" s="60" t="s">
        <v>33</v>
      </c>
      <c r="H28" s="220" t="str">
        <f>IF(OR(AND($K$24&gt;0,$K$24=$G$11),AND($U$27&gt;0,$U$27=$G$11)),"🙂",IF(MAX($K$24,$U$27)=0,"","🙁"))</f>
        <v/>
      </c>
      <c r="I28" s="226" t="str">
        <f>"1. Total Units: "&amp;IF($G$11=0,"Please enter the number of total units in cell G11.",IF(MAX(K$24,U$27)=0,"Please enter # of applicable units in columns C and H or % of total units in columns P and R.  The active set-aside chart to be analyzed is currently the "&amp;IF(C24&gt;0,"AIT",IF(AND($T$13=$B$101,$V$13&lt;&gt;$B$101),"20% @ 50% AMI",IF(AND($T$13&lt;&gt;$B$101,$V$13=$B$101),"40% @ 60% AMI","")))&amp;" chart.",IF(K$24&gt;0,"The total units entered into the AIT chart "&amp;IF(K$24=G$11,"matches",IF(K$24&lt;G$11,"is "&amp;TEXT(G$11-K$24,"0")&amp;" unit"&amp;IF(G$11-K$24=1,"","s")&amp;" less than","is "&amp;TEXT(K$24-G$11,"0")&amp;" unit"&amp;IF(K$24-G$11=1,"","s")&amp;" greater than"))&amp;" the total units indicated in cell G11.",IF(U$27&gt;0,"The HC and Workforce set-aside % entered into the "&amp;IF(AND($T$13=$B$101,$V$13&lt;&gt;$B$101),"20% @ 50% AMI",IF(AND($T$13&lt;&gt;$B$101,$V$13=$B$101),"40% @ 60% AMI",""))&amp;" chart "&amp;IF(U$27=G$11,"matches",IF(U$27&lt;G$11,"is "&amp;TEXT(G$11-U$27,"0")&amp;" units less than","is "&amp;TEXT(U$27-G$11,"0")&amp;" units greater than"))&amp;" the total units indicated in cell G11.",""))))</f>
        <v>1. Total Units: Please enter the number of total units in cell G11.</v>
      </c>
      <c r="J28" s="227"/>
      <c r="K28" s="227"/>
      <c r="L28" s="227"/>
      <c r="M28" s="228"/>
      <c r="N28" s="223" t="str">
        <f>IF(OR(AND($K$24&gt;0,$K$24=$G$11),AND($U$27&gt;0,$U$27=$G$11)),"C",IF(MAX($K$24,$U$27)=0,"","D"))</f>
        <v/>
      </c>
      <c r="O28" s="102"/>
      <c r="P28" s="102"/>
      <c r="Q28" s="102"/>
      <c r="R28" s="102"/>
      <c r="S28" s="102"/>
      <c r="T28" s="34"/>
      <c r="U28" s="34"/>
      <c r="V28" s="34"/>
      <c r="W28" s="34"/>
      <c r="X28" s="34"/>
      <c r="Y28" s="34"/>
      <c r="Z28" s="34"/>
      <c r="AA28" s="34"/>
      <c r="AB28" s="34"/>
    </row>
    <row r="29" spans="1:28" ht="21.9" customHeight="1" x14ac:dyDescent="0.35">
      <c r="A29" s="34"/>
      <c r="B29" s="77"/>
      <c r="C29" s="77"/>
      <c r="D29" s="77"/>
      <c r="E29" s="78" t="s">
        <v>135</v>
      </c>
      <c r="F29" s="79">
        <v>0.15</v>
      </c>
      <c r="G29" s="80">
        <f>ROUNDUP($G$11*F29,0)</f>
        <v>0</v>
      </c>
      <c r="H29" s="221"/>
      <c r="I29" s="229"/>
      <c r="J29" s="230"/>
      <c r="K29" s="230"/>
      <c r="L29" s="230"/>
      <c r="M29" s="231"/>
      <c r="N29" s="224"/>
      <c r="O29" s="239" t="str">
        <f>"RFA Set-Aside Commitment Criteria for "&amp;IF(AND($T$13=$B$101,$V$13&lt;&gt;$B$101),"20% @ 50% AMI","40% @ 60% AMI")</f>
        <v>RFA Set-Aside Commitment Criteria for 40% @ 60% AMI</v>
      </c>
      <c r="P29" s="240"/>
      <c r="Q29" s="240"/>
      <c r="R29" s="240"/>
      <c r="S29" s="240"/>
      <c r="T29" s="60" t="s">
        <v>9</v>
      </c>
      <c r="U29" s="60" t="s">
        <v>33</v>
      </c>
      <c r="V29" s="34"/>
      <c r="W29" s="34"/>
      <c r="X29" s="34"/>
      <c r="Y29" s="34"/>
      <c r="Z29" s="34"/>
      <c r="AA29" s="34"/>
      <c r="AB29" s="34"/>
    </row>
    <row r="30" spans="1:28" ht="21.9" customHeight="1" x14ac:dyDescent="0.35">
      <c r="A30" s="34"/>
      <c r="B30" s="81"/>
      <c r="C30" s="81"/>
      <c r="D30" s="81"/>
      <c r="E30" s="82" t="s">
        <v>6</v>
      </c>
      <c r="F30" s="83">
        <v>0.45</v>
      </c>
      <c r="G30" s="84">
        <f>ROUNDUP($G$11*F30,0)</f>
        <v>0</v>
      </c>
      <c r="H30" s="222"/>
      <c r="I30" s="232"/>
      <c r="J30" s="233"/>
      <c r="K30" s="233"/>
      <c r="L30" s="233"/>
      <c r="M30" s="234"/>
      <c r="N30" s="225"/>
      <c r="O30" s="95"/>
      <c r="P30" s="96"/>
      <c r="Q30" s="77"/>
      <c r="R30" s="96"/>
      <c r="S30" s="78" t="s">
        <v>8</v>
      </c>
      <c r="T30" s="79">
        <v>0.1</v>
      </c>
      <c r="U30" s="97">
        <f>ROUNDUP(T30*$G$11,0)</f>
        <v>0</v>
      </c>
      <c r="V30" s="34"/>
      <c r="W30" s="34"/>
      <c r="X30" s="34"/>
      <c r="Y30" s="34"/>
      <c r="Z30" s="34"/>
      <c r="AA30" s="34"/>
      <c r="AB30" s="34"/>
    </row>
    <row r="31" spans="1:28" ht="21.9" customHeight="1" x14ac:dyDescent="0.35">
      <c r="A31" s="34"/>
      <c r="B31" s="81"/>
      <c r="C31" s="81"/>
      <c r="D31" s="81"/>
      <c r="E31" s="82" t="s">
        <v>7</v>
      </c>
      <c r="F31" s="83">
        <v>0.5</v>
      </c>
      <c r="G31" s="84">
        <f>ROUNDUP($G$11*F31,0)</f>
        <v>0</v>
      </c>
      <c r="H31" s="204" t="str">
        <f>IF(OR(IF($C$24&gt;0,AND($C$24&gt;=$G$30+$G$36,$C$24&lt;=$G$37,$G$32&lt;=$G$31,$G$35&lt;=$G$34),AND($P$27&gt;0,$P$27&gt;=$T$31,$P$27&lt;=$T$32))),"🙂",IF(MAX($C$24,$P$27)=0,"","🙁"))</f>
        <v/>
      </c>
      <c r="I31" s="219" t="str">
        <f>"2. Overall Total HC Units: "&amp;IF(AND(MAX(C$24,P$27)=0,$G$11=0),"Please enter the number of total units in cell G11.  ","")&amp;IF(MAX(C$24,P$27)=0,"Please enter # of HC units in column C or % of total units in column P.",IF(C$24&gt;0,"The total # of HC units entered into the AIT chart "&amp;IF(AND(C$24&gt;=G$30+G$36,C$24&lt;=G$38,G$32&gt;=G$30,G$32&lt;=G$31,G$35&lt;=G$34),"falls within the minimum and maximum HC units based on RFA limits and total units entered in cell G11.",IF(OR(C$24&lt;G$30+G$36,G$32&lt;G$30),"is "&amp;TEXT(MAX(G$30+G$36-C$24,G$30-G$32),"0")&amp;" unit"&amp;IF(MAX(G$30+G$36-C$24,G$30-G$32)=1,"","s")&amp;" less than the minimum HC units based on RFA limits and total units entered in cell G11.  See details below.","is "&amp;TEXT(MAX(C$24-G$38,G$32-G$31,G$35-G$34),"0")&amp;" unit"&amp;IF(MAX(C$24-G$38,G$32-G$31,G$35-G$34)=1,"","s")&amp;" greater than the maximum HC units based on RFA limits and total units entered in cell G11.  See details below.")),IF(P$27&gt;0,"The total set-aside percentage calculated for the "&amp;IF(AND($T$13=$B$101,$V$13&lt;&gt;$B$101),"20% @ 50% AMI",IF(AND($T$13&lt;&gt;$B$101,$V$13=$B$101),"40% @ 60% AMI",""))&amp;" chart "&amp;IF(AND(P$27&gt;=T$31,P$27&lt;=$T$32),"matches the necessary",IF(P$27&lt;T$31,"is "&amp;TEXT(T$31-P$27,"0%")&amp;" less than the minimum","is "&amp;TEXT(P$27-T$32,"0%")&amp;" greater than the maximum"))&amp;" HC set-aside percentage based on RFA limits (as indicated in cell"&amp;IF(AND(P$27&gt;=T$31,P$27&lt;=$T$32),"s T31 and T32",IF(P$27&lt;T$31," T31"," T32"))&amp;" compared to cell P27).","")))</f>
        <v>2. Overall Total HC Units: Please enter the number of total units in cell G11.  Please enter # of HC units in column C or % of total units in column P.</v>
      </c>
      <c r="J31" s="219"/>
      <c r="K31" s="219"/>
      <c r="L31" s="219"/>
      <c r="M31" s="219"/>
      <c r="N31" s="192" t="str">
        <f>IF(OR(IF($C$24&gt;0,AND($C$24&gt;=$G$30+$G$36,$C$24&lt;=$G$37,$G$32&lt;=$G$31,$G$35&lt;=$G$34),AND($P$27&gt;0,$P$27&gt;=$T$31,$P$27&lt;=$T$32))),"C",IF(MAX($C$24,$P$27)=0,"","D"))</f>
        <v/>
      </c>
      <c r="O31" s="98"/>
      <c r="P31" s="99"/>
      <c r="Q31" s="81"/>
      <c r="R31" s="99"/>
      <c r="S31" s="82" t="str">
        <f>"Minimum Limit for HC Units at "&amp;TEXT(IF(T$13=B$101,50%,60%),"0%")&amp;"  AMI or below:"</f>
        <v>Minimum Limit for HC Units at 60%  AMI or below:</v>
      </c>
      <c r="T31" s="100">
        <f>IF(T$13=B$101,25%,45%)</f>
        <v>0.45</v>
      </c>
      <c r="U31" s="101">
        <f>ROUNDUP(T31*$G$11,0)</f>
        <v>0</v>
      </c>
      <c r="V31" s="34"/>
      <c r="W31" s="34"/>
      <c r="X31" s="34"/>
      <c r="Y31" s="34"/>
      <c r="Z31" s="34"/>
      <c r="AA31" s="34"/>
      <c r="AB31" s="34"/>
    </row>
    <row r="32" spans="1:28" ht="21.9" customHeight="1" x14ac:dyDescent="0.35">
      <c r="A32" s="34"/>
      <c r="B32" s="132"/>
      <c r="C32" s="132"/>
      <c r="D32" s="132"/>
      <c r="E32" s="133" t="s">
        <v>112</v>
      </c>
      <c r="F32" s="134">
        <f>SUM(D16:D20)</f>
        <v>0</v>
      </c>
      <c r="G32" s="135">
        <f>SUM(C16:C20)</f>
        <v>0</v>
      </c>
      <c r="H32" s="204"/>
      <c r="I32" s="219"/>
      <c r="J32" s="219"/>
      <c r="K32" s="219"/>
      <c r="L32" s="219"/>
      <c r="M32" s="219"/>
      <c r="N32" s="192"/>
      <c r="O32" s="98"/>
      <c r="P32" s="99"/>
      <c r="Q32" s="81"/>
      <c r="R32" s="99"/>
      <c r="S32" s="82" t="str">
        <f>"Maximum Limit for HC Units at "&amp;TEXT(IF(T$13=B$101,50%,60%),"0%")&amp;"  AMI or below:"</f>
        <v>Maximum Limit for HC Units at 60%  AMI or below:</v>
      </c>
      <c r="T32" s="100">
        <f>IF(T$13=B$101,30%,50%)</f>
        <v>0.5</v>
      </c>
      <c r="U32" s="101">
        <f>ROUNDUP(T32*$G$11,0)</f>
        <v>0</v>
      </c>
      <c r="V32" s="34"/>
      <c r="W32" s="34"/>
      <c r="X32" s="34"/>
      <c r="Y32" s="34"/>
      <c r="Z32" s="34"/>
      <c r="AA32" s="34"/>
      <c r="AB32" s="34"/>
    </row>
    <row r="33" spans="1:23" ht="21.9" customHeight="1" x14ac:dyDescent="0.35">
      <c r="A33" s="31"/>
      <c r="B33" s="81"/>
      <c r="C33" s="81"/>
      <c r="D33" s="81"/>
      <c r="E33" s="82" t="s">
        <v>142</v>
      </c>
      <c r="F33" s="83">
        <f>1-F31</f>
        <v>0.5</v>
      </c>
      <c r="G33" s="84">
        <f>ROUNDDOWN($G$11*F33,0)</f>
        <v>0</v>
      </c>
      <c r="H33" s="204"/>
      <c r="I33" s="219"/>
      <c r="J33" s="219"/>
      <c r="K33" s="219"/>
      <c r="L33" s="219"/>
      <c r="M33" s="219"/>
      <c r="N33" s="192"/>
      <c r="O33" s="31"/>
      <c r="P33" s="31"/>
      <c r="Q33" s="31"/>
      <c r="R33" s="31"/>
      <c r="S33" s="31"/>
      <c r="T33" s="31"/>
      <c r="U33" s="103" t="str">
        <f>"*Based on a total unit count of "&amp;TEXT($G$11,"0")&amp;" units indicated in cell G11."</f>
        <v>*Based on a total unit count of 0 units indicated in cell G11.</v>
      </c>
      <c r="V33" s="31"/>
      <c r="W33" s="31"/>
    </row>
    <row r="34" spans="1:23" ht="21.9" customHeight="1" x14ac:dyDescent="0.35">
      <c r="A34" s="31"/>
      <c r="B34" s="99"/>
      <c r="C34" s="99"/>
      <c r="D34" s="99"/>
      <c r="E34" s="82" t="s">
        <v>143</v>
      </c>
      <c r="F34" s="83">
        <f>1-F30</f>
        <v>0.55000000000000004</v>
      </c>
      <c r="G34" s="84">
        <f>ROUNDDOWN($G$11*F34,0)</f>
        <v>0</v>
      </c>
      <c r="H34" s="204" t="str">
        <f>IF(IF($C$24&gt;0,SUM(C$16:C$20)&gt;=$G$30,AND($P$27&gt;0,$P$27&gt;=$T$31)),"🙂",IF(MAX($C$24,$P$27)=0,"","🙁"))</f>
        <v/>
      </c>
      <c r="I34" s="203" t="str">
        <f>"3. Minimum Total HC Units less than or equal to 60% AMI:  There is a minimum limit of HC units at or below 60% AMI of "&amp;IF($C$24&gt;0,TEXT($F$30,"0%"),TEXT($T$31,"0%"))&amp;" of total units, rounded up"&amp;IF($G$11=0,".  Data will need to be entered prior to analysis."," (or "&amp;IF($C$24&gt;0,TEXT($G$30,"0"),TEXT($U$31,"0"))&amp;" units for the proposed Development) and the data entered into the "&amp;IF(C$24&gt;0,"AIT",IF(AND($T$13=$B$101,$V$13&lt;&gt;$B$101),"20% @ 50% AMI",IF(AND($T$13&lt;&gt;$B$101,$V$13=$B$101),"40% @ 60% AMI","")))&amp;" chart indicates there are "&amp;IF($C$24&gt;0,TEXT(SUM(C$16:C$20),"0"),TEXT(SUM(P$16:P$24),"0%")&amp;" of total")&amp;" units, which "&amp;IF($C$24&gt;0,IF(SUM(C$16:C$20)&gt;=$G$30,"meets","does NOT meet"),IF($Q$27&gt;=$U$31,"meets","does NOT meet"))&amp;" the minimum requirements.")</f>
        <v>3. Minimum Total HC Units less than or equal to 60% AMI:  There is a minimum limit of HC units at or below 60% AMI of 45% of total units, rounded up.  Data will need to be entered prior to analysis.</v>
      </c>
      <c r="J34" s="203"/>
      <c r="K34" s="203"/>
      <c r="L34" s="203"/>
      <c r="M34" s="203"/>
      <c r="N34" s="192" t="str">
        <f>IF(IF($C$24&gt;0,SUM(C$16:C$20)&gt;=$G$30,AND($P$27&gt;0,$P$27&gt;=$T$31)),"C",IF(MAX($C$24,$P$27)=0,"","D"))</f>
        <v/>
      </c>
      <c r="O34" s="31"/>
      <c r="P34" s="31"/>
      <c r="Q34" s="31"/>
      <c r="R34" s="31"/>
      <c r="S34" s="31"/>
      <c r="T34" s="31"/>
      <c r="U34" s="31"/>
      <c r="V34" s="31"/>
      <c r="W34" s="31"/>
    </row>
    <row r="35" spans="1:23" ht="21.9" customHeight="1" x14ac:dyDescent="0.35">
      <c r="A35" s="31"/>
      <c r="B35" s="132"/>
      <c r="C35" s="132"/>
      <c r="D35" s="132"/>
      <c r="E35" s="133" t="s">
        <v>144</v>
      </c>
      <c r="F35" s="134">
        <f>D21+D22</f>
        <v>0</v>
      </c>
      <c r="G35" s="135">
        <f>C21+C22+H21+H22+IF(M11=C104,H23,0)</f>
        <v>0</v>
      </c>
      <c r="H35" s="204"/>
      <c r="I35" s="205"/>
      <c r="J35" s="205"/>
      <c r="K35" s="205"/>
      <c r="L35" s="205"/>
      <c r="M35" s="205"/>
      <c r="N35" s="192"/>
      <c r="O35" s="31"/>
      <c r="P35" s="31"/>
      <c r="Q35" s="31"/>
      <c r="R35" s="31"/>
      <c r="S35" s="31"/>
      <c r="T35" s="31"/>
      <c r="U35" s="31"/>
      <c r="V35" s="31"/>
      <c r="W35" s="31"/>
    </row>
    <row r="36" spans="1:23" ht="21.9" customHeight="1" x14ac:dyDescent="0.35">
      <c r="A36" s="31"/>
      <c r="B36" s="77"/>
      <c r="C36" s="77"/>
      <c r="D36" s="77"/>
      <c r="E36" s="78" t="s">
        <v>111</v>
      </c>
      <c r="F36" s="79">
        <f>MIN(F34,D21+D22)</f>
        <v>0</v>
      </c>
      <c r="G36" s="80">
        <f>ROUNDDOWN($G$11*F36,0)</f>
        <v>0</v>
      </c>
      <c r="H36" s="204"/>
      <c r="I36" s="205"/>
      <c r="J36" s="205"/>
      <c r="K36" s="205"/>
      <c r="L36" s="205"/>
      <c r="M36" s="205"/>
      <c r="N36" s="192"/>
      <c r="O36" s="31"/>
      <c r="P36" s="31"/>
      <c r="Q36" s="31"/>
      <c r="R36" s="31"/>
      <c r="S36" s="31"/>
      <c r="T36" s="31"/>
      <c r="U36" s="31"/>
      <c r="V36" s="31"/>
      <c r="W36" s="31"/>
    </row>
    <row r="37" spans="1:23" ht="21.9" customHeight="1" x14ac:dyDescent="0.35">
      <c r="A37" s="31"/>
      <c r="B37" s="77"/>
      <c r="C37" s="77"/>
      <c r="D37" s="77"/>
      <c r="E37" s="78" t="s">
        <v>110</v>
      </c>
      <c r="F37" s="79">
        <f>MIN(1,F31+F34)</f>
        <v>1</v>
      </c>
      <c r="G37" s="80">
        <f>ROUNDUP($G$11*F37,0)</f>
        <v>0</v>
      </c>
      <c r="H37" s="204"/>
      <c r="I37" s="206"/>
      <c r="J37" s="206"/>
      <c r="K37" s="206"/>
      <c r="L37" s="206"/>
      <c r="M37" s="206"/>
      <c r="N37" s="192"/>
      <c r="O37" s="31"/>
      <c r="P37" s="31"/>
      <c r="Q37" s="31"/>
      <c r="R37" s="31"/>
      <c r="S37" s="31"/>
      <c r="T37" s="31"/>
      <c r="U37" s="31"/>
      <c r="V37" s="31"/>
      <c r="W37" s="31"/>
    </row>
    <row r="38" spans="1:23" ht="21.9" customHeight="1" x14ac:dyDescent="0.35">
      <c r="A38" s="31"/>
      <c r="B38" s="77"/>
      <c r="C38" s="77"/>
      <c r="D38" s="77"/>
      <c r="E38" s="161" t="str">
        <f>"Max. Total HC Units given the "&amp;TEXT(MIN(C21+C22,ROUNDUP(F34*G11,0)),"0")&amp;" Joint Units entered above (up to max Joint):"</f>
        <v>Max. Total HC Units given the 0 Joint Units entered above (up to max Joint):</v>
      </c>
      <c r="F38" s="79">
        <f>F31+MIN(D21+D22,F34)</f>
        <v>0.5</v>
      </c>
      <c r="G38" s="80">
        <f>ROUNDUP($G$11*F38,0)</f>
        <v>0</v>
      </c>
      <c r="H38" s="204" t="str">
        <f>IF(IF($C$24&gt;0,SUM(C$16:C$20)&lt;=$G$31,AND($P$27&gt;0,$P$27&lt;=$T$32)),"🙂",IF(MAX($C$24,$P$27)=0,"","🙁"))</f>
        <v/>
      </c>
      <c r="I38" s="203" t="str">
        <f>"4. Maximum Total HC Units less than or equal to 60% AMI:  There is a maximum limit of HC units at or below 60% AMI of "&amp;IF($C$24&gt;0,TEXT($F$31,"0%"),TEXT($T$32,"0%"))&amp;" of total units, rounded up"&amp;IF($G$11=0,".  Data will need to be entered prior to analysis."," (or "&amp;IF($C$24&gt;0,TEXT($G$31,"0"),TEXT($U$32,"0"))&amp;" units for the proposed Development) and the data entered into the "&amp;IF(C$24&gt;0,"AIT",IF(AND($T$13=$B$101,$V$13&lt;&gt;$B$101),"20% @ 50% AMI",IF(AND($T$13&lt;&gt;$B$101,$V$13=$B$101),"40% @ 60% AMI","")))&amp;" chart indicates there are "&amp;IF($C$24&gt;0,TEXT(SUM(C$16:C$20),"0"),TEXT(SUM(P$16:P$24),"0%")&amp;" of total")&amp;" units, which "&amp;IF($C$24&gt;0,IF(SUM(C$16:C$20)&lt;=$G$31,"meets","does NOT meet"),IF($Q$27&lt;=$U$32,"meets","does NOT meet"))&amp;" the maximum requirements.")</f>
        <v>4. Maximum Total HC Units less than or equal to 60% AMI:  There is a maximum limit of HC units at or below 60% AMI of 50% of total units, rounded up.  Data will need to be entered prior to analysis.</v>
      </c>
      <c r="J38" s="203"/>
      <c r="K38" s="203"/>
      <c r="L38" s="203"/>
      <c r="M38" s="203"/>
      <c r="N38" s="192" t="str">
        <f>IF(IF($C$24&gt;0,SUM(C$16:C$20)&lt;=$G$31,AND($P$27&gt;0,$P$27&lt;=$T$32)),"C",IF(MAX($C$24,$P$27)=0,"","D"))</f>
        <v/>
      </c>
      <c r="O38" s="31"/>
      <c r="P38" s="31"/>
      <c r="Q38" s="31"/>
      <c r="R38" s="31"/>
      <c r="S38" s="31"/>
      <c r="T38" s="31"/>
      <c r="U38" s="31"/>
      <c r="V38" s="31"/>
      <c r="W38" s="31"/>
    </row>
    <row r="39" spans="1:23" ht="21.9" customHeight="1" x14ac:dyDescent="0.35">
      <c r="A39" s="31"/>
      <c r="B39" s="31"/>
      <c r="C39" s="31"/>
      <c r="D39" s="31"/>
      <c r="E39" s="31"/>
      <c r="F39" s="31"/>
      <c r="G39" s="103" t="str">
        <f>"*Based on a total unit count of "&amp;TEXT($G$11,"0")&amp;" units indicated in cell G11."</f>
        <v>*Based on a total unit count of 0 units indicated in cell G11.</v>
      </c>
      <c r="H39" s="204"/>
      <c r="I39" s="205"/>
      <c r="J39" s="205"/>
      <c r="K39" s="205"/>
      <c r="L39" s="205"/>
      <c r="M39" s="205"/>
      <c r="N39" s="192"/>
      <c r="O39" s="31"/>
      <c r="P39" s="31"/>
      <c r="Q39" s="31"/>
      <c r="R39" s="31"/>
      <c r="S39" s="31"/>
      <c r="T39" s="31"/>
      <c r="U39" s="31"/>
      <c r="V39" s="31"/>
      <c r="W39" s="31"/>
    </row>
    <row r="40" spans="1:23" ht="21.9" customHeight="1" x14ac:dyDescent="0.35">
      <c r="A40" s="155"/>
      <c r="B40" s="31"/>
      <c r="C40" s="31"/>
      <c r="D40" s="31"/>
      <c r="E40" s="31"/>
      <c r="F40" s="31"/>
      <c r="G40" s="31"/>
      <c r="H40" s="204"/>
      <c r="I40" s="205"/>
      <c r="J40" s="205"/>
      <c r="K40" s="205"/>
      <c r="L40" s="205"/>
      <c r="M40" s="205"/>
      <c r="N40" s="192"/>
      <c r="O40" s="31"/>
      <c r="P40" s="31"/>
      <c r="Q40" s="31"/>
      <c r="R40" s="31"/>
      <c r="S40" s="31"/>
      <c r="T40" s="31"/>
      <c r="U40" s="31"/>
      <c r="V40" s="31"/>
      <c r="W40" s="31"/>
    </row>
    <row r="41" spans="1:23" ht="21.9" customHeight="1" x14ac:dyDescent="0.35">
      <c r="A41" s="31"/>
      <c r="B41" s="186" t="str">
        <f>"An example of an Average Income Test distribution of HC and Workforce Units given the "&amp;TEXT($G$11,"0")&amp;" total units indicated above: "</f>
        <v xml:space="preserve">An example of an Average Income Test distribution of HC and Workforce Units given the 0 total units indicated above: </v>
      </c>
      <c r="C41" s="187"/>
      <c r="D41" s="187"/>
      <c r="E41" s="187"/>
      <c r="F41" s="188"/>
      <c r="G41" s="185" t="str">
        <f>IF($A$48&lt;0,"When the 80% AMI unit count is negative, you will need to increase the % set-aside for the 40% AMI and/or 50% AMI income levels.",IF($A$49&lt;0,"When the Non-HC Workforce Units is negative, you will need to correct the inputs for cells F54 and F56 to equal 100% or less.",""))</f>
        <v/>
      </c>
      <c r="H41" s="204"/>
      <c r="I41" s="206"/>
      <c r="J41" s="206"/>
      <c r="K41" s="206"/>
      <c r="L41" s="206"/>
      <c r="M41" s="206"/>
      <c r="N41" s="192"/>
      <c r="O41" s="31"/>
      <c r="P41" s="186" t="str">
        <f>"An example of a "&amp;IF(AND($T$13=$B$101,$V$13&lt;&gt;$B$101),"20% @ 50% AMI",IF(AND($T$13&lt;&gt;$B$101,$V$13=$B$101),"40% @ 60% AMI",""))&amp;" distribution of HC and Workforce Units given the "&amp;TEXT($G$11,"0")&amp;" total units indicated above: "</f>
        <v xml:space="preserve">An example of a 40% @ 60% AMI distribution of HC and Workforce Units given the 0 total units indicated above: </v>
      </c>
      <c r="Q41" s="187"/>
      <c r="R41" s="187"/>
      <c r="S41" s="187"/>
      <c r="T41" s="188"/>
      <c r="U41" s="31"/>
      <c r="V41" s="31"/>
      <c r="W41" s="31"/>
    </row>
    <row r="42" spans="1:23" ht="21.9" customHeight="1" x14ac:dyDescent="0.35">
      <c r="A42" s="31"/>
      <c r="B42" s="189"/>
      <c r="C42" s="190"/>
      <c r="D42" s="190"/>
      <c r="E42" s="190"/>
      <c r="F42" s="191"/>
      <c r="G42" s="185"/>
      <c r="H42" s="204" t="str">
        <f>IF(IF($C$24&gt;0,SUM(C$16:C$17)&gt;=$G$29,AND($P$27&gt;0,SUMIF($O$16:$O$21,"&lt;="&amp;VLOOKUP($M$11,ELIData,2),$P$16:$P$21)&gt;=$T$30)),"🙂",IF(MAX($C$24,$P$27)=0,"","🙁"))</f>
        <v/>
      </c>
      <c r="I42" s="203" t="str">
        <f>"5. Minimum HC ELI Units:  There is a minimum limit of HC ELI units of "&amp;IF($C$24&gt;0,TEXT($F$29,"0%"),TEXT($T$30,"0%"))&amp;" of total units, rounded up"&amp;IF($G$11=0,".  Data will need to be entered prior to analysis."," (or "&amp;IF($C$24&gt;0,TEXT($G$29,"0"),TEXT($U$30,"0"))&amp;" units for the proposed Development) and the data entered into the "&amp;IF(C$24&gt;0,"AIT",IF(AND($T$13=$B$101,$V$13&lt;&gt;$B$101),"20% @ 50% AMI",IF(AND($T$13&lt;&gt;$B$101,$V$13=$B$101),"40% @ 60% AMI","")))&amp;" chart indicates there are "&amp;IF($C$24&gt;0,TEXT(SUM(C$16:C$17),"0"),TEXT(SUMIF($O$16:$O$21,"&lt;="&amp;VLOOKUP($M$11,ELIData,2),$P$16:$P$21),"0%")&amp;" of total")&amp;" units, which "&amp;IF($C$24&gt;0,IF(SUM(C$16:C$17)&gt;=$G$29,"meets","does NOT meet"),IF(SUMIF($O$16:$O$21,"&lt;="&amp;VLOOKUP($M$11,ELIData,2),$P$16:$P$21)&gt;=$T$30,"meets","does NOT meet"))&amp;" the minimum requirements."&amp;IF(M11=C101," (Be sure a county has been selected in cell M11.)",""))</f>
        <v>5. Minimum HC ELI Units:  There is a minimum limit of HC ELI units of 10% of total units, rounded up.  Data will need to be entered prior to analysis.</v>
      </c>
      <c r="J42" s="203"/>
      <c r="K42" s="203"/>
      <c r="L42" s="203"/>
      <c r="M42" s="203"/>
      <c r="N42" s="192" t="str">
        <f>IF(IF($C$24&gt;0,SUM(C$16:C$17)&gt;=$G$29,AND($P$27&gt;0,SUMIF($O$16:$O$21,"&lt;="&amp;VLOOKUP($M$11,ELIData,2),$P$16:$P$21)&gt;=$T$30)),"C",IF(MAX($C$24,$P$27)=0,"","D"))</f>
        <v/>
      </c>
      <c r="O42" s="31"/>
      <c r="P42" s="189"/>
      <c r="Q42" s="190"/>
      <c r="R42" s="190"/>
      <c r="S42" s="190"/>
      <c r="T42" s="191"/>
      <c r="U42" s="31"/>
      <c r="V42" s="31"/>
      <c r="W42" s="31"/>
    </row>
    <row r="43" spans="1:23" ht="21.9" customHeight="1" x14ac:dyDescent="0.35">
      <c r="A43" s="165">
        <f>IFERROR(VALUE(TRIM(LEFT($C43,8))),VALUE(TRIM(LEFT($C43,7))))</f>
        <v>0</v>
      </c>
      <c r="B43" s="156"/>
      <c r="C43" s="162" t="str">
        <f>"     "&amp;TEXT(ROUNDUP($G$11*$F$29,0),"0")&amp;" HC Units at "&amp;TEXT($B$17,"0%")&amp;" AMI; "</f>
        <v xml:space="preserve">     0 HC Units at 30% AMI; </v>
      </c>
      <c r="D43" s="157"/>
      <c r="E43" s="157"/>
      <c r="F43" s="117"/>
      <c r="G43" s="185"/>
      <c r="H43" s="204"/>
      <c r="I43" s="205"/>
      <c r="J43" s="205"/>
      <c r="K43" s="205"/>
      <c r="L43" s="205"/>
      <c r="M43" s="205"/>
      <c r="N43" s="192"/>
      <c r="O43" s="31"/>
      <c r="P43" s="113"/>
      <c r="Q43" s="162" t="str">
        <f>"     "&amp;TEXT(T30,"0%")&amp;" of the units ("&amp;TEXT(ROUNDUP($G$11*$T$30,0),"0")&amp;" HC Units) at "&amp;TEXT(VLOOKUP($M$11,ELIData,2),"0%")&amp;" AMI; "</f>
        <v xml:space="preserve">     10% of the units (0 HC Units) at 0% AMI; </v>
      </c>
      <c r="R43" s="157"/>
      <c r="S43" s="157"/>
      <c r="T43" s="117"/>
      <c r="U43" s="31"/>
      <c r="V43" s="31"/>
      <c r="W43" s="31"/>
    </row>
    <row r="44" spans="1:23" ht="21.9" customHeight="1" x14ac:dyDescent="0.35">
      <c r="A44" s="165">
        <f>IFERROR(VALUE(TRIM(LEFT($C44,8))),VALUE(TRIM(LEFT($C44,7))))</f>
        <v>0</v>
      </c>
      <c r="B44" s="113"/>
      <c r="C44" s="162" t="str">
        <f>"     "&amp;TEXT(ROUNDUP($G$11*$F$50,0),"0")&amp;" HC Units at "&amp;TEXT($B$18,"0%")&amp;" AMI; "</f>
        <v xml:space="preserve">     0 HC Units at 40% AMI; </v>
      </c>
      <c r="D44" s="157"/>
      <c r="E44" s="157"/>
      <c r="F44" s="117"/>
      <c r="G44" s="185"/>
      <c r="H44" s="204"/>
      <c r="I44" s="205"/>
      <c r="J44" s="205"/>
      <c r="K44" s="205"/>
      <c r="L44" s="205"/>
      <c r="M44" s="205"/>
      <c r="N44" s="192"/>
      <c r="O44" s="31"/>
      <c r="P44" s="113"/>
      <c r="Q44" s="162" t="str">
        <f>"     "&amp;TEXT($T$31-$T$30,"0%")&amp;" of the units ("&amp;TEXT(ROUNDUP($G$11*($T$31-$T$30),0),"0")&amp;" HC Units) at 60% AMI; "</f>
        <v xml:space="preserve">     35% of the units (0 HC Units) at 60% AMI; </v>
      </c>
      <c r="R44" s="157"/>
      <c r="S44" s="157"/>
      <c r="T44" s="117"/>
      <c r="U44" s="31"/>
      <c r="V44" s="31"/>
      <c r="W44" s="31"/>
    </row>
    <row r="45" spans="1:23" ht="21.9" customHeight="1" x14ac:dyDescent="0.35">
      <c r="A45" s="165">
        <f t="shared" ref="A45:A49" si="7">IFERROR(VALUE(TRIM(LEFT($C45,8))),VALUE(TRIM(LEFT($C45,7))))</f>
        <v>0</v>
      </c>
      <c r="B45" s="156"/>
      <c r="C45" s="162" t="str">
        <f>"     "&amp;TEXT(ROUNDUP($G$11*$F$52,0),"0")&amp;" HC Units at "&amp;TEXT($B$19,"0%")&amp;" AMI; "</f>
        <v xml:space="preserve">     0 HC Units at 50% AMI; </v>
      </c>
      <c r="D45" s="157"/>
      <c r="E45" s="157"/>
      <c r="F45" s="117"/>
      <c r="G45" s="185"/>
      <c r="H45" s="204"/>
      <c r="I45" s="205"/>
      <c r="J45" s="205"/>
      <c r="K45" s="205"/>
      <c r="L45" s="205"/>
      <c r="M45" s="205"/>
      <c r="N45" s="192"/>
      <c r="O45" s="31"/>
      <c r="P45" s="113"/>
      <c r="Q45" s="162" t="str">
        <f>"     "&amp;TEXT(1-$T$31,"0%")&amp;" of the units ("&amp;TEXT(ROUNDDOWN($G$11*(1-$T$31),0),"0")&amp;" Workforce Units) at "&amp;TEXT(IF($M$11=$C$145,$B$23,$B$22),"0%")&amp;" AMI. "</f>
        <v xml:space="preserve">     55% of the units (0 Workforce Units) at 80% AMI. </v>
      </c>
      <c r="R45" s="157"/>
      <c r="S45" s="157"/>
      <c r="T45" s="117"/>
      <c r="U45" s="31"/>
      <c r="V45" s="31"/>
      <c r="W45" s="31"/>
    </row>
    <row r="46" spans="1:23" ht="21.9" customHeight="1" x14ac:dyDescent="0.35">
      <c r="A46" s="165">
        <f t="shared" si="7"/>
        <v>0</v>
      </c>
      <c r="B46" s="156"/>
      <c r="C46" s="162" t="str">
        <f>"     "&amp;TEXT(ROUNDUP($G$11*$F$54,0)-ROUNDUP($G$11*$F$29,0)-ROUNDUP($G$11*$F$50,0)-ROUNDUP($G$11*$F$52,0),"0")&amp;" HC Units at "&amp;TEXT($B$20,"0%")&amp;" AMI; "</f>
        <v xml:space="preserve">     0 HC Units at 60% AMI; </v>
      </c>
      <c r="D46" s="157"/>
      <c r="E46" s="157"/>
      <c r="F46" s="117"/>
      <c r="G46" s="185"/>
      <c r="H46" s="204"/>
      <c r="I46" s="206"/>
      <c r="J46" s="206"/>
      <c r="K46" s="206"/>
      <c r="L46" s="206"/>
      <c r="M46" s="206"/>
      <c r="N46" s="192"/>
      <c r="O46" s="31"/>
      <c r="P46" s="115"/>
      <c r="Q46" s="159"/>
      <c r="R46" s="159"/>
      <c r="S46" s="159"/>
      <c r="T46" s="160"/>
      <c r="U46" s="31"/>
      <c r="V46" s="31"/>
      <c r="W46" s="31"/>
    </row>
    <row r="47" spans="1:23" ht="21.9" customHeight="1" x14ac:dyDescent="0.35">
      <c r="A47" s="165">
        <f t="shared" si="7"/>
        <v>0</v>
      </c>
      <c r="B47" s="158"/>
      <c r="C47" s="166" t="str">
        <f>"     "&amp;TEXT((ROUNDUP($G$11*$F$29,0)*$B$17+ROUNDUP($G$11*$F$50,0)*$B$18+ROUNDUP($G$11*$F$52,0)*$B$19+(ROUNDUP($G$11*$F$54,0)-ROUNDUP($G$11*$F$52,0)-ROUNDUP($G$11*$F$50,0)-ROUNDUP($G$11*$F$29,0))*$B$20+ROUNDDOWN($G$11*$F$56,0)*$B$22-60%*ROUNDUP($G$11*($F$54+$F$56),0))/($B$22-$B$21),"0")&amp;" Joint HC/Workforce Units at "&amp;TEXT($B$21,"0%")&amp;" AMI; "</f>
        <v xml:space="preserve">     0 Joint HC/Workforce Units at 70% AMI; </v>
      </c>
      <c r="D47" s="157"/>
      <c r="E47" s="157"/>
      <c r="F47" s="117"/>
      <c r="G47" s="185"/>
      <c r="H47" s="204" t="str">
        <f>IF(OR(AND($C$24&gt;0,SUM(C$21:C$22)+SUM(H$21:H$22)+IF($M$11=$C$104,$H$23,0)&gt;=$G$33),$P$27&gt;0),"🙂",IF(MAX($C$24,$P$27)=0,"","🙁"))</f>
        <v/>
      </c>
      <c r="I47" s="202" t="str">
        <f>"6. Minimum Joint HC/Workforce Units:  "&amp;IF(C$24=0,"The 20% @ 50% AMI and the 40% @ 60% AMI IRC Minimum HC Set-Aside Commitments cannot have Joint HC Units with Workforce Units so none are permitted.","There is a minimum limit of Joint HC Units and Workforce Units of "&amp;TEXT(F$33,"0%")&amp;" of total units (rounded down), or "&amp;TEXT(G$33,"0")&amp;" units for the proposed Development.  The data entered into the AIT chart indicates there are "&amp;TEXT(C$21+C$22+H$23,"0")&amp;" Joint HC/Workforce units, which "&amp;IF($C$24&gt;0,IF(C$21+C$22+H$23&gt;=$G$33,"meets","does NOT meet"))&amp;" the maximum requirements.")</f>
        <v>6. Minimum Joint HC/Workforce Units:  The 20% @ 50% AMI and the 40% @ 60% AMI IRC Minimum HC Set-Aside Commitments cannot have Joint HC Units with Workforce Units so none are permitted.</v>
      </c>
      <c r="J47" s="202"/>
      <c r="K47" s="202"/>
      <c r="L47" s="202"/>
      <c r="M47" s="202"/>
      <c r="N47" s="192" t="str">
        <f>IF(OR(AND($C$24&gt;0,SUM(C$21:C$22)+SUM(H$21:H$22)+IF($M$11=$C$104,$H$23,0)&gt;=$G$33),$P$27&gt;0),"C",IF(MAX($C$24,$P$27)=0,"","D"))</f>
        <v/>
      </c>
      <c r="O47" s="31"/>
      <c r="P47" s="31"/>
      <c r="Q47" s="31"/>
      <c r="R47" s="31"/>
      <c r="S47" s="31"/>
      <c r="T47" s="31"/>
      <c r="U47" s="31"/>
      <c r="V47" s="31"/>
      <c r="W47" s="31"/>
    </row>
    <row r="48" spans="1:23" ht="21.9" customHeight="1" x14ac:dyDescent="0.35">
      <c r="A48" s="165">
        <f t="shared" si="7"/>
        <v>0</v>
      </c>
      <c r="B48" s="163"/>
      <c r="C48" s="166" t="str">
        <f>"     "&amp;TEXT(ROUNDUP($G$11*($F$54+$F$56),0)-ROUNDUP($G$11*$F$54,0)-(ROUNDUP($G$11*$F$29,0)*$B$17+ROUNDUP($G$11*$F$50,0)*$B$18+ROUNDUP($G$11*$F$52,0)*$B$19+(ROUNDUP($G$11*$F$54,0)-ROUNDUP($G$11*$F$52,0)-ROUNDUP($G$11*$F$50,0)-ROUNDUP($G$11*$F$29,0))*$B$20+ROUNDDOWN($G$11*$F$56,0)*$B$22-60%*ROUNDUP($G$11*($F$54+$F$56),0))/(80%-70%),"0")&amp;" Joint HC/Workforce Units at "&amp;TEXT($B$22,"0%")&amp;" AMI; "</f>
        <v xml:space="preserve">     0 Joint HC/Workforce Units at 80% AMI; </v>
      </c>
      <c r="D48" s="157"/>
      <c r="E48" s="157"/>
      <c r="F48" s="117"/>
      <c r="G48" s="185"/>
      <c r="H48" s="204"/>
      <c r="I48" s="202"/>
      <c r="J48" s="202"/>
      <c r="K48" s="202"/>
      <c r="L48" s="202"/>
      <c r="M48" s="202"/>
      <c r="N48" s="192"/>
      <c r="O48" s="31"/>
      <c r="P48" s="31"/>
      <c r="Q48" s="31"/>
      <c r="R48" s="31"/>
      <c r="S48" s="31"/>
      <c r="T48" s="31"/>
      <c r="U48" s="31"/>
      <c r="V48" s="31"/>
      <c r="W48" s="31"/>
    </row>
    <row r="49" spans="1:23" ht="21.9" customHeight="1" x14ac:dyDescent="0.35">
      <c r="A49" s="165">
        <f t="shared" si="7"/>
        <v>0</v>
      </c>
      <c r="B49" s="115"/>
      <c r="C49" s="167" t="str">
        <f>"     "&amp;TEXT($G$11-(ROUNDUP($G$11*($F$54+$F$56),0)),"0")&amp;" Non-HC Workforce Units at "&amp;TEXT(IF($M$11=$C$145,$B$23,$B$22),"0%")&amp;" AMI. "</f>
        <v xml:space="preserve">     0 Non-HC Workforce Units at 80% AMI. </v>
      </c>
      <c r="D49" s="159"/>
      <c r="E49" s="159"/>
      <c r="F49" s="160"/>
      <c r="G49" s="185"/>
      <c r="H49" s="204"/>
      <c r="I49" s="202"/>
      <c r="J49" s="202"/>
      <c r="K49" s="202"/>
      <c r="L49" s="202"/>
      <c r="M49" s="202"/>
      <c r="N49" s="192"/>
      <c r="O49" s="31"/>
      <c r="P49" s="31"/>
      <c r="Q49" s="31"/>
      <c r="R49" s="31"/>
      <c r="S49" s="31"/>
      <c r="T49" s="31"/>
      <c r="U49" s="31"/>
      <c r="V49" s="31"/>
      <c r="W49" s="31"/>
    </row>
    <row r="50" spans="1:23" ht="21.9" customHeight="1" x14ac:dyDescent="0.35">
      <c r="A50" s="31"/>
      <c r="B50" s="179" t="s">
        <v>137</v>
      </c>
      <c r="C50" s="180"/>
      <c r="D50" s="180"/>
      <c r="E50" s="180"/>
      <c r="F50" s="183">
        <v>0</v>
      </c>
      <c r="G50" s="31"/>
      <c r="H50" s="204"/>
      <c r="I50" s="203"/>
      <c r="J50" s="203"/>
      <c r="K50" s="203"/>
      <c r="L50" s="203"/>
      <c r="M50" s="203"/>
      <c r="N50" s="192"/>
      <c r="O50" s="31"/>
      <c r="P50" s="31"/>
      <c r="Q50" s="31"/>
      <c r="R50" s="31"/>
      <c r="S50" s="31"/>
      <c r="T50" s="31"/>
      <c r="U50" s="31"/>
      <c r="V50" s="31"/>
      <c r="W50" s="31"/>
    </row>
    <row r="51" spans="1:23" s="31" customFormat="1" ht="21.9" customHeight="1" x14ac:dyDescent="0.35">
      <c r="A51" s="154"/>
      <c r="B51" s="181"/>
      <c r="C51" s="182"/>
      <c r="D51" s="182"/>
      <c r="E51" s="182"/>
      <c r="F51" s="184"/>
      <c r="H51" s="204" t="str">
        <f>IF(IF($C$24&gt;0,SUM(C$21:C$22)&lt;=$G$34,$P$27&gt;0),"🙂",IF(MAX($C$24,$P$27)=0,"","🙁"))</f>
        <v/>
      </c>
      <c r="I51" s="202" t="str">
        <f>"7. Maximum Joint HC/Workforce Units:  "&amp;IF(C$24=0,"The 20% @ 50% AMI and the 40% @ 60% AMI IRC Minimum HC Set-Aside Commitments cannot have Joint HC Units with Workforce Units so none are permitted.","There is a maximum limit of Joint HC Units and Workforce Units of "&amp;TEXT(F$34,"0%")&amp;" of total units (rounded down), or "&amp;TEXT(G$34,"0")&amp;" units for the proposed Development.  The data entered into the AIT chart indicates there are "&amp;TEXT(C$21+C$22,"0")&amp;" Joint HC/Workforce units, which "&amp;IF($C$24&gt;0,IF(C$21+C$22&lt;=$G$34,"meets","does NOT meet"))&amp;" the maximum requirements.")</f>
        <v>7. Maximum Joint HC/Workforce Units:  The 20% @ 50% AMI and the 40% @ 60% AMI IRC Minimum HC Set-Aside Commitments cannot have Joint HC Units with Workforce Units so none are permitted.</v>
      </c>
      <c r="J51" s="202"/>
      <c r="K51" s="202"/>
      <c r="L51" s="202"/>
      <c r="M51" s="202"/>
      <c r="N51" s="192" t="str">
        <f>IF(IF($C$24&gt;0,SUM(C$21:C$22)&lt;=$G$34,$P$27&gt;0),"C",IF(MAX($C$24,$P$27)=0,"","D"))</f>
        <v/>
      </c>
    </row>
    <row r="52" spans="1:23" s="31" customFormat="1" ht="21.9" customHeight="1" x14ac:dyDescent="0.35">
      <c r="B52" s="179" t="s">
        <v>138</v>
      </c>
      <c r="C52" s="180"/>
      <c r="D52" s="180"/>
      <c r="E52" s="180"/>
      <c r="F52" s="183">
        <v>0.09</v>
      </c>
      <c r="H52" s="204"/>
      <c r="I52" s="202"/>
      <c r="J52" s="202"/>
      <c r="K52" s="202"/>
      <c r="L52" s="202"/>
      <c r="M52" s="202"/>
      <c r="N52" s="192"/>
    </row>
    <row r="53" spans="1:23" s="31" customFormat="1" ht="21.9" customHeight="1" x14ac:dyDescent="0.35">
      <c r="B53" s="181"/>
      <c r="C53" s="182"/>
      <c r="D53" s="182"/>
      <c r="E53" s="182"/>
      <c r="F53" s="184"/>
      <c r="H53" s="204"/>
      <c r="I53" s="202"/>
      <c r="J53" s="202"/>
      <c r="K53" s="202"/>
      <c r="L53" s="202"/>
      <c r="M53" s="202"/>
      <c r="N53" s="192"/>
    </row>
    <row r="54" spans="1:23" s="31" customFormat="1" ht="21.9" customHeight="1" x14ac:dyDescent="0.35">
      <c r="B54" s="179" t="s">
        <v>141</v>
      </c>
      <c r="C54" s="180"/>
      <c r="D54" s="180"/>
      <c r="E54" s="180"/>
      <c r="F54" s="183">
        <v>0.45</v>
      </c>
      <c r="H54" s="204"/>
      <c r="I54" s="203"/>
      <c r="J54" s="203"/>
      <c r="K54" s="203"/>
      <c r="L54" s="203"/>
      <c r="M54" s="203"/>
      <c r="N54" s="192"/>
    </row>
    <row r="55" spans="1:23" s="31" customFormat="1" ht="21.9" customHeight="1" x14ac:dyDescent="0.35">
      <c r="B55" s="181"/>
      <c r="C55" s="182"/>
      <c r="D55" s="182"/>
      <c r="E55" s="182"/>
      <c r="F55" s="184"/>
      <c r="H55" s="196" t="str">
        <f>IF(IF($C$24&gt;0,C$26&lt;=60%,$P$27&gt;0),"🙂",IF(MAX($C$24,$P$27)=0,"","🙁"))</f>
        <v/>
      </c>
      <c r="I55" s="193" t="str">
        <f>"8. Maximum average AMI of the Qualifying Housing Credit Units for Average Income Test:  "&amp;IF(C$24=0,"This criteria does not pertain to the 20% @ 50% AMI or the 40% @ 60% AMI IRC Minimum HC Set-Aside Commitments chart.","The IRC requires the average AMI of all HC units in the AIT criteria to be 60% or less.  The AIT chart indicates an average of "&amp;TEXT(C$26,"0.00%")&amp;", which "&amp;IF(C$26&lt;=60%,"meets","does NOT meet")&amp;" the IRC maximum requirements.")</f>
        <v>8. Maximum average AMI of the Qualifying Housing Credit Units for Average Income Test:  This criteria does not pertain to the 20% @ 50% AMI or the 40% @ 60% AMI IRC Minimum HC Set-Aside Commitments chart.</v>
      </c>
      <c r="J55" s="193"/>
      <c r="K55" s="193"/>
      <c r="L55" s="193"/>
      <c r="M55" s="193"/>
      <c r="N55" s="199" t="str">
        <f>IF(IF($C$24&gt;0,C$26&lt;=60%,$P$27&gt;0),"C",IF(MAX($C$24,$P$27)=0,"","D"))</f>
        <v/>
      </c>
    </row>
    <row r="56" spans="1:23" s="31" customFormat="1" ht="21.9" customHeight="1" x14ac:dyDescent="0.35">
      <c r="B56" s="179" t="s">
        <v>139</v>
      </c>
      <c r="C56" s="180"/>
      <c r="D56" s="180"/>
      <c r="E56" s="180"/>
      <c r="F56" s="183">
        <v>0.55000000000000004</v>
      </c>
      <c r="H56" s="197"/>
      <c r="I56" s="194"/>
      <c r="J56" s="194"/>
      <c r="K56" s="194"/>
      <c r="L56" s="194"/>
      <c r="M56" s="194"/>
      <c r="N56" s="200"/>
      <c r="P56" s="154"/>
    </row>
    <row r="57" spans="1:23" s="31" customFormat="1" ht="21.9" customHeight="1" x14ac:dyDescent="0.35">
      <c r="B57" s="181"/>
      <c r="C57" s="182"/>
      <c r="D57" s="182"/>
      <c r="E57" s="182"/>
      <c r="F57" s="184"/>
      <c r="H57" s="197"/>
      <c r="I57" s="194"/>
      <c r="J57" s="194"/>
      <c r="K57" s="194"/>
      <c r="L57" s="194"/>
      <c r="M57" s="194"/>
      <c r="N57" s="200"/>
    </row>
    <row r="58" spans="1:23" s="31" customFormat="1" ht="21.9" customHeight="1" x14ac:dyDescent="0.35">
      <c r="B58" s="168" t="str">
        <f>"*(The maximum % for the combined totals of the 40% AMI and 50% AMI units is 35%.)"</f>
        <v>*(The maximum % for the combined totals of the 40% AMI and 50% AMI units is 35%.)</v>
      </c>
      <c r="C58" s="169"/>
      <c r="D58" s="169"/>
      <c r="E58" s="169"/>
      <c r="F58" s="170"/>
      <c r="H58" s="197"/>
      <c r="I58" s="194"/>
      <c r="J58" s="194"/>
      <c r="K58" s="194"/>
      <c r="L58" s="194"/>
      <c r="M58" s="194"/>
      <c r="N58" s="200"/>
      <c r="P58" s="154"/>
    </row>
    <row r="59" spans="1:23" s="31" customFormat="1" ht="21.9" customHeight="1" thickBot="1" x14ac:dyDescent="0.4">
      <c r="B59" s="174"/>
      <c r="C59" s="175"/>
      <c r="D59" s="175"/>
      <c r="E59" s="175"/>
      <c r="F59" s="176"/>
      <c r="H59" s="198"/>
      <c r="I59" s="195"/>
      <c r="J59" s="195"/>
      <c r="K59" s="195"/>
      <c r="L59" s="195"/>
      <c r="M59" s="195"/>
      <c r="N59" s="201"/>
      <c r="P59" s="154"/>
    </row>
    <row r="60" spans="1:23" s="31" customFormat="1" ht="18" customHeight="1" x14ac:dyDescent="0.35">
      <c r="B60" s="168" t="str">
        <f>"**The total % of units at or below 60% AMI must range from "&amp;TEXT($F$30,"0%")&amp;" - "&amp;TEXT($F$31,"0%")&amp;"."</f>
        <v>**The total % of units at or below 60% AMI must range from 45% - 50%.</v>
      </c>
      <c r="C60" s="169"/>
      <c r="D60" s="169"/>
      <c r="E60" s="169"/>
      <c r="F60" s="170"/>
      <c r="P60" s="154"/>
    </row>
    <row r="61" spans="1:23" s="31" customFormat="1" ht="18" customHeight="1" x14ac:dyDescent="0.35">
      <c r="B61" s="174"/>
      <c r="C61" s="175"/>
      <c r="D61" s="175"/>
      <c r="E61" s="175"/>
      <c r="F61" s="176"/>
      <c r="P61" s="154"/>
    </row>
    <row r="62" spans="1:23" s="31" customFormat="1" ht="18" customHeight="1" x14ac:dyDescent="0.35">
      <c r="B62" s="168" t="str">
        <f>"***The total % of units that will be Joint HC/Workforce units must range from "&amp;TEXT($F$33,"0%")&amp;" - "&amp;TEXT($F$34,"0%")&amp;"."</f>
        <v>***The total % of units that will be Joint HC/Workforce units must range from 50% - 55%.</v>
      </c>
      <c r="C62" s="169"/>
      <c r="D62" s="169"/>
      <c r="E62" s="169"/>
      <c r="F62" s="170"/>
      <c r="P62" s="154"/>
    </row>
    <row r="63" spans="1:23" s="31" customFormat="1" ht="18" customHeight="1" x14ac:dyDescent="0.35">
      <c r="B63" s="174"/>
      <c r="C63" s="175"/>
      <c r="D63" s="175"/>
      <c r="E63" s="175"/>
      <c r="F63" s="176"/>
      <c r="P63" s="154"/>
    </row>
    <row r="64" spans="1:23" s="31" customFormat="1" ht="18" customHeight="1" x14ac:dyDescent="0.35">
      <c r="B64" s="168" t="str">
        <f>"  The above example has a total of "&amp;TEXT(SUM(A43:A49),"0")&amp;" units of which the "&amp;TEXT(SUM(A43:A48),"0")&amp;" HC units have an average AMI of "&amp;TEXT(IF(SUM(A43:A48)=0,0,SUMPRODUCT(A43:A48,B17:B22)/SUM(A43:A48)),"0.00%")&amp;"."</f>
        <v xml:space="preserve">  The above example has a total of 0 units of which the 0 HC units have an average AMI of 0.00%.</v>
      </c>
      <c r="C64" s="169"/>
      <c r="D64" s="169"/>
      <c r="E64" s="169"/>
      <c r="F64" s="170"/>
      <c r="P64" s="154"/>
    </row>
    <row r="65" spans="2:16" s="31" customFormat="1" ht="18" customHeight="1" x14ac:dyDescent="0.35">
      <c r="B65" s="171"/>
      <c r="C65" s="172"/>
      <c r="D65" s="172"/>
      <c r="E65" s="172"/>
      <c r="F65" s="173"/>
      <c r="P65" s="154"/>
    </row>
    <row r="66" spans="2:16" s="31" customFormat="1" ht="18" customHeight="1" x14ac:dyDescent="0.35">
      <c r="P66" s="154"/>
    </row>
    <row r="67" spans="2:16" s="31" customFormat="1" ht="18" customHeight="1" x14ac:dyDescent="0.35"/>
    <row r="68" spans="2:16" s="31" customFormat="1" ht="18" customHeight="1" x14ac:dyDescent="0.35"/>
    <row r="69" spans="2:16" s="31" customFormat="1" x14ac:dyDescent="0.35">
      <c r="B69" s="164"/>
      <c r="C69" s="164"/>
      <c r="D69" s="164"/>
      <c r="E69" s="164"/>
      <c r="F69" s="164"/>
    </row>
    <row r="70" spans="2:16" s="31" customFormat="1" x14ac:dyDescent="0.35"/>
    <row r="71" spans="2:16" s="31" customFormat="1" x14ac:dyDescent="0.35">
      <c r="G71" s="154"/>
    </row>
    <row r="72" spans="2:16" s="31" customFormat="1" x14ac:dyDescent="0.35">
      <c r="G72" s="154"/>
    </row>
    <row r="73" spans="2:16" s="31" customFormat="1" x14ac:dyDescent="0.35">
      <c r="G73" s="154"/>
    </row>
    <row r="74" spans="2:16" s="31" customFormat="1" x14ac:dyDescent="0.35"/>
    <row r="75" spans="2:16" s="31" customFormat="1" x14ac:dyDescent="0.35"/>
    <row r="76" spans="2:16" s="31" customFormat="1" x14ac:dyDescent="0.35"/>
    <row r="77" spans="2:16" s="31" customFormat="1" x14ac:dyDescent="0.35"/>
    <row r="78" spans="2:16" s="31" customFormat="1" x14ac:dyDescent="0.35"/>
    <row r="79" spans="2:16" s="31" customFormat="1" x14ac:dyDescent="0.35"/>
    <row r="80" spans="2:16" s="31" customFormat="1" x14ac:dyDescent="0.35"/>
    <row r="81" s="31" customFormat="1" x14ac:dyDescent="0.35"/>
    <row r="82" s="31" customFormat="1" x14ac:dyDescent="0.35"/>
    <row r="83" s="31" customFormat="1" x14ac:dyDescent="0.35"/>
    <row r="84" s="31" customFormat="1" x14ac:dyDescent="0.35"/>
    <row r="85" s="31" customFormat="1" x14ac:dyDescent="0.35"/>
    <row r="86" s="31" customFormat="1" x14ac:dyDescent="0.35"/>
    <row r="87" s="31" customFormat="1" x14ac:dyDescent="0.35"/>
    <row r="88" s="31" customFormat="1" x14ac:dyDescent="0.35"/>
    <row r="89" s="31" customFormat="1" x14ac:dyDescent="0.35"/>
    <row r="90" s="31" customFormat="1" x14ac:dyDescent="0.35"/>
    <row r="91" s="31" customFormat="1" x14ac:dyDescent="0.35"/>
    <row r="92" s="31" customFormat="1" x14ac:dyDescent="0.35"/>
    <row r="93" s="31" customFormat="1" x14ac:dyDescent="0.35"/>
    <row r="94" s="31" customFormat="1" x14ac:dyDescent="0.35"/>
    <row r="95" s="31" customFormat="1" x14ac:dyDescent="0.35"/>
    <row r="96" s="31" customFormat="1" x14ac:dyDescent="0.35"/>
    <row r="97" spans="2:6" s="31" customFormat="1" x14ac:dyDescent="0.35"/>
    <row r="98" spans="2:6" s="31" customFormat="1" x14ac:dyDescent="0.35"/>
    <row r="99" spans="2:6" s="31" customFormat="1" x14ac:dyDescent="0.35"/>
    <row r="100" spans="2:6" s="31" customFormat="1" x14ac:dyDescent="0.35">
      <c r="B100" s="106"/>
      <c r="C100" s="111" t="s">
        <v>37</v>
      </c>
      <c r="D100" s="112" t="s">
        <v>146</v>
      </c>
      <c r="E100" s="111" t="s">
        <v>37</v>
      </c>
      <c r="F100" s="112" t="s">
        <v>146</v>
      </c>
    </row>
    <row r="101" spans="2:6" s="31" customFormat="1" x14ac:dyDescent="0.35">
      <c r="B101" s="107" t="s">
        <v>16</v>
      </c>
      <c r="C101" s="113" t="s">
        <v>107</v>
      </c>
      <c r="D101" s="117"/>
      <c r="E101" s="113" t="s">
        <v>107</v>
      </c>
      <c r="F101" s="117"/>
    </row>
    <row r="102" spans="2:6" s="31" customFormat="1" x14ac:dyDescent="0.35">
      <c r="B102" s="108" t="s">
        <v>21</v>
      </c>
      <c r="C102" s="113" t="s">
        <v>43</v>
      </c>
      <c r="D102" s="114">
        <v>0.25</v>
      </c>
      <c r="E102" s="113" t="s">
        <v>38</v>
      </c>
      <c r="F102" s="114">
        <v>0.33</v>
      </c>
    </row>
    <row r="103" spans="2:6" s="31" customFormat="1" x14ac:dyDescent="0.35">
      <c r="B103" s="107" t="s">
        <v>22</v>
      </c>
      <c r="C103" s="113" t="s">
        <v>80</v>
      </c>
      <c r="D103" s="114">
        <v>0.25</v>
      </c>
      <c r="E103" s="113" t="s">
        <v>39</v>
      </c>
      <c r="F103" s="114">
        <v>0.33</v>
      </c>
    </row>
    <row r="104" spans="2:6" s="31" customFormat="1" ht="16.5" x14ac:dyDescent="0.35">
      <c r="B104" s="109" t="s">
        <v>23</v>
      </c>
      <c r="C104" s="113" t="s">
        <v>81</v>
      </c>
      <c r="D104" s="114">
        <v>0.25</v>
      </c>
      <c r="E104" s="113" t="s">
        <v>40</v>
      </c>
      <c r="F104" s="114">
        <v>0.33</v>
      </c>
    </row>
    <row r="105" spans="2:6" s="31" customFormat="1" ht="16.5" x14ac:dyDescent="0.35">
      <c r="B105" s="110" t="s">
        <v>24</v>
      </c>
      <c r="C105" s="113"/>
      <c r="D105" s="114"/>
      <c r="E105" s="113" t="s">
        <v>41</v>
      </c>
      <c r="F105" s="114">
        <v>0.4</v>
      </c>
    </row>
    <row r="106" spans="2:6" s="31" customFormat="1" x14ac:dyDescent="0.35">
      <c r="B106" s="177"/>
      <c r="C106" s="157"/>
      <c r="D106" s="114"/>
      <c r="E106" s="157" t="s">
        <v>42</v>
      </c>
      <c r="F106" s="114">
        <v>0.33</v>
      </c>
    </row>
    <row r="107" spans="2:6" s="31" customFormat="1" x14ac:dyDescent="0.35">
      <c r="B107" s="178"/>
      <c r="C107" s="157"/>
      <c r="D107" s="114"/>
      <c r="E107" s="157" t="s">
        <v>43</v>
      </c>
      <c r="F107" s="114">
        <v>0.25</v>
      </c>
    </row>
    <row r="108" spans="2:6" s="31" customFormat="1" x14ac:dyDescent="0.35">
      <c r="B108" s="178"/>
      <c r="C108" s="157"/>
      <c r="D108" s="114"/>
      <c r="E108" s="157" t="s">
        <v>44</v>
      </c>
      <c r="F108" s="114">
        <v>0.4</v>
      </c>
    </row>
    <row r="109" spans="2:6" s="31" customFormat="1" x14ac:dyDescent="0.35">
      <c r="B109" s="117"/>
      <c r="C109" s="157"/>
      <c r="D109" s="114"/>
      <c r="E109" s="157" t="s">
        <v>45</v>
      </c>
      <c r="F109" s="114">
        <v>0.4</v>
      </c>
    </row>
    <row r="110" spans="2:6" s="31" customFormat="1" x14ac:dyDescent="0.35">
      <c r="C110" s="113"/>
      <c r="D110" s="114"/>
      <c r="E110" s="113" t="s">
        <v>46</v>
      </c>
      <c r="F110" s="114">
        <v>0.4</v>
      </c>
    </row>
    <row r="111" spans="2:6" s="31" customFormat="1" x14ac:dyDescent="0.35">
      <c r="C111" s="113"/>
      <c r="D111" s="114"/>
      <c r="E111" s="113" t="s">
        <v>47</v>
      </c>
      <c r="F111" s="114">
        <v>0.3</v>
      </c>
    </row>
    <row r="112" spans="2:6" s="31" customFormat="1" x14ac:dyDescent="0.35">
      <c r="C112" s="113"/>
      <c r="D112" s="114"/>
      <c r="E112" s="113" t="s">
        <v>48</v>
      </c>
      <c r="F112" s="114">
        <v>0.28000000000000003</v>
      </c>
    </row>
    <row r="113" spans="3:6" s="31" customFormat="1" x14ac:dyDescent="0.35">
      <c r="C113" s="113"/>
      <c r="D113" s="114"/>
      <c r="E113" s="113" t="s">
        <v>49</v>
      </c>
      <c r="F113" s="114">
        <v>0.4</v>
      </c>
    </row>
    <row r="114" spans="3:6" s="31" customFormat="1" x14ac:dyDescent="0.35">
      <c r="C114" s="113"/>
      <c r="D114" s="114"/>
      <c r="E114" s="113" t="s">
        <v>50</v>
      </c>
      <c r="F114" s="114">
        <v>0.4</v>
      </c>
    </row>
    <row r="115" spans="3:6" s="31" customFormat="1" x14ac:dyDescent="0.35">
      <c r="C115" s="113"/>
      <c r="D115" s="114"/>
      <c r="E115" s="113" t="s">
        <v>51</v>
      </c>
      <c r="F115" s="114">
        <v>0.4</v>
      </c>
    </row>
    <row r="116" spans="3:6" s="31" customFormat="1" x14ac:dyDescent="0.35">
      <c r="C116" s="113"/>
      <c r="D116" s="114"/>
      <c r="E116" s="113" t="s">
        <v>52</v>
      </c>
      <c r="F116" s="114">
        <v>0.3</v>
      </c>
    </row>
    <row r="117" spans="3:6" s="31" customFormat="1" x14ac:dyDescent="0.35">
      <c r="C117" s="113"/>
      <c r="D117" s="114"/>
      <c r="E117" s="113" t="s">
        <v>53</v>
      </c>
      <c r="F117" s="114">
        <v>0.35</v>
      </c>
    </row>
    <row r="118" spans="3:6" s="31" customFormat="1" x14ac:dyDescent="0.35">
      <c r="C118" s="113"/>
      <c r="D118" s="114"/>
      <c r="E118" s="113" t="s">
        <v>54</v>
      </c>
      <c r="F118" s="114">
        <v>0.35</v>
      </c>
    </row>
    <row r="119" spans="3:6" s="31" customFormat="1" x14ac:dyDescent="0.35">
      <c r="C119" s="113"/>
      <c r="D119" s="114"/>
      <c r="E119" s="113" t="s">
        <v>55</v>
      </c>
      <c r="F119" s="114">
        <v>0.4</v>
      </c>
    </row>
    <row r="120" spans="3:6" s="31" customFormat="1" x14ac:dyDescent="0.35">
      <c r="C120" s="113"/>
      <c r="D120" s="114"/>
      <c r="E120" s="113" t="s">
        <v>56</v>
      </c>
      <c r="F120" s="114">
        <v>0.33</v>
      </c>
    </row>
    <row r="121" spans="3:6" s="31" customFormat="1" x14ac:dyDescent="0.35">
      <c r="C121" s="113"/>
      <c r="D121" s="114"/>
      <c r="E121" s="113" t="s">
        <v>57</v>
      </c>
      <c r="F121" s="114">
        <v>0.33</v>
      </c>
    </row>
    <row r="122" spans="3:6" s="31" customFormat="1" x14ac:dyDescent="0.35">
      <c r="C122" s="113"/>
      <c r="D122" s="114"/>
      <c r="E122" s="113" t="s">
        <v>58</v>
      </c>
      <c r="F122" s="114">
        <v>0.4</v>
      </c>
    </row>
    <row r="123" spans="3:6" s="31" customFormat="1" x14ac:dyDescent="0.35">
      <c r="C123" s="113"/>
      <c r="D123" s="114"/>
      <c r="E123" s="113" t="s">
        <v>59</v>
      </c>
      <c r="F123" s="114">
        <v>0.4</v>
      </c>
    </row>
    <row r="124" spans="3:6" s="31" customFormat="1" x14ac:dyDescent="0.35">
      <c r="C124" s="113"/>
      <c r="D124" s="114"/>
      <c r="E124" s="113" t="s">
        <v>60</v>
      </c>
      <c r="F124" s="114">
        <v>0.4</v>
      </c>
    </row>
    <row r="125" spans="3:6" s="31" customFormat="1" x14ac:dyDescent="0.35">
      <c r="C125" s="113"/>
      <c r="D125" s="114"/>
      <c r="E125" s="113" t="s">
        <v>61</v>
      </c>
      <c r="F125" s="114">
        <v>0.4</v>
      </c>
    </row>
    <row r="126" spans="3:6" s="31" customFormat="1" x14ac:dyDescent="0.35">
      <c r="C126" s="113"/>
      <c r="D126" s="114"/>
      <c r="E126" s="113" t="s">
        <v>62</v>
      </c>
      <c r="F126" s="114">
        <v>0.4</v>
      </c>
    </row>
    <row r="127" spans="3:6" s="31" customFormat="1" x14ac:dyDescent="0.35">
      <c r="C127" s="113"/>
      <c r="D127" s="114"/>
      <c r="E127" s="113" t="s">
        <v>63</v>
      </c>
      <c r="F127" s="114">
        <v>0.33</v>
      </c>
    </row>
    <row r="128" spans="3:6" s="31" customFormat="1" x14ac:dyDescent="0.35">
      <c r="C128" s="113"/>
      <c r="D128" s="114"/>
      <c r="E128" s="113" t="s">
        <v>64</v>
      </c>
      <c r="F128" s="114">
        <v>0.4</v>
      </c>
    </row>
    <row r="129" spans="3:6" s="31" customFormat="1" x14ac:dyDescent="0.35">
      <c r="C129" s="113"/>
      <c r="D129" s="114"/>
      <c r="E129" s="113" t="s">
        <v>65</v>
      </c>
      <c r="F129" s="114">
        <v>0.33</v>
      </c>
    </row>
    <row r="130" spans="3:6" s="31" customFormat="1" x14ac:dyDescent="0.35">
      <c r="C130" s="113"/>
      <c r="D130" s="114"/>
      <c r="E130" s="113" t="s">
        <v>66</v>
      </c>
      <c r="F130" s="114">
        <v>0.4</v>
      </c>
    </row>
    <row r="131" spans="3:6" s="31" customFormat="1" x14ac:dyDescent="0.35">
      <c r="C131" s="113"/>
      <c r="D131" s="114"/>
      <c r="E131" s="113" t="s">
        <v>67</v>
      </c>
      <c r="F131" s="114">
        <v>0.33</v>
      </c>
    </row>
    <row r="132" spans="3:6" s="31" customFormat="1" x14ac:dyDescent="0.35">
      <c r="C132" s="113"/>
      <c r="D132" s="114"/>
      <c r="E132" s="113" t="s">
        <v>68</v>
      </c>
      <c r="F132" s="114">
        <v>0.4</v>
      </c>
    </row>
    <row r="133" spans="3:6" s="31" customFormat="1" x14ac:dyDescent="0.35">
      <c r="C133" s="113"/>
      <c r="D133" s="114"/>
      <c r="E133" s="113" t="s">
        <v>69</v>
      </c>
      <c r="F133" s="114">
        <v>0.33</v>
      </c>
    </row>
    <row r="134" spans="3:6" s="31" customFormat="1" x14ac:dyDescent="0.35">
      <c r="C134" s="113"/>
      <c r="D134" s="114"/>
      <c r="E134" s="113" t="s">
        <v>70</v>
      </c>
      <c r="F134" s="114">
        <v>0.4</v>
      </c>
    </row>
    <row r="135" spans="3:6" s="31" customFormat="1" x14ac:dyDescent="0.35">
      <c r="C135" s="113"/>
      <c r="D135" s="114"/>
      <c r="E135" s="113" t="s">
        <v>71</v>
      </c>
      <c r="F135" s="114">
        <v>0.33</v>
      </c>
    </row>
    <row r="136" spans="3:6" s="31" customFormat="1" x14ac:dyDescent="0.35">
      <c r="C136" s="113"/>
      <c r="D136" s="114"/>
      <c r="E136" s="113" t="s">
        <v>72</v>
      </c>
      <c r="F136" s="114">
        <v>0.33</v>
      </c>
    </row>
    <row r="137" spans="3:6" s="31" customFormat="1" x14ac:dyDescent="0.35">
      <c r="C137" s="113"/>
      <c r="D137" s="114"/>
      <c r="E137" s="113" t="s">
        <v>73</v>
      </c>
      <c r="F137" s="114">
        <v>0.33</v>
      </c>
    </row>
    <row r="138" spans="3:6" s="31" customFormat="1" x14ac:dyDescent="0.35">
      <c r="C138" s="113"/>
      <c r="D138" s="114"/>
      <c r="E138" s="113" t="s">
        <v>74</v>
      </c>
      <c r="F138" s="114">
        <v>0.4</v>
      </c>
    </row>
    <row r="139" spans="3:6" s="31" customFormat="1" x14ac:dyDescent="0.35">
      <c r="C139" s="113"/>
      <c r="D139" s="114"/>
      <c r="E139" s="113" t="s">
        <v>75</v>
      </c>
      <c r="F139" s="114">
        <v>0.4</v>
      </c>
    </row>
    <row r="140" spans="3:6" s="31" customFormat="1" x14ac:dyDescent="0.35">
      <c r="C140" s="113"/>
      <c r="D140" s="114"/>
      <c r="E140" s="113" t="s">
        <v>76</v>
      </c>
      <c r="F140" s="114">
        <v>0.4</v>
      </c>
    </row>
    <row r="141" spans="3:6" s="31" customFormat="1" x14ac:dyDescent="0.35">
      <c r="C141" s="113"/>
      <c r="D141" s="114"/>
      <c r="E141" s="113" t="s">
        <v>77</v>
      </c>
      <c r="F141" s="114">
        <v>0.3</v>
      </c>
    </row>
    <row r="142" spans="3:6" s="31" customFormat="1" x14ac:dyDescent="0.35">
      <c r="C142" s="113"/>
      <c r="D142" s="114"/>
      <c r="E142" s="113" t="s">
        <v>78</v>
      </c>
      <c r="F142" s="114">
        <v>0.4</v>
      </c>
    </row>
    <row r="143" spans="3:6" s="31" customFormat="1" x14ac:dyDescent="0.35">
      <c r="C143" s="113"/>
      <c r="D143" s="114"/>
      <c r="E143" s="113" t="s">
        <v>79</v>
      </c>
      <c r="F143" s="114">
        <v>0.33</v>
      </c>
    </row>
    <row r="144" spans="3:6" s="31" customFormat="1" x14ac:dyDescent="0.35">
      <c r="C144" s="113"/>
      <c r="D144" s="114"/>
      <c r="E144" s="113" t="s">
        <v>80</v>
      </c>
      <c r="F144" s="114">
        <v>0.25</v>
      </c>
    </row>
    <row r="145" spans="3:6" s="31" customFormat="1" x14ac:dyDescent="0.35">
      <c r="C145" s="113"/>
      <c r="D145" s="114"/>
      <c r="E145" s="113" t="s">
        <v>81</v>
      </c>
      <c r="F145" s="114">
        <v>0.25</v>
      </c>
    </row>
    <row r="146" spans="3:6" s="31" customFormat="1" x14ac:dyDescent="0.35">
      <c r="C146" s="113"/>
      <c r="D146" s="114"/>
      <c r="E146" s="113" t="s">
        <v>82</v>
      </c>
      <c r="F146" s="114">
        <v>0.3</v>
      </c>
    </row>
    <row r="147" spans="3:6" s="31" customFormat="1" x14ac:dyDescent="0.35">
      <c r="C147" s="113"/>
      <c r="D147" s="114"/>
      <c r="E147" s="113" t="s">
        <v>83</v>
      </c>
      <c r="F147" s="114">
        <v>0.3</v>
      </c>
    </row>
    <row r="148" spans="3:6" s="31" customFormat="1" x14ac:dyDescent="0.35">
      <c r="C148" s="113"/>
      <c r="D148" s="114"/>
      <c r="E148" s="113" t="s">
        <v>84</v>
      </c>
      <c r="F148" s="114">
        <v>0.4</v>
      </c>
    </row>
    <row r="149" spans="3:6" s="31" customFormat="1" x14ac:dyDescent="0.35">
      <c r="C149" s="113"/>
      <c r="D149" s="114"/>
      <c r="E149" s="113" t="s">
        <v>85</v>
      </c>
      <c r="F149" s="114">
        <v>0.33</v>
      </c>
    </row>
    <row r="150" spans="3:6" s="31" customFormat="1" x14ac:dyDescent="0.35">
      <c r="C150" s="113"/>
      <c r="D150" s="114"/>
      <c r="E150" s="113" t="s">
        <v>86</v>
      </c>
      <c r="F150" s="114">
        <v>0.33</v>
      </c>
    </row>
    <row r="151" spans="3:6" s="31" customFormat="1" x14ac:dyDescent="0.35">
      <c r="C151" s="113"/>
      <c r="D151" s="114"/>
      <c r="E151" s="113" t="s">
        <v>87</v>
      </c>
      <c r="F151" s="114">
        <v>0.28000000000000003</v>
      </c>
    </row>
    <row r="152" spans="3:6" s="31" customFormat="1" x14ac:dyDescent="0.35">
      <c r="C152" s="113"/>
      <c r="D152" s="114"/>
      <c r="E152" s="113" t="s">
        <v>88</v>
      </c>
      <c r="F152" s="114">
        <v>0.33</v>
      </c>
    </row>
    <row r="153" spans="3:6" s="31" customFormat="1" x14ac:dyDescent="0.35">
      <c r="C153" s="113"/>
      <c r="D153" s="114"/>
      <c r="E153" s="113" t="s">
        <v>89</v>
      </c>
      <c r="F153" s="114">
        <v>0.33</v>
      </c>
    </row>
    <row r="154" spans="3:6" s="31" customFormat="1" x14ac:dyDescent="0.35">
      <c r="C154" s="113"/>
      <c r="D154" s="114"/>
      <c r="E154" s="113" t="s">
        <v>90</v>
      </c>
      <c r="F154" s="114">
        <v>0.4</v>
      </c>
    </row>
    <row r="155" spans="3:6" s="31" customFormat="1" x14ac:dyDescent="0.35">
      <c r="C155" s="113"/>
      <c r="D155" s="114"/>
      <c r="E155" s="113" t="s">
        <v>91</v>
      </c>
      <c r="F155" s="114">
        <v>0.4</v>
      </c>
    </row>
    <row r="156" spans="3:6" s="31" customFormat="1" x14ac:dyDescent="0.35">
      <c r="C156" s="113"/>
      <c r="D156" s="114"/>
      <c r="E156" s="113" t="s">
        <v>92</v>
      </c>
      <c r="F156" s="114">
        <v>0.3</v>
      </c>
    </row>
    <row r="157" spans="3:6" s="31" customFormat="1" x14ac:dyDescent="0.35">
      <c r="C157" s="113"/>
      <c r="D157" s="114"/>
      <c r="E157" s="113" t="s">
        <v>93</v>
      </c>
      <c r="F157" s="114">
        <v>0.33</v>
      </c>
    </row>
    <row r="158" spans="3:6" s="31" customFormat="1" x14ac:dyDescent="0.35">
      <c r="C158" s="113"/>
      <c r="D158" s="114"/>
      <c r="E158" s="113" t="s">
        <v>94</v>
      </c>
      <c r="F158" s="114">
        <v>0.35</v>
      </c>
    </row>
    <row r="159" spans="3:6" s="31" customFormat="1" x14ac:dyDescent="0.35">
      <c r="C159" s="113"/>
      <c r="D159" s="114"/>
      <c r="E159" s="113" t="s">
        <v>95</v>
      </c>
      <c r="F159" s="114">
        <v>0.3</v>
      </c>
    </row>
    <row r="160" spans="3:6" s="31" customFormat="1" x14ac:dyDescent="0.35">
      <c r="C160" s="113"/>
      <c r="D160" s="114"/>
      <c r="E160" s="113" t="s">
        <v>96</v>
      </c>
      <c r="F160" s="114">
        <v>0.33</v>
      </c>
    </row>
    <row r="161" spans="3:6" s="31" customFormat="1" x14ac:dyDescent="0.35">
      <c r="C161" s="113"/>
      <c r="D161" s="114"/>
      <c r="E161" s="113" t="s">
        <v>97</v>
      </c>
      <c r="F161" s="114">
        <v>0.33</v>
      </c>
    </row>
    <row r="162" spans="3:6" s="31" customFormat="1" x14ac:dyDescent="0.35">
      <c r="C162" s="113"/>
      <c r="D162" s="114"/>
      <c r="E162" s="113" t="s">
        <v>98</v>
      </c>
      <c r="F162" s="114">
        <v>0.4</v>
      </c>
    </row>
    <row r="163" spans="3:6" s="31" customFormat="1" x14ac:dyDescent="0.35">
      <c r="C163" s="113"/>
      <c r="D163" s="114"/>
      <c r="E163" s="113" t="s">
        <v>99</v>
      </c>
      <c r="F163" s="114">
        <v>0.4</v>
      </c>
    </row>
    <row r="164" spans="3:6" s="31" customFormat="1" x14ac:dyDescent="0.35">
      <c r="C164" s="113"/>
      <c r="D164" s="114"/>
      <c r="E164" s="113" t="s">
        <v>100</v>
      </c>
      <c r="F164" s="114">
        <v>0.4</v>
      </c>
    </row>
    <row r="165" spans="3:6" s="31" customFormat="1" x14ac:dyDescent="0.35">
      <c r="C165" s="113"/>
      <c r="D165" s="114"/>
      <c r="E165" s="113" t="s">
        <v>101</v>
      </c>
      <c r="F165" s="114">
        <v>0.35</v>
      </c>
    </row>
    <row r="166" spans="3:6" s="31" customFormat="1" x14ac:dyDescent="0.35">
      <c r="C166" s="113"/>
      <c r="D166" s="114"/>
      <c r="E166" s="113" t="s">
        <v>102</v>
      </c>
      <c r="F166" s="114">
        <v>0.33</v>
      </c>
    </row>
    <row r="167" spans="3:6" s="31" customFormat="1" x14ac:dyDescent="0.35">
      <c r="C167" s="113"/>
      <c r="D167" s="114"/>
      <c r="E167" s="113" t="s">
        <v>103</v>
      </c>
      <c r="F167" s="114">
        <v>0.35</v>
      </c>
    </row>
    <row r="168" spans="3:6" s="31" customFormat="1" x14ac:dyDescent="0.35">
      <c r="C168" s="115"/>
      <c r="D168" s="116"/>
      <c r="E168" s="115" t="s">
        <v>104</v>
      </c>
      <c r="F168" s="116">
        <v>0.4</v>
      </c>
    </row>
    <row r="169" spans="3:6" s="31" customFormat="1" x14ac:dyDescent="0.35"/>
  </sheetData>
  <sheetProtection algorithmName="SHA-512" hashValue="bcoxOd4/URheImFmORA0EHBWOv74N2Ti5yLvDqlL/7HIsDWONGWR3ZcQKptpM6vkVD/z6flpcEOq6Q4Xgzpmkw==" saltValue="whJ9wEXz+eRUAnBw0TjSEQ==" spinCount="100000" sheet="1" objects="1" scenarios="1"/>
  <mergeCells count="68">
    <mergeCell ref="A8:W8"/>
    <mergeCell ref="A9:W9"/>
    <mergeCell ref="B28:E28"/>
    <mergeCell ref="O29:S29"/>
    <mergeCell ref="A13:L13"/>
    <mergeCell ref="O13:R13"/>
    <mergeCell ref="D26:G26"/>
    <mergeCell ref="B11:F11"/>
    <mergeCell ref="H11:L11"/>
    <mergeCell ref="I27:M27"/>
    <mergeCell ref="G16:G20"/>
    <mergeCell ref="E15:G15"/>
    <mergeCell ref="A21:A22"/>
    <mergeCell ref="A16:A20"/>
    <mergeCell ref="G21:G22"/>
    <mergeCell ref="F16:F20"/>
    <mergeCell ref="A5:W5"/>
    <mergeCell ref="A4:W4"/>
    <mergeCell ref="A3:W3"/>
    <mergeCell ref="A6:W6"/>
    <mergeCell ref="A7:W7"/>
    <mergeCell ref="H31:H33"/>
    <mergeCell ref="N31:N33"/>
    <mergeCell ref="I31:M33"/>
    <mergeCell ref="H28:H30"/>
    <mergeCell ref="N28:N30"/>
    <mergeCell ref="I28:M30"/>
    <mergeCell ref="F21:F22"/>
    <mergeCell ref="E16:E17"/>
    <mergeCell ref="E18:E22"/>
    <mergeCell ref="V16:V24"/>
    <mergeCell ref="V25:V26"/>
    <mergeCell ref="J21:J23"/>
    <mergeCell ref="E24:F24"/>
    <mergeCell ref="H34:H37"/>
    <mergeCell ref="N34:N37"/>
    <mergeCell ref="I34:M37"/>
    <mergeCell ref="H38:H41"/>
    <mergeCell ref="N38:N41"/>
    <mergeCell ref="I38:M41"/>
    <mergeCell ref="P41:T42"/>
    <mergeCell ref="N47:N50"/>
    <mergeCell ref="I55:M59"/>
    <mergeCell ref="H55:H59"/>
    <mergeCell ref="N55:N59"/>
    <mergeCell ref="N51:N54"/>
    <mergeCell ref="I51:M54"/>
    <mergeCell ref="H42:H46"/>
    <mergeCell ref="N42:N46"/>
    <mergeCell ref="I42:M46"/>
    <mergeCell ref="H47:H50"/>
    <mergeCell ref="I47:M50"/>
    <mergeCell ref="H51:H54"/>
    <mergeCell ref="B50:E51"/>
    <mergeCell ref="F50:F51"/>
    <mergeCell ref="B54:E55"/>
    <mergeCell ref="G41:G49"/>
    <mergeCell ref="B41:F42"/>
    <mergeCell ref="B64:F65"/>
    <mergeCell ref="B62:F63"/>
    <mergeCell ref="B106:B108"/>
    <mergeCell ref="B52:E53"/>
    <mergeCell ref="F52:F53"/>
    <mergeCell ref="F54:F55"/>
    <mergeCell ref="F56:F57"/>
    <mergeCell ref="B56:E57"/>
    <mergeCell ref="B58:F59"/>
    <mergeCell ref="B60:F61"/>
  </mergeCells>
  <conditionalFormatting sqref="P27 T31">
    <cfRule type="expression" dxfId="59" priority="78">
      <formula>AND($P$27&gt;0,$P$27&lt;$T$31)</formula>
    </cfRule>
    <cfRule type="expression" dxfId="58" priority="80">
      <formula>AND($P$27&gt;0,$P$27&gt;=$T$31)</formula>
    </cfRule>
  </conditionalFormatting>
  <conditionalFormatting sqref="P27 T32">
    <cfRule type="expression" dxfId="57" priority="77">
      <formula>AND($P$27&gt;0,$P$27&gt;$T$32)</formula>
    </cfRule>
    <cfRule type="expression" dxfId="56" priority="79">
      <formula>AND($P$27&gt;0,$P$27&lt;=$T$32)</formula>
    </cfRule>
  </conditionalFormatting>
  <conditionalFormatting sqref="C16:C20 G30">
    <cfRule type="expression" dxfId="55" priority="74">
      <formula>AND(SUM($C$16:$C$20)&gt;0,SUM($C$16:$C$20)&lt;$G$30)</formula>
    </cfRule>
    <cfRule type="expression" dxfId="54" priority="76">
      <formula>AND(SUM($C$16:$C$20)&gt;0,SUM($C$16:$C$20)&gt;=$G$30)</formula>
    </cfRule>
  </conditionalFormatting>
  <conditionalFormatting sqref="C16:C20 G31">
    <cfRule type="expression" dxfId="53" priority="73">
      <formula>AND(SUM($C$16:$C$20)&gt;0,SUM($C$16:$C$20)&gt;$G$31)</formula>
    </cfRule>
    <cfRule type="expression" dxfId="52" priority="75">
      <formula>AND(SUM($C$16:$C$20)&gt;0,SUM($C$16:$C$20)&lt;=$G$31)</formula>
    </cfRule>
  </conditionalFormatting>
  <conditionalFormatting sqref="B11:F11">
    <cfRule type="expression" dxfId="51" priority="64">
      <formula>$G$11&gt;0</formula>
    </cfRule>
    <cfRule type="expression" dxfId="50" priority="65">
      <formula>$G$11&lt;1</formula>
    </cfRule>
  </conditionalFormatting>
  <conditionalFormatting sqref="D26:G26">
    <cfRule type="expression" dxfId="49" priority="61">
      <formula>AND($C$26&gt;0,$C$26&lt;=60%)</formula>
    </cfRule>
    <cfRule type="expression" dxfId="48" priority="82">
      <formula>AND($C$26&gt;0,$C$26&gt;60%)</formula>
    </cfRule>
  </conditionalFormatting>
  <conditionalFormatting sqref="C26">
    <cfRule type="expression" dxfId="47" priority="59">
      <formula>AND($C$26&gt;0,$C$26&lt;=60%)</formula>
    </cfRule>
    <cfRule type="expression" dxfId="46" priority="60">
      <formula>AND($C$26&gt;0,$C$26&gt;60%)</formula>
    </cfRule>
  </conditionalFormatting>
  <conditionalFormatting sqref="K24">
    <cfRule type="expression" dxfId="45" priority="55">
      <formula>AND($G$11&gt;0,$K$24=$G$11)</formula>
    </cfRule>
    <cfRule type="expression" dxfId="44" priority="56">
      <formula>AND($G$11&gt;0,$K$24&gt;0,OR($K$24&lt;$G$11,$K$24&gt;$G$11))</formula>
    </cfRule>
  </conditionalFormatting>
  <conditionalFormatting sqref="C16:C17 G29 E16:E22">
    <cfRule type="expression" dxfId="43" priority="69">
      <formula>AND($C$16+$C$17&gt;0,$C$16+$C$17&lt;$G$29)</formula>
    </cfRule>
    <cfRule type="expression" dxfId="42" priority="70">
      <formula>AND($C$16+$C$17&gt;0,$C$16+$C$17&gt;=$G$29)</formula>
    </cfRule>
  </conditionalFormatting>
  <conditionalFormatting sqref="G33 C21:C22 F21:G22">
    <cfRule type="expression" dxfId="41" priority="72">
      <formula>AND($C$21+$C$22+$H$21+$H$22&gt;0,$C$21+$C$22+$H$21+$H$22&gt;=$G$33)</formula>
    </cfRule>
  </conditionalFormatting>
  <conditionalFormatting sqref="F16:G20">
    <cfRule type="expression" dxfId="40" priority="53">
      <formula>AND(SUM($C$16:$C$20)&gt;0,OR(SUM($C$16:$C$20)&lt;$G$30,SUM($C$16:$C$20)&gt;$G$31))</formula>
    </cfRule>
    <cfRule type="expression" dxfId="39" priority="54">
      <formula>AND(SUM($C$16:$C$20)&gt;0,SUM($C$16:$C$20)&gt;=$G$30,SUM($C$16:$C$20)&lt;=$G$31)</formula>
    </cfRule>
  </conditionalFormatting>
  <conditionalFormatting sqref="T30 P16:P24">
    <cfRule type="expression" dxfId="38" priority="175">
      <formula>AND($P$27&gt;0,$O16&lt;=VLOOKUP($M$11,ELIData,2),SUMIF($O$16:$O$21,"&lt;="&amp;VLOOKUP($M$11,ELIData,2),$P$16:$P$21)&lt;$T$30)</formula>
    </cfRule>
    <cfRule type="expression" dxfId="37" priority="176">
      <formula>AND($P$27&gt;0,$O16&lt;=VLOOKUP($M$11,ELIData,2),SUMIF($O$16:$O$21,"&lt;="&amp;VLOOKUP($M$11,ELIData,2),$P$16:$P$21)&gt;=$T$30)</formula>
    </cfRule>
  </conditionalFormatting>
  <conditionalFormatting sqref="D24:G24">
    <cfRule type="expression" dxfId="36" priority="181">
      <formula>AND($C$24&gt;0,OR($D$24&lt;$F$30+MIN($F$33,IF($D$21+$D$22=0,IF($M$11=$C$104,0,$F$33),$D$21+$D$22)),$C$24&gt;$G$31+$G$33))</formula>
    </cfRule>
    <cfRule type="expression" dxfId="35" priority="182">
      <formula>AND($C$24&gt;0,$D$24&gt;=$F$30,$C$24&lt;=$G$31+$G$33)</formula>
    </cfRule>
  </conditionalFormatting>
  <conditionalFormatting sqref="G32">
    <cfRule type="expression" dxfId="34" priority="27">
      <formula>AND(C24&gt;0,OR(G32&lt;G30,G32&gt;G31))</formula>
    </cfRule>
    <cfRule type="expression" dxfId="33" priority="28">
      <formula>AND(C24&gt;0,G32&gt;=G30,G32&lt;=G31)</formula>
    </cfRule>
  </conditionalFormatting>
  <conditionalFormatting sqref="G34 C21:C22 F21:G22">
    <cfRule type="expression" dxfId="32" priority="71">
      <formula>AND($C$21+$C$22+$H$21+$H$22&gt;0,$C$21+$C$22+$H$21+$H$22&lt;=$G$34)</formula>
    </cfRule>
  </conditionalFormatting>
  <conditionalFormatting sqref="N28 N31 N34:N35 N38:N39 N42:N44 N51:N52 N55">
    <cfRule type="cellIs" dxfId="31" priority="211" operator="equal">
      <formula>$B$103</formula>
    </cfRule>
    <cfRule type="cellIs" dxfId="30" priority="212" operator="equal">
      <formula>$B$102</formula>
    </cfRule>
  </conditionalFormatting>
  <conditionalFormatting sqref="H28 H31 H34:H35 H38:H39 H42:H44 H51:H52 H55">
    <cfRule type="cellIs" dxfId="29" priority="213" operator="equal">
      <formula>$B$105</formula>
    </cfRule>
    <cfRule type="cellIs" dxfId="28" priority="214" operator="equal">
      <formula>$B$104</formula>
    </cfRule>
  </conditionalFormatting>
  <conditionalFormatting sqref="C102:D168">
    <cfRule type="expression" dxfId="27" priority="219" stopIfTrue="1">
      <formula>COUNTA($C$102:$C102)/6=ROUND(COUNTA($C$102:$C102)/6,0)</formula>
    </cfRule>
    <cfRule type="expression" dxfId="26" priority="220">
      <formula>COUNTA($C$102:$C102)/3=ROUND(COUNTA($C$102:$C102)/3,0)</formula>
    </cfRule>
  </conditionalFormatting>
  <conditionalFormatting sqref="T13 V13">
    <cfRule type="expression" dxfId="25" priority="231">
      <formula>AND($T$13=$B$101,$V$13=$B$101)</formula>
    </cfRule>
  </conditionalFormatting>
  <conditionalFormatting sqref="P24:Q24">
    <cfRule type="expression" dxfId="24" priority="233">
      <formula>$T$13=$B$101</formula>
    </cfRule>
  </conditionalFormatting>
  <conditionalFormatting sqref="O16:O24">
    <cfRule type="expression" dxfId="23" priority="234">
      <formula>$O16&lt;=VLOOKUP($M$11,$C$101:$D$168,2)</formula>
    </cfRule>
  </conditionalFormatting>
  <conditionalFormatting sqref="H11:L11">
    <cfRule type="expression" dxfId="22" priority="235">
      <formula>$M$11&lt;&gt;$C$101</formula>
    </cfRule>
    <cfRule type="expression" dxfId="21" priority="236">
      <formula>$M$11=$C$101</formula>
    </cfRule>
  </conditionalFormatting>
  <conditionalFormatting sqref="H23 R26">
    <cfRule type="expression" dxfId="20" priority="251">
      <formula>$M$11&lt;&gt;$C$104</formula>
    </cfRule>
  </conditionalFormatting>
  <conditionalFormatting sqref="H23 R26">
    <cfRule type="expression" dxfId="19" priority="249">
      <formula>AND(H23&gt;0,$M$11&lt;&gt;$C$104)</formula>
    </cfRule>
  </conditionalFormatting>
  <conditionalFormatting sqref="I27:M27">
    <cfRule type="expression" dxfId="18" priority="257">
      <formula>OR($N$28=$B$103,$N$31=$B$103,$N$34=$B$103,$N$38=$B$103,$N$42=$B$103,$N$47=$B$103,$N$51=$B$103,$N$55=$B$103)</formula>
    </cfRule>
    <cfRule type="expression" dxfId="17" priority="258">
      <formula>AND($N$28=$B$102,$N$31=$B$102,$N$34=$B$102,$N$38=$B$102,$N$42=$B$102,$N$47=$B$102,$N$51=$B$102,$N$55=$B$102)</formula>
    </cfRule>
  </conditionalFormatting>
  <conditionalFormatting sqref="C43:C49">
    <cfRule type="expression" dxfId="16" priority="14">
      <formula>$A43&lt;0</formula>
    </cfRule>
  </conditionalFormatting>
  <conditionalFormatting sqref="F54:F55">
    <cfRule type="cellIs" dxfId="15" priority="13" operator="notBetween">
      <formula>0.44999999999999</formula>
      <formula>50000000000001</formula>
    </cfRule>
  </conditionalFormatting>
  <conditionalFormatting sqref="F56:F57">
    <cfRule type="cellIs" dxfId="14" priority="12" operator="notBetween">
      <formula>0.49999999999999</formula>
      <formula>0.55000000000001</formula>
    </cfRule>
  </conditionalFormatting>
  <conditionalFormatting sqref="F50:F53">
    <cfRule type="expression" dxfId="13" priority="11">
      <formula>$F$50+$F$52&gt;35%</formula>
    </cfRule>
  </conditionalFormatting>
  <conditionalFormatting sqref="F54:F57">
    <cfRule type="expression" dxfId="12" priority="10">
      <formula>$F$54+$F$56&gt;100%</formula>
    </cfRule>
  </conditionalFormatting>
  <conditionalFormatting sqref="H47:H48">
    <cfRule type="cellIs" dxfId="11" priority="7" operator="equal">
      <formula>$B$105</formula>
    </cfRule>
    <cfRule type="cellIs" dxfId="10" priority="8" operator="equal">
      <formula>$B$104</formula>
    </cfRule>
  </conditionalFormatting>
  <conditionalFormatting sqref="N47:N48">
    <cfRule type="cellIs" dxfId="9" priority="5" operator="equal">
      <formula>$B$103</formula>
    </cfRule>
    <cfRule type="cellIs" dxfId="8" priority="6" operator="equal">
      <formula>$B$102</formula>
    </cfRule>
  </conditionalFormatting>
  <conditionalFormatting sqref="G35">
    <cfRule type="expression" dxfId="7" priority="3">
      <formula>AND(C24&gt;0,OR(G35&gt;G34,G35&lt;G33))</formula>
    </cfRule>
    <cfRule type="expression" dxfId="6" priority="4">
      <formula>AND(C24&gt;0,OR(G35&lt;=G34,G35&gt;=G33))</formula>
    </cfRule>
  </conditionalFormatting>
  <conditionalFormatting sqref="E102:F168">
    <cfRule type="expression" dxfId="5" priority="1" stopIfTrue="1">
      <formula>COUNTA($E$102:$E102)/6=ROUND(COUNTA($E$102:$E102)/6,0)</formula>
    </cfRule>
    <cfRule type="expression" dxfId="4" priority="2">
      <formula>COUNTA($E$102:$E102)/3=ROUND(COUNTA($E$102:$E102)/3,0)</formula>
    </cfRule>
  </conditionalFormatting>
  <conditionalFormatting sqref="G34 C21:C22 F21:G22 H21:H22">
    <cfRule type="expression" dxfId="3" priority="19" stopIfTrue="1">
      <formula>AND($C$21+$C$22+$H$21+$H$22+IF($M$11=$C$104,$H$23,0)&gt;0,$C$21+$C$22+$H$21+$H$22+IF($M$11=$C$104,$H$23,0)&gt;$G$34)</formula>
    </cfRule>
  </conditionalFormatting>
  <conditionalFormatting sqref="G33 C21:C22 F21:G22 H21:H22">
    <cfRule type="expression" dxfId="2" priority="20" stopIfTrue="1">
      <formula>AND($C$21+$C$22+$H$21+$H$22+IF($M$11=$C$104,$H$23,0)&gt;0,$C$21+$C$22+$H$21+$H$22+IF($M$11=$C$104,$H$23,0)&lt;$G$33)</formula>
    </cfRule>
  </conditionalFormatting>
  <dataValidations count="2">
    <dataValidation type="list" allowBlank="1" showInputMessage="1" showErrorMessage="1" prompt="Select option from drop-down menu to indicate applicable IRS Minimum Set-Aside Commitment." sqref="T13 V13" xr:uid="{066450F8-CF34-4A83-B6E6-8D6D30D6116C}">
      <formula1>$B$100:$B$101</formula1>
    </dataValidation>
    <dataValidation type="list" allowBlank="1" showInputMessage="1" showErrorMessage="1" prompt="Please select a county from the drop-down menu." sqref="M11" xr:uid="{6DDCB384-C4B4-479F-9FC1-7154E4AFECD4}">
      <formula1>$C$101:$C$104</formula1>
    </dataValidation>
  </dataValidations>
  <printOptions horizontalCentered="1" headings="1" gridLines="1"/>
  <pageMargins left="0.25" right="0.25" top="0.5" bottom="0.25" header="0.3" footer="0.3"/>
  <pageSetup scale="92"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57F9-8667-4C52-8B4B-7AABC51B66B4}">
  <dimension ref="A1:D29"/>
  <sheetViews>
    <sheetView zoomScale="90" zoomScaleNormal="90" workbookViewId="0">
      <selection activeCell="A3" sqref="A3"/>
    </sheetView>
  </sheetViews>
  <sheetFormatPr defaultRowHeight="14.5" x14ac:dyDescent="0.35"/>
  <cols>
    <col min="2" max="2" width="16.90625" customWidth="1"/>
    <col min="3" max="3" width="24.08984375" customWidth="1"/>
    <col min="4" max="4" width="19.08984375" customWidth="1"/>
  </cols>
  <sheetData>
    <row r="1" spans="1:4" ht="18.5" x14ac:dyDescent="0.45">
      <c r="A1" s="136" t="s">
        <v>113</v>
      </c>
    </row>
    <row r="2" spans="1:4" ht="6" customHeight="1" x14ac:dyDescent="0.35"/>
    <row r="3" spans="1:4" ht="24" customHeight="1" x14ac:dyDescent="0.35">
      <c r="B3" s="267" t="s">
        <v>116</v>
      </c>
      <c r="C3" s="267"/>
      <c r="D3" s="267"/>
    </row>
    <row r="4" spans="1:4" x14ac:dyDescent="0.35">
      <c r="B4" s="269" t="s">
        <v>114</v>
      </c>
      <c r="C4" s="270"/>
      <c r="D4" s="271"/>
    </row>
    <row r="5" spans="1:4" ht="29" x14ac:dyDescent="0.35">
      <c r="B5" s="145" t="s">
        <v>28</v>
      </c>
      <c r="C5" s="145" t="s">
        <v>115</v>
      </c>
      <c r="D5" s="145" t="s">
        <v>1</v>
      </c>
    </row>
    <row r="6" spans="1:4" ht="15" customHeight="1" x14ac:dyDescent="0.35">
      <c r="B6" s="265" t="s">
        <v>127</v>
      </c>
      <c r="C6" s="152" t="str">
        <f>IF('Data Entry Tab'!P16=0,"Enter Number %",'Data Entry Tab'!P16)</f>
        <v>Enter Number %</v>
      </c>
      <c r="D6" s="138" t="s">
        <v>117</v>
      </c>
    </row>
    <row r="7" spans="1:4" x14ac:dyDescent="0.35">
      <c r="B7" s="265"/>
      <c r="C7" s="152" t="str">
        <f>IF('Data Entry Tab'!P17=0,"Enter Number %",'Data Entry Tab'!P17)</f>
        <v>Enter Number %</v>
      </c>
      <c r="D7" s="138" t="s">
        <v>118</v>
      </c>
    </row>
    <row r="8" spans="1:4" x14ac:dyDescent="0.35">
      <c r="B8" s="265"/>
      <c r="C8" s="152" t="str">
        <f>IF('Data Entry Tab'!P18=0,"Enter Number %",'Data Entry Tab'!P18)</f>
        <v>Enter Number %</v>
      </c>
      <c r="D8" s="138" t="s">
        <v>119</v>
      </c>
    </row>
    <row r="9" spans="1:4" x14ac:dyDescent="0.35">
      <c r="B9" s="265"/>
      <c r="C9" s="152" t="str">
        <f>IF('Data Entry Tab'!P19=0,"Enter Number %",'Data Entry Tab'!P19)</f>
        <v>Enter Number %</v>
      </c>
      <c r="D9" s="138" t="s">
        <v>120</v>
      </c>
    </row>
    <row r="10" spans="1:4" x14ac:dyDescent="0.35">
      <c r="B10" s="265"/>
      <c r="C10" s="152" t="str">
        <f>IF('Data Entry Tab'!P20=0,"Enter Number %",'Data Entry Tab'!P20)</f>
        <v>Enter Number %</v>
      </c>
      <c r="D10" s="138" t="s">
        <v>121</v>
      </c>
    </row>
    <row r="11" spans="1:4" x14ac:dyDescent="0.35">
      <c r="B11" s="265"/>
      <c r="C11" s="152" t="str">
        <f>IF('Data Entry Tab'!P21=0,"Enter Number %",'Data Entry Tab'!P21)</f>
        <v>Enter Number %</v>
      </c>
      <c r="D11" s="138" t="s">
        <v>122</v>
      </c>
    </row>
    <row r="12" spans="1:4" x14ac:dyDescent="0.35">
      <c r="B12" s="265"/>
      <c r="C12" s="152" t="str">
        <f>IF('Data Entry Tab'!P22=0,"Enter Number %",'Data Entry Tab'!P22)</f>
        <v>Enter Number %</v>
      </c>
      <c r="D12" s="138" t="s">
        <v>123</v>
      </c>
    </row>
    <row r="13" spans="1:4" x14ac:dyDescent="0.35">
      <c r="B13" s="265"/>
      <c r="C13" s="152" t="str">
        <f>IF('Data Entry Tab'!P23=0,"Enter Number %",'Data Entry Tab'!P23)</f>
        <v>Enter Number %</v>
      </c>
      <c r="D13" s="138" t="s">
        <v>124</v>
      </c>
    </row>
    <row r="14" spans="1:4" x14ac:dyDescent="0.35">
      <c r="B14" s="265"/>
      <c r="C14" s="152" t="str">
        <f>IF('Data Entry Tab'!P24=0,"Enter Number %",'Data Entry Tab'!P24)</f>
        <v>Enter Number %</v>
      </c>
      <c r="D14" s="138" t="s">
        <v>125</v>
      </c>
    </row>
    <row r="15" spans="1:4" ht="58.5" thickBot="1" x14ac:dyDescent="0.4">
      <c r="B15" s="141" t="s">
        <v>128</v>
      </c>
      <c r="C15" s="153" t="str">
        <f>IF('Data Entry Tab'!R25+'Data Entry Tab'!R26=0,"Enter Number %",'Data Entry Tab'!R25+'Data Entry Tab'!R26)</f>
        <v>Enter Number %</v>
      </c>
      <c r="D15" s="142" t="s">
        <v>126</v>
      </c>
    </row>
    <row r="16" spans="1:4" ht="29.5" thickTop="1" x14ac:dyDescent="0.35">
      <c r="B16" s="139"/>
      <c r="C16" s="144">
        <f>N(C6)+N(C7)+N(C8)+N(C9)+N(C10)+N(C11)+N(C12)+N(C13)+N(C14)+N(C15)</f>
        <v>0</v>
      </c>
      <c r="D16" s="140" t="s">
        <v>129</v>
      </c>
    </row>
    <row r="17" spans="2:4" ht="6" customHeight="1" x14ac:dyDescent="0.35"/>
    <row r="18" spans="2:4" ht="24" customHeight="1" x14ac:dyDescent="0.35">
      <c r="B18" s="268" t="s">
        <v>130</v>
      </c>
      <c r="C18" s="268"/>
      <c r="D18" s="268"/>
    </row>
    <row r="19" spans="2:4" x14ac:dyDescent="0.35">
      <c r="B19" s="137"/>
      <c r="C19" s="272" t="s">
        <v>114</v>
      </c>
      <c r="D19" s="272"/>
    </row>
    <row r="20" spans="2:4" ht="29" x14ac:dyDescent="0.35">
      <c r="B20" s="145" t="s">
        <v>28</v>
      </c>
      <c r="C20" s="145" t="s">
        <v>115</v>
      </c>
      <c r="D20" s="145" t="s">
        <v>1</v>
      </c>
    </row>
    <row r="21" spans="2:4" x14ac:dyDescent="0.35">
      <c r="B21" s="265" t="s">
        <v>127</v>
      </c>
      <c r="C21" s="149" t="str">
        <f>IF('Data Entry Tab'!C16=0,"Enter Number",'Data Entry Tab'!C16)</f>
        <v>Enter Number</v>
      </c>
      <c r="D21" s="138" t="s">
        <v>131</v>
      </c>
    </row>
    <row r="22" spans="2:4" x14ac:dyDescent="0.35">
      <c r="B22" s="265"/>
      <c r="C22" s="149" t="str">
        <f>IF('Data Entry Tab'!C17=0,"Enter Number",'Data Entry Tab'!C17)</f>
        <v>Enter Number</v>
      </c>
      <c r="D22" s="138" t="s">
        <v>119</v>
      </c>
    </row>
    <row r="23" spans="2:4" x14ac:dyDescent="0.35">
      <c r="B23" s="265"/>
      <c r="C23" s="149" t="str">
        <f>IF('Data Entry Tab'!C18=0,"Enter Number",'Data Entry Tab'!C18)</f>
        <v>Enter Number</v>
      </c>
      <c r="D23" s="138" t="s">
        <v>122</v>
      </c>
    </row>
    <row r="24" spans="2:4" x14ac:dyDescent="0.35">
      <c r="B24" s="265"/>
      <c r="C24" s="149" t="str">
        <f>IF('Data Entry Tab'!C19=0,"Enter Number",'Data Entry Tab'!C19)</f>
        <v>Enter Number</v>
      </c>
      <c r="D24" s="138" t="s">
        <v>124</v>
      </c>
    </row>
    <row r="25" spans="2:4" x14ac:dyDescent="0.35">
      <c r="B25" s="265"/>
      <c r="C25" s="149" t="str">
        <f>IF('Data Entry Tab'!C20=0,"Enter Number",'Data Entry Tab'!C20)</f>
        <v>Enter Number</v>
      </c>
      <c r="D25" s="138" t="s">
        <v>125</v>
      </c>
    </row>
    <row r="26" spans="2:4" ht="24.9" customHeight="1" x14ac:dyDescent="0.35">
      <c r="B26" s="265" t="s">
        <v>134</v>
      </c>
      <c r="C26" s="149" t="str">
        <f>IF('Data Entry Tab'!C21=0,"Enter Number",'Data Entry Tab'!C21)</f>
        <v>Enter Number</v>
      </c>
      <c r="D26" s="138" t="s">
        <v>132</v>
      </c>
    </row>
    <row r="27" spans="2:4" ht="24.9" customHeight="1" thickBot="1" x14ac:dyDescent="0.4">
      <c r="B27" s="266"/>
      <c r="C27" s="150" t="str">
        <f>IF('Data Entry Tab'!C22=0,"Enter Number",'Data Entry Tab'!C22)</f>
        <v>Enter Number</v>
      </c>
      <c r="D27" s="143" t="s">
        <v>133</v>
      </c>
    </row>
    <row r="28" spans="2:4" ht="59" thickTop="1" thickBot="1" x14ac:dyDescent="0.4">
      <c r="B28" s="147" t="s">
        <v>128</v>
      </c>
      <c r="C28" s="151" t="str">
        <f>IF('Data Entry Tab'!H24=0,"Enter Number",'Data Entry Tab'!H24)</f>
        <v>Enter Number</v>
      </c>
      <c r="D28" s="148" t="s">
        <v>126</v>
      </c>
    </row>
    <row r="29" spans="2:4" ht="47.25" customHeight="1" thickTop="1" x14ac:dyDescent="0.35">
      <c r="B29" s="139"/>
      <c r="C29" s="146" t="str">
        <f>TEXT(IF('Data Entry Tab'!G11=0,0,(N(C21)+N(C22)+N(C23)+N(C24)+N(C25)+N(C26)+N(C27)+N(C28))/'Data Entry Tab'!G11),"0%")&amp;"
(Total Set-Aside Percentage)"</f>
        <v>0%
(Total Set-Aside Percentage)</v>
      </c>
      <c r="D29" s="140"/>
    </row>
  </sheetData>
  <mergeCells count="7">
    <mergeCell ref="B21:B25"/>
    <mergeCell ref="B26:B27"/>
    <mergeCell ref="B3:D3"/>
    <mergeCell ref="B18:D18"/>
    <mergeCell ref="B4:D4"/>
    <mergeCell ref="B6:B14"/>
    <mergeCell ref="C19:D19"/>
  </mergeCells>
  <conditionalFormatting sqref="C6:C15">
    <cfRule type="cellIs" dxfId="1" priority="2" operator="equal">
      <formula>"Enter Number %"</formula>
    </cfRule>
  </conditionalFormatting>
  <conditionalFormatting sqref="C21:C28">
    <cfRule type="cellIs" dxfId="0" priority="1" operator="equal">
      <formula>"Enter Number"</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6B790-8B5C-4997-937C-DF7E9EF8CCAC}">
  <ds:schemaRefs>
    <ds:schemaRef ds:uri="http://schemas.microsoft.com/sharepoint/v3/contenttype/forms"/>
  </ds:schemaRefs>
</ds:datastoreItem>
</file>

<file path=customXml/itemProps2.xml><?xml version="1.0" encoding="utf-8"?>
<ds:datastoreItem xmlns:ds="http://schemas.openxmlformats.org/officeDocument/2006/customXml" ds:itemID="{7CBF99BD-797C-45C0-88B6-A646050CD725}">
  <ds:schemaRefs>
    <ds:schemaRef ds:uri="http://schemas.openxmlformats.org/package/2006/metadata/core-properties"/>
    <ds:schemaRef ds:uri="http://schemas.microsoft.com/office/2006/documentManagement/types"/>
    <ds:schemaRef ds:uri="http://www.w3.org/XML/1998/namespace"/>
    <ds:schemaRef ds:uri="http://purl.org/dc/dcmitype/"/>
    <ds:schemaRef ds:uri="68dfe011-c19e-4dbd-a5cd-00e4d25ab099"/>
    <ds:schemaRef ds:uri="http://purl.org/dc/elements/1.1/"/>
    <ds:schemaRef ds:uri="http://purl.org/dc/terms/"/>
    <ds:schemaRef ds:uri="http://schemas.microsoft.com/office/infopath/2007/PartnerControls"/>
    <ds:schemaRef ds:uri="a84349eb-4374-47bc-83f0-36d288636098"/>
    <ds:schemaRef ds:uri="http://schemas.microsoft.com/office/2006/metadata/properties"/>
  </ds:schemaRefs>
</ds:datastoreItem>
</file>

<file path=customXml/itemProps3.xml><?xml version="1.0" encoding="utf-8"?>
<ds:datastoreItem xmlns:ds="http://schemas.openxmlformats.org/officeDocument/2006/customXml" ds:itemID="{2B7D7463-E6C9-408E-B791-32AF9B28D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Tab</vt:lpstr>
      <vt:lpstr>Charts</vt:lpstr>
      <vt:lpstr>ELIData</vt:lpstr>
      <vt:lpstr>'Data Entry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Jean Salmonsen</cp:lastModifiedBy>
  <cp:lastPrinted>2020-02-05T20:24:01Z</cp:lastPrinted>
  <dcterms:created xsi:type="dcterms:W3CDTF">2020-01-29T21:34:59Z</dcterms:created>
  <dcterms:modified xsi:type="dcterms:W3CDTF">2021-02-12T15:30:19Z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