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loridahousing.sharepoint.com/sites/MF/allocations/Combined Cycle/2021 Rules and RFAs/2021-211 Viability/Pro Forma/"/>
    </mc:Choice>
  </mc:AlternateContent>
  <xr:revisionPtr revIDLastSave="1" documentId="8_{D7024420-6EAF-448E-90BB-930185EA88B0}" xr6:coauthVersionLast="46" xr6:coauthVersionMax="47" xr10:uidLastSave="{7E303204-DF20-4731-9AB3-D1ADFA938150}"/>
  <workbookProtection workbookAlgorithmName="SHA-512" workbookHashValue="CNK4BK6vtoH2ndr3kAua3qFUV0DH4K70L3BMPPieRqa/9HHmKTE84S4f1WlNo7zzSN8iW75WpeXqDPDqHYyJug==" workbookSaltValue="oFQy/7FFFpcTVkymgZ+X8w==" workbookSpinCount="100000" lockStructure="1"/>
  <bookViews>
    <workbookView xWindow="-110" yWindow="-110" windowWidth="19420" windowHeight="10420" xr2:uid="{5218CA60-9471-4354-8971-9BDB2EA6E908}"/>
  </bookViews>
  <sheets>
    <sheet name="2021-211" sheetId="1" r:id="rId1"/>
  </sheets>
  <definedNames>
    <definedName name="Acq_elig" localSheetId="0">'2021-211'!$H$187</definedName>
    <definedName name="Acq_inelig" localSheetId="0">'2021-211'!$K$187</definedName>
    <definedName name="Acq_total" localSheetId="0">'2021-211'!$N$187</definedName>
    <definedName name="Acquisition_eligible" localSheetId="0">'2021-211'!$H$192</definedName>
    <definedName name="Acquisition_ineligible" localSheetId="0">'2021-211'!$K$192</definedName>
    <definedName name="Acquisition_total" localSheetId="0">'2021-211'!$N$192</definedName>
    <definedName name="Actual_Accessory_eligible" localSheetId="0">'2021-211'!$H$55</definedName>
    <definedName name="Actual_Accessory_ineligible" localSheetId="0">'2021-211'!$K$55</definedName>
    <definedName name="Actual_Accessory_total" localSheetId="0">'2021-211'!$N$55</definedName>
    <definedName name="Actual_Comm_Retail_eligible" localSheetId="0">'2021-211'!$H$59</definedName>
    <definedName name="Actual_Comm_Retail_ineligible" localSheetId="0">'2021-211'!$K$59</definedName>
    <definedName name="Actual_Comm_Retail_total" localSheetId="0">'2021-211'!$N$59</definedName>
    <definedName name="Actual_commonareas_eligible" localSheetId="0">'2021-211'!$H$67</definedName>
    <definedName name="Actual_commonareas_ineligible" localSheetId="0">'2021-211'!$K$67</definedName>
    <definedName name="Actual_commonareas_total" localSheetId="0">'2021-211'!$N$67</definedName>
    <definedName name="Actual_Constructioncost_eligible" localSheetId="0">'2021-211'!$H$75</definedName>
    <definedName name="Actual_Constructioncost_ineligible" localSheetId="0">'2021-211'!$K$75</definedName>
    <definedName name="Actual_Constructioncost_total" localSheetId="0">'2021-211'!$N$75</definedName>
    <definedName name="Actual_Demolition_eligible" localSheetId="0">'2021-211'!$H$57</definedName>
    <definedName name="Actual_Demolition_ineligible" localSheetId="0">'2021-211'!$K$57</definedName>
    <definedName name="Actual_Demolition_total" localSheetId="0">'2021-211'!$N$57</definedName>
    <definedName name="Actual_existingrental_eligible" localSheetId="0">'2021-211'!$H$69</definedName>
    <definedName name="Actual_existingrental_ineligible" localSheetId="0">'2021-211'!$K$69</definedName>
    <definedName name="Actual_existingrental_total" localSheetId="0">'2021-211'!$N$69</definedName>
    <definedName name="Actual_GCfee_eligible" localSheetId="0">'2021-211'!$H$78</definedName>
    <definedName name="Actual_GCfee_ineligible" localSheetId="0">'2021-211'!$K$78</definedName>
    <definedName name="Actual_GCfee_total" localSheetId="0">'2021-211'!$N$78</definedName>
    <definedName name="Actual_NewUnits_eligible" localSheetId="0">'2021-211'!$H$61</definedName>
    <definedName name="Actual_NewUnits_ineligible" localSheetId="0">'2021-211'!$K$61</definedName>
    <definedName name="Actual_NewUnits_total" localSheetId="0">'2021-211'!$N$61</definedName>
    <definedName name="Actual_Offsite_eligible" localSheetId="0">'2021-211'!$H$63</definedName>
    <definedName name="Actual_Offsite_ineligible" localSheetId="0">'2021-211'!$K$63</definedName>
    <definedName name="Actual_Offsite_total" localSheetId="0">'2021-211'!$N$63</definedName>
    <definedName name="Actual_Other_eligible" localSheetId="0">'2021-211'!$H$73</definedName>
    <definedName name="Actual_Other_ineligible" localSheetId="0">'2021-211'!$K$73</definedName>
    <definedName name="Actual_Other_total" localSheetId="0">'2021-211'!$N$73</definedName>
    <definedName name="Actual_recreational_eligible" localSheetId="0">'2021-211'!$H$65</definedName>
    <definedName name="Actual_recreational_ineligible" localSheetId="0">'2021-211'!$K$65</definedName>
    <definedName name="Actual_recreational_total" localSheetId="0">'2021-211'!$N$65</definedName>
    <definedName name="Actual_sitework_eligible" localSheetId="0">'2021-211'!$H$71</definedName>
    <definedName name="Actual_sitework_ineligible" localSheetId="0">'2021-211'!$K$71</definedName>
    <definedName name="Actual_sitework_total" localSheetId="0">'2021-211'!$N$71</definedName>
    <definedName name="Actual_TotalConstructioncost_eligible" localSheetId="0">'2021-211'!$H$81</definedName>
    <definedName name="Actual_TotalConstructioncost_ineligible" localSheetId="0">'2021-211'!$K$81</definedName>
    <definedName name="Actual_TotalConstructioncost_total" localSheetId="0">'2021-211'!$N$81</definedName>
    <definedName name="Constr_FHFC_FUND_TYPE_1">'2021-211'!$F$311</definedName>
    <definedName name="Constr_FHFC_FUND_TYPE_2">'2021-211'!$F$313</definedName>
    <definedName name="ConstrAnalysis__10th_Mtg" localSheetId="0">'2021-211'!$H$311</definedName>
    <definedName name="ConstrAnalysis__10th_N">'2021-211'!$N$311</definedName>
    <definedName name="ConstrAnalysis__10th_Type">'2021-211'!$K$311</definedName>
    <definedName name="ConstrAnalysis__11th_Mtg" localSheetId="0">'2021-211'!$H$313</definedName>
    <definedName name="ConstrAnalysis__11th_N">'2021-211'!$N$313</definedName>
    <definedName name="ConstrAnalysis__11th_Type">'2021-211'!$K$313</definedName>
    <definedName name="ConstrAnalysis__1st_Mtg" localSheetId="0">'2021-211'!$H$293</definedName>
    <definedName name="ConstrAnalysis__1st_N">'2021-211'!$N$293</definedName>
    <definedName name="ConstrAnalysis__1st_Type" localSheetId="0">'2021-211'!$K$293</definedName>
    <definedName name="ConstrAnalysis__2nd_Mtg" localSheetId="0">'2021-211'!$H$295</definedName>
    <definedName name="ConstrAnalysis__2nd_N">'2021-211'!$N$295</definedName>
    <definedName name="ConstrAnalysis__2nd_Type" localSheetId="0">'2021-211'!$K$295</definedName>
    <definedName name="ConstrAnalysis__3rd_Mtg" localSheetId="0">'2021-211'!$H$297</definedName>
    <definedName name="ConstrAnalysis__3rd_N">'2021-211'!$N$297</definedName>
    <definedName name="ConstrAnalysis__3rd_Type" localSheetId="0">'2021-211'!$K$297</definedName>
    <definedName name="ConstrAnalysis__4th_Mtg" localSheetId="0">'2021-211'!$H$299</definedName>
    <definedName name="ConstrAnalysis__4th_N">'2021-211'!$N$299</definedName>
    <definedName name="ConstrAnalysis__4th_Type" localSheetId="0">'2021-211'!$K$299</definedName>
    <definedName name="ConstrAnalysis__5th_Mtg" localSheetId="0">'2021-211'!$H$301</definedName>
    <definedName name="ConstrAnalysis__5th_N">'2021-211'!$N$301</definedName>
    <definedName name="ConstrAnalysis__5th_Type" localSheetId="0">'2021-211'!$K$301</definedName>
    <definedName name="ConstrAnalysis__6th_Mtg" localSheetId="0">'2021-211'!$H$303</definedName>
    <definedName name="ConstrAnalysis__6th_N">'2021-211'!$N$303</definedName>
    <definedName name="ConstrAnalysis__6th_Type" localSheetId="0">'2021-211'!$K$303</definedName>
    <definedName name="ConstrAnalysis__7th_Mtg" localSheetId="0">'2021-211'!$H$305</definedName>
    <definedName name="ConstrAnalysis__7th_N">'2021-211'!$N$305</definedName>
    <definedName name="ConstrAnalysis__7th_Type" localSheetId="0">'2021-211'!$K$305</definedName>
    <definedName name="ConstrAnalysis__8th_Mtg" localSheetId="0">'2021-211'!$H$307</definedName>
    <definedName name="ConstrAnalysis__8th_N">'2021-211'!$N$307</definedName>
    <definedName name="ConstrAnalysis__8th_Type" localSheetId="0">'2021-211'!$K$307</definedName>
    <definedName name="ConstrAnalysis__9th_Mtg" localSheetId="0">'2021-211'!$H$309</definedName>
    <definedName name="ConstrAnalysis__9th_N">'2021-211'!$N$309</definedName>
    <definedName name="ConstrAnalysis__9th_Type" localSheetId="0">'2021-211'!$K$309</definedName>
    <definedName name="ConstrAnalysis__Viability_N">'2021-211'!$N$315</definedName>
    <definedName name="ConstrAnalysis_deferredfee_H" localSheetId="0">'2021-211'!$H$323</definedName>
    <definedName name="ConstrAnalysis_deferredfee_K">'2021-211'!$K$323</definedName>
    <definedName name="ConstrAnalysis_deferredfee_N">'2021-211'!$N$323</definedName>
    <definedName name="ConstrAnalysis_HC_H" localSheetId="0">'2021-211'!$H$321</definedName>
    <definedName name="ConstrAnalysis_HC_K">'2021-211'!$K$321</definedName>
    <definedName name="ConstrAnalysis_HC_N">'2021-211'!$N$321</definedName>
    <definedName name="ConstrAnalysis_other1_title" localSheetId="0">'2021-211'!$E$311</definedName>
    <definedName name="ConstrAnalysis_other2_title" localSheetId="0">'2021-211'!$E$313</definedName>
    <definedName name="ConstrAnalysis_surplus_H" localSheetId="0">'2021-211'!$H$329</definedName>
    <definedName name="ConstrAnalysis_surplus_K">'2021-211'!$K$329</definedName>
    <definedName name="ConstrAnalysis_surplus_N">'2021-211'!$N$329</definedName>
    <definedName name="ConstrAnalysis_totalsources_H" localSheetId="0">'2021-211'!$H$325</definedName>
    <definedName name="ConstrAnalysis_totalsources_K">'2021-211'!$K$325</definedName>
    <definedName name="ConstrAnalysis_totalsources_N">'2021-211'!$N$325</definedName>
    <definedName name="Contingency_Hard_eligible" localSheetId="0">'2021-211'!$H$83</definedName>
    <definedName name="Contingency_Hard_ineligible" localSheetId="0">'2021-211'!$K$83</definedName>
    <definedName name="Contingency_Hard_total" localSheetId="0">'2021-211'!$N$83</definedName>
    <definedName name="Contingency_Soft_eligible" localSheetId="0">'2021-211'!$H$149</definedName>
    <definedName name="Contingency_Soft_ineligible" localSheetId="0">'2021-211'!$K$149</definedName>
    <definedName name="Contingency_Soft_total" localSheetId="0">'2021-211'!$N$149</definedName>
    <definedName name="Description_acquisition_other" localSheetId="0">'2021-211'!$F$261</definedName>
    <definedName name="Description_Actual_offsite" localSheetId="0">'2021-211'!$F$228</definedName>
    <definedName name="Description_Actual_other" localSheetId="0">'2021-211'!$F$232</definedName>
    <definedName name="Description_financial_other" localSheetId="0">'2021-211'!$F$254</definedName>
    <definedName name="Description_General_impact" localSheetId="0">'2021-211'!$F$239</definedName>
    <definedName name="Description_General_other" localSheetId="0">'2021-211'!$F$245</definedName>
    <definedName name="Developer_fee_acq_eligible" localSheetId="0">'2021-211'!$H$198</definedName>
    <definedName name="Developer_fee_acq_ineligible" localSheetId="0">'2021-211'!$K$198</definedName>
    <definedName name="Developer_fee_acq_total" localSheetId="0">'2021-211'!$N$198</definedName>
    <definedName name="Developer_fee_eligible" localSheetId="0">'2021-211'!$H$206</definedName>
    <definedName name="Developer_fee_ineligible" localSheetId="0">'2021-211'!$K$206</definedName>
    <definedName name="Developer_fee_non_acq_eligible" localSheetId="0">'2021-211'!$H$201</definedName>
    <definedName name="Developer_fee_non_acq_ineligible" localSheetId="0">'2021-211'!$K$201</definedName>
    <definedName name="Developer_fee_non_acq_total" localSheetId="0">'2021-211'!$N$201</definedName>
    <definedName name="Developer_fee_Percentage_dropdown" localSheetId="0">'2021-211'!$S$199</definedName>
    <definedName name="Developer_fee_total" localSheetId="0">'2021-211'!$N$206</definedName>
    <definedName name="Development_Cost_eligible" localSheetId="0">'2021-211'!$H$194</definedName>
    <definedName name="Development_Cost_ineligible" localSheetId="0">'2021-211'!$K$194</definedName>
    <definedName name="Development_Cost_total" localSheetId="0">'2021-211'!$N$194</definedName>
    <definedName name="ELIData" localSheetId="0">'2021-211'!$E$620:$H$687</definedName>
    <definedName name="Excel_RFA_Number" localSheetId="0">'2021-211'!$B$2</definedName>
    <definedName name="Financial_bridge_commitment_eligible" localSheetId="0">'2021-211'!$H$177</definedName>
    <definedName name="Financial_bridge_commitment_ineligible" localSheetId="0">'2021-211'!$K$177</definedName>
    <definedName name="Financial_bridge_commitment_total" localSheetId="0">'2021-211'!$N$177</definedName>
    <definedName name="Financial_bridge_interest_eligible" localSheetId="0">'2021-211'!$H$179</definedName>
    <definedName name="Financial_bridge_interest_ineligible" localSheetId="0">'2021-211'!$K$179</definedName>
    <definedName name="Financial_bridge_interest_total" localSheetId="0">'2021-211'!$N$179</definedName>
    <definedName name="Financial_constr_commitment_eligible" localSheetId="0">'2021-211'!$H$158</definedName>
    <definedName name="Financial_constr_commitment_ineligible" localSheetId="0">'2021-211'!$K$158</definedName>
    <definedName name="Financial_constr_commitment_total" localSheetId="0">'2021-211'!$N$158</definedName>
    <definedName name="Financial_constr_enhancement_eligible" localSheetId="0">'2021-211'!$H$161</definedName>
    <definedName name="Financial_constr_enhancement_ineligible" localSheetId="0">'2021-211'!$K$161</definedName>
    <definedName name="Financial_constr_enhancement_total" localSheetId="0">'2021-211'!$N$161</definedName>
    <definedName name="Financial_constr_interest_eligible" localSheetId="0">'2021-211'!$H$163</definedName>
    <definedName name="Financial_constr_interest_ineligible" localSheetId="0">'2021-211'!$K$163</definedName>
    <definedName name="Financial_constr_interest_total" localSheetId="0">'2021-211'!$N$163</definedName>
    <definedName name="Financial_nonperm_closing_eligible" localSheetId="0">'2021-211'!$H$166</definedName>
    <definedName name="Financial_nonperm_closing_ineligible" localSheetId="0">'2021-211'!$K$166</definedName>
    <definedName name="Financial_nonperm_closing_total" localSheetId="0">'2021-211'!$N$166</definedName>
    <definedName name="Financial_other_eligible" localSheetId="0">'2021-211'!$H$181</definedName>
    <definedName name="Financial_other_ineligible" localSheetId="0">'2021-211'!$K$181</definedName>
    <definedName name="Financial_other_total" localSheetId="0">'2021-211'!$N$181</definedName>
    <definedName name="Financial_perm_closing_ineligible" localSheetId="0">'2021-211'!$K$174</definedName>
    <definedName name="Financial_perm_closing_total" localSheetId="0">'2021-211'!$N$174</definedName>
    <definedName name="Financial_perm_commitment_ineligible" localSheetId="0">'2021-211'!$K$169</definedName>
    <definedName name="Financial_perm_commitment_total" localSheetId="0">'2021-211'!$N$169</definedName>
    <definedName name="Financial_perm_enhancement_ineligible" localSheetId="0">'2021-211'!$K$172</definedName>
    <definedName name="Financial_perm_enhancement_total" localSheetId="0">'2021-211'!$N$172</definedName>
    <definedName name="Financial_total_eligible" localSheetId="0">'2021-211'!$H$183</definedName>
    <definedName name="Financial_total_ineligible" localSheetId="0">'2021-211'!$K$183</definedName>
    <definedName name="Financial_totalcosts_total" localSheetId="0">'2021-211'!$N$183</definedName>
    <definedName name="FundingTable" localSheetId="0">'2021-211'!$E$621:$Y$631</definedName>
    <definedName name="General_Accounting_eligible" localSheetId="0">'2021-211'!$H$91</definedName>
    <definedName name="General_Accounting_ineligible" localSheetId="0">'2021-211'!$K$91</definedName>
    <definedName name="General_Accounting_total" localSheetId="0">'2021-211'!$N$91</definedName>
    <definedName name="General_adminfee_ineligible" localSheetId="0">'2021-211'!$K$109</definedName>
    <definedName name="General_adminfee_total" localSheetId="0">'2021-211'!$N$109</definedName>
    <definedName name="General_applicationfee_ineligible" localSheetId="0">'2021-211'!$K$111</definedName>
    <definedName name="General_applicationfee_total" localSheetId="0">'2021-211'!$N$111</definedName>
    <definedName name="General_Appraisal_eligible" localSheetId="0">'2021-211'!$H$93</definedName>
    <definedName name="General_Appraisal_ineligible" localSheetId="0">'2021-211'!$K$93</definedName>
    <definedName name="General_Appraisal_total" localSheetId="0">'2021-211'!$N$93</definedName>
    <definedName name="General_Architectfeedesign_eligible" localSheetId="0">'2021-211'!$H$95</definedName>
    <definedName name="General_Architectfeedesign_ineligible" localSheetId="0">'2021-211'!$K$95</definedName>
    <definedName name="General_Architectfeedesign_total" localSheetId="0">'2021-211'!$N$95</definedName>
    <definedName name="General_Architectfeesupervision_eligible" localSheetId="0">'2021-211'!$H$97</definedName>
    <definedName name="General_Architectfeesupervision_ineligible" localSheetId="0">'2021-211'!$K$97</definedName>
    <definedName name="General_Architectfeesupervision_total" localSheetId="0">'2021-211'!$N$97</definedName>
    <definedName name="General_brokeragefee_ineligible" localSheetId="0">'2021-211'!#REF!</definedName>
    <definedName name="General_brokeragefee_total" localSheetId="0">'2021-211'!#REF!</definedName>
    <definedName name="General_builder_ins_eligible" localSheetId="0">'2021-211'!$H$99</definedName>
    <definedName name="General_builder_ins_ineligible" localSheetId="0">'2021-211'!$K$99</definedName>
    <definedName name="General_builder_ins_total" localSheetId="0">'2021-211'!$N$99</definedName>
    <definedName name="General_capitalneeds_eligible" localSheetId="0">'2021-211'!$H$103</definedName>
    <definedName name="General_capitalneeds_ineligible" localSheetId="0">'2021-211'!$K$103</definedName>
    <definedName name="General_capitalneeds_total" localSheetId="0">'2021-211'!$N$103</definedName>
    <definedName name="General_compliancefee_ineligible" localSheetId="0">'2021-211'!$K$113</definedName>
    <definedName name="General_compliancefee_total" localSheetId="0">'2021-211'!$N$113</definedName>
    <definedName name="General_cu_fee_eligible" localSheetId="0">'2021-211'!$H$115</definedName>
    <definedName name="General_cu_fee_ineligible" localSheetId="0">'2021-211'!$K$115</definedName>
    <definedName name="General_cu_fee_total" localSheetId="0">'2021-211'!$N$115</definedName>
    <definedName name="General_engineering_eligible" localSheetId="0">'2021-211'!$H$105</definedName>
    <definedName name="General_engineering_ineligible" localSheetId="0">'2021-211'!$K$105</definedName>
    <definedName name="General_engineering_total" localSheetId="0">'2021-211'!$N$105</definedName>
    <definedName name="General_environmental_eligible" localSheetId="0">'2021-211'!$H$107</definedName>
    <definedName name="General_environmental_ineligible" localSheetId="0">'2021-211'!$K$107</definedName>
    <definedName name="General_environmental_total" localSheetId="0">'2021-211'!$N$107</definedName>
    <definedName name="General_HERS_eligible" localSheetId="0">'2021-211'!$H$118</definedName>
    <definedName name="General_HERS_ineligible" localSheetId="0">'2021-211'!$K$118</definedName>
    <definedName name="General_HERS_total" localSheetId="0">'2021-211'!$N$118</definedName>
    <definedName name="General_Impact_eligible" localSheetId="0">'2021-211'!$H$120</definedName>
    <definedName name="General_Impact_ineligible" localSheetId="0">'2021-211'!$K$120</definedName>
    <definedName name="General_Impact_total" localSheetId="0">'2021-211'!$N$120</definedName>
    <definedName name="General_inspectionfee_eligible" localSheetId="0">'2021-211'!$H$122</definedName>
    <definedName name="General_inspectionfee_ineligible" localSheetId="0">'2021-211'!$K$122</definedName>
    <definedName name="General_inspectionfee_total" localSheetId="0">'2021-211'!$N$122</definedName>
    <definedName name="General_insurance_eligible" localSheetId="0">'2021-211'!$H$124</definedName>
    <definedName name="General_insurance_ineligible" localSheetId="0">'2021-211'!$K$124</definedName>
    <definedName name="General_insurance_total" localSheetId="0">'2021-211'!$N$124</definedName>
    <definedName name="General_legalfee_eligible" localSheetId="0">'2021-211'!$H$126</definedName>
    <definedName name="General_legalfee_ineligible" localSheetId="0">'2021-211'!$K$126</definedName>
    <definedName name="General_legalfee_total" localSheetId="0">'2021-211'!$N$126</definedName>
    <definedName name="General_marketing_ineligible" localSheetId="0">'2021-211'!$K$130</definedName>
    <definedName name="General_marketing_total" localSheetId="0">'2021-211'!$N$130</definedName>
    <definedName name="General_marketstudy_eligible" localSheetId="0">'2021-211'!$H$128</definedName>
    <definedName name="General_marketstudy_ineligible" localSheetId="0">'2021-211'!$K$128</definedName>
    <definedName name="General_marketstudy_total" localSheetId="0">'2021-211'!$N$128</definedName>
    <definedName name="General_other_eligible" localSheetId="0">'2021-211'!$H$144</definedName>
    <definedName name="General_other_ineligible" localSheetId="0">'2021-211'!$K$144</definedName>
    <definedName name="General_other_total" localSheetId="0">'2021-211'!$N$144</definedName>
    <definedName name="General_permit_eligible" localSheetId="0">'2021-211'!$H$101</definedName>
    <definedName name="General_permit_ineligible" localSheetId="0">'2021-211'!$K$101</definedName>
    <definedName name="General_permit_total" localSheetId="0">'2021-211'!$N$101</definedName>
    <definedName name="General_propertytaxes_eligible" localSheetId="0">'2021-211'!$H$132</definedName>
    <definedName name="General_propertytaxes_ineligible" localSheetId="0">'2021-211'!$K$132</definedName>
    <definedName name="General_propertytaxes_total" localSheetId="0">'2021-211'!$N$132</definedName>
    <definedName name="General_relocation_eligible" localSheetId="0">'2021-211'!$H$138</definedName>
    <definedName name="General_relocation_ineligible" localSheetId="0">'2021-211'!$K$138</definedName>
    <definedName name="General_relocation_total" localSheetId="0">'2021-211'!$N$138</definedName>
    <definedName name="General_soiltest_eligible" localSheetId="0">'2021-211'!$H$134</definedName>
    <definedName name="General_soiltest_ineligible" localSheetId="0">'2021-211'!$K$134</definedName>
    <definedName name="General_soiltest_total" localSheetId="0">'2021-211'!$N$134</definedName>
    <definedName name="General_survey_eligible" localSheetId="0">'2021-211'!$H$136</definedName>
    <definedName name="General_survey_ineligible" localSheetId="0">'2021-211'!$K$136</definedName>
    <definedName name="General_survey_total" localSheetId="0">'2021-211'!$N$136</definedName>
    <definedName name="General_titleinsurance_eligible" localSheetId="0">'2021-211'!$H$140</definedName>
    <definedName name="General_titleinsurance_ineligible" localSheetId="0">'2021-211'!$K$140</definedName>
    <definedName name="General_titleinsurance_total" localSheetId="0">'2021-211'!$N$140</definedName>
    <definedName name="General_totaldevelopmentcost_eligible" localSheetId="0">'2021-211'!$H$147</definedName>
    <definedName name="General_totaldevelopmentcost_ineligible" localSheetId="0">'2021-211'!$K$147</definedName>
    <definedName name="General_totaldevelopmentcost_total" localSheetId="0">'2021-211'!$N$147</definedName>
    <definedName name="General_utilityconnection_eligible" localSheetId="0">'2021-211'!$H$142</definedName>
    <definedName name="General_utilityconnection_ineligible" localSheetId="0">'2021-211'!$K$142</definedName>
    <definedName name="General_utilityconnection_total" localSheetId="0">'2021-211'!$N$142</definedName>
    <definedName name="greyed01" localSheetId="0">'2021-211'!$N$126,'2021-211'!$N$124,'2021-211'!$N$122,'2021-211'!$N$120,'2021-211'!$N$118,'2021-211'!$N$115,'2021-211'!$N$113,'2021-211'!$N$111,'2021-211'!$N$109,'2021-211'!$N$107,'2021-211'!$N$105,'2021-211'!$N$103,'2021-211'!#REF!,'2021-211'!#REF!,'2021-211'!$N$101,'2021-211'!$N$99,'2021-211'!$N$97,'2021-211'!#REF!,'2021-211'!$N$93,'2021-211'!$N$91,'2021-211'!$N$81,'2021-211'!$N$78,'2021-211'!$N$75,'2021-211'!$N$73,'2021-211'!$N$71,'2021-211'!$N$69,'2021-211'!$N$67,'2021-211'!$N$65,'2021-211'!$N$63,'2021-211'!$N$61,'2021-211'!$N$57,'2021-211'!$N$55,'2021-211'!$K$81,'2021-211'!$K$75,'2021-211'!$H$75,'2021-211'!$H$81</definedName>
    <definedName name="greyed02" localSheetId="0">'2021-211'!$N$128,'2021-211'!$N$130,'2021-211'!$N$132,'2021-211'!$N$134,'2021-211'!$N$136,'2021-211'!$N$140,'2021-211'!$N$142,'2021-211'!$N$144,'2021-211'!$N$147,'2021-211'!$K$147,'2021-211'!$H$147,'2021-211'!#REF!,'2021-211'!$N$158,'2021-211'!$N$161,'2021-211'!$N$163,'2021-211'!$N$169,'2021-211'!$N$172,'2021-211'!$N$174,'2021-211'!$N$177,'2021-211'!$N$179,'2021-211'!$N$166,'2021-211'!$N$181,'2021-211'!$N$183,'2021-211'!$K$183,'2021-211'!$H$183,'2021-211'!$N$187,'2021-211'!$N$189,'2021-211'!$N$194,'2021-211'!$K$194,'2021-211'!$H$194,'2021-211'!$N$206</definedName>
    <definedName name="greyed03" localSheetId="0">'2021-211'!$N$210,'2021-211'!$N$212,'2021-211'!$K$212,'2021-211'!$H$212,'2021-211'!$H$289,'2021-211'!$H$325,'2021-211'!$H$329,'2021-211'!$H$339,'2021-211'!#REF!,'2021-211'!#REF!,'2021-211'!$H$371,'2021-211'!$H$375</definedName>
    <definedName name="HC_LOI_H" localSheetId="0">'2021-211'!$H$42</definedName>
    <definedName name="HC_LOI_K" localSheetId="0">'2021-211'!$K$42</definedName>
    <definedName name="HC_LOI_N" localSheetId="0">'2021-211'!$N$42</definedName>
    <definedName name="HC_Price_H" localSheetId="0">'2021-211'!$H$46</definedName>
    <definedName name="HC_Price_K" localSheetId="0">'2021-211'!$K$46</definedName>
    <definedName name="HC_Price_N" localSheetId="0">'2021-211'!$N$46</definedName>
    <definedName name="Land_eligible" localSheetId="0">'2021-211'!$H$210</definedName>
    <definedName name="Land_ineligible" localSheetId="0">'2021-211'!$K$210</definedName>
    <definedName name="Land_total" localSheetId="0">'2021-211'!$N$210</definedName>
    <definedName name="LP_Percent_H" localSheetId="0">'2021-211'!$H$44</definedName>
    <definedName name="LP_Percent_K" localSheetId="0">'2021-211'!$K$44</definedName>
    <definedName name="LP_Percent_N" localSheetId="0">'2021-211'!$N$44</definedName>
    <definedName name="New_LG_WAIV_N" localSheetId="0">'2021-211'!$N$50</definedName>
    <definedName name="ODR_eligible" localSheetId="0">'2021-211'!$H$208</definedName>
    <definedName name="ODR_ineligible" localSheetId="0">'2021-211'!$K$208</definedName>
    <definedName name="ODR_total" localSheetId="0">'2021-211'!$N$208</definedName>
    <definedName name="Other_eligible" localSheetId="0">'2021-211'!$H$189</definedName>
    <definedName name="Other_ineligible" localSheetId="0">'2021-211'!$K$189</definedName>
    <definedName name="Other_total" localSheetId="0">'2021-211'!$N$189</definedName>
    <definedName name="PERM_FHFC_FUND_TYPE_1">'2021-211'!$F$361</definedName>
    <definedName name="PERM_FHFC_FUND_TYPE_2">'2021-211'!$F$363</definedName>
    <definedName name="PermAnalysis__10th_N">'2021-211'!$N$361</definedName>
    <definedName name="PermAnalysis__11th_N">'2021-211'!$N$363</definedName>
    <definedName name="PermAnalysis__1st_Mtg" localSheetId="0">'2021-211'!$H$343</definedName>
    <definedName name="PermAnalysis__1st_N">'2021-211'!$N$343</definedName>
    <definedName name="PermAnalysis__1st_Type" localSheetId="0">'2021-211'!$K$343</definedName>
    <definedName name="PermAnalysis__2nd_Mtg" localSheetId="0">'2021-211'!$H$345</definedName>
    <definedName name="PermAnalysis__2nd_N">'2021-211'!$N$345</definedName>
    <definedName name="PermAnalysis__2nd_Type" localSheetId="0">'2021-211'!$K$345</definedName>
    <definedName name="PermAnalysis__3rd_Mtg" localSheetId="0">'2021-211'!$H$347</definedName>
    <definedName name="PermAnalysis__3rd_N">'2021-211'!$N$347</definedName>
    <definedName name="PermAnalysis__3rd_Type" localSheetId="0">'2021-211'!$K$347</definedName>
    <definedName name="PermAnalysis__4th_Mtg" localSheetId="0">'2021-211'!$H$349</definedName>
    <definedName name="PermAnalysis__4th_N">'2021-211'!$N$349</definedName>
    <definedName name="PermAnalysis__4th_Type" localSheetId="0">'2021-211'!$K$349</definedName>
    <definedName name="PermAnalysis__5th_Mtg" localSheetId="0">'2021-211'!$H$351</definedName>
    <definedName name="PermAnalysis__5th_N">'2021-211'!$N$351</definedName>
    <definedName name="PermAnalysis__5th_Type" localSheetId="0">'2021-211'!$K$351</definedName>
    <definedName name="PermAnalysis__6th_Mtg" localSheetId="0">'2021-211'!$H$353</definedName>
    <definedName name="PermAnalysis__6th_N">'2021-211'!$N$353</definedName>
    <definedName name="PermAnalysis__6th_Type" localSheetId="0">'2021-211'!$K$353</definedName>
    <definedName name="PermAnalysis__7th_Mtg" localSheetId="0">'2021-211'!$H$355</definedName>
    <definedName name="PermAnalysis__7th_N">'2021-211'!$N$355</definedName>
    <definedName name="PermAnalysis__7th_Type" localSheetId="0">'2021-211'!$K$355</definedName>
    <definedName name="PermAnalysis__8th_Mtg" localSheetId="0">'2021-211'!$H$357</definedName>
    <definedName name="PermAnalysis__8th_N">'2021-211'!$N$357</definedName>
    <definedName name="PermAnalysis__8th_Type" localSheetId="0">'2021-211'!$K$357</definedName>
    <definedName name="PermAnalysis__9th_Mtg" localSheetId="0">'2021-211'!$H$359</definedName>
    <definedName name="PermAnalysis__9th_N">'2021-211'!$N$359</definedName>
    <definedName name="PermAnalysis__9th_Type" localSheetId="0">'2021-211'!$K$359</definedName>
    <definedName name="PermAnalysis__Viability_N">'2021-211'!$N$365</definedName>
    <definedName name="PermAnalysis_10th_Mtg" localSheetId="0">'2021-211'!$H$361</definedName>
    <definedName name="PermAnalysis_10th_Type" localSheetId="0">'2021-211'!$K$361</definedName>
    <definedName name="PermAnalysis_11th_Mtg">'2021-211'!$H$363</definedName>
    <definedName name="PermAnalysis_11th_Type">'2021-211'!$K$363</definedName>
    <definedName name="PermAnalysis_deferredfee_H" localSheetId="0">'2021-211'!$H$369</definedName>
    <definedName name="PermAnalysis_deferredfee_K">'2021-211'!$K$369</definedName>
    <definedName name="PermAnalysis_deferredfee_N">'2021-211'!$N$369</definedName>
    <definedName name="PermAnalysis_HC_H" localSheetId="0">'2021-211'!$H$367</definedName>
    <definedName name="PermAnalysis_HC_K">'2021-211'!$K$367</definedName>
    <definedName name="PermAnalysis_HC_N">'2021-211'!$N$367</definedName>
    <definedName name="PermAnalysis_other1_title" localSheetId="0">'2021-211'!$E$351</definedName>
    <definedName name="PermAnalysis_other2_title" localSheetId="0">'2021-211'!$E$353</definedName>
    <definedName name="PermAnalysis_surplus_H" localSheetId="0">'2021-211'!$H$375</definedName>
    <definedName name="PermAnalysis_surplus_K">'2021-211'!$K$375</definedName>
    <definedName name="PermAnalysis_surplus_N">'2021-211'!$N$375</definedName>
    <definedName name="PermAnalysis_totalsources_H" localSheetId="0">'2021-211'!$H$371</definedName>
    <definedName name="PermAnalysis_totalsources_K">'2021-211'!$K$371</definedName>
    <definedName name="PermAnalysis_totalsources_N">'2021-211'!$N$371</definedName>
    <definedName name="_xlnm.Print_Area" localSheetId="0">'2021-211'!$A$1:$P$575</definedName>
    <definedName name="Pro_Forma_Dev_Cat" localSheetId="0">'2021-211'!$K$36</definedName>
    <definedName name="SourceType" localSheetId="0">'2021-211'!$K$665:$K$681</definedName>
    <definedName name="TDC_eligible" localSheetId="0">'2021-211'!$H$212</definedName>
    <definedName name="TDC_ineligible" localSheetId="0">'2021-211'!$K$212</definedName>
    <definedName name="TDC_total" localSheetId="0">'2021-211'!$N$212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7" i="1" l="1"/>
  <c r="K517" i="1"/>
  <c r="H517" i="1"/>
  <c r="N337" i="1"/>
  <c r="K337" i="1"/>
  <c r="H337" i="1"/>
  <c r="N287" i="1"/>
  <c r="K287" i="1"/>
  <c r="H287" i="1"/>
  <c r="P438" i="1" a="1"/>
  <c r="P438" i="1" s="1"/>
  <c r="P430" i="1" a="1"/>
  <c r="P430" i="1" s="1"/>
  <c r="P427" i="1" a="1"/>
  <c r="P427" i="1" s="1"/>
  <c r="P421" i="1" a="1"/>
  <c r="P421" i="1" s="1"/>
  <c r="C414" i="1" l="1"/>
  <c r="C411" i="1"/>
  <c r="C408" i="1"/>
  <c r="H694" i="1"/>
  <c r="H693" i="1"/>
  <c r="H692" i="1"/>
  <c r="J680" i="1"/>
  <c r="J681" i="1" s="1"/>
  <c r="K619" i="1"/>
  <c r="N565" i="1"/>
  <c r="N561" i="1"/>
  <c r="N549" i="1"/>
  <c r="N547" i="1"/>
  <c r="N521" i="1"/>
  <c r="B508" i="1"/>
  <c r="H500" i="1"/>
  <c r="H504" i="1" s="1"/>
  <c r="B486" i="1"/>
  <c r="B478" i="1"/>
  <c r="K464" i="1"/>
  <c r="Q462" i="1"/>
  <c r="K462" i="1"/>
  <c r="K458" i="1"/>
  <c r="Q456" i="1"/>
  <c r="N456" i="1"/>
  <c r="K456" i="1"/>
  <c r="B449" i="1"/>
  <c r="D421" i="1"/>
  <c r="N415" i="1"/>
  <c r="N411" i="1"/>
  <c r="K409" i="1"/>
  <c r="G406" i="1"/>
  <c r="I405" i="1"/>
  <c r="I404" i="1"/>
  <c r="I403" i="1"/>
  <c r="I402" i="1"/>
  <c r="I401" i="1"/>
  <c r="I400" i="1"/>
  <c r="I399" i="1"/>
  <c r="D394" i="1"/>
  <c r="N390" i="1"/>
  <c r="N388" i="1"/>
  <c r="B379" i="1"/>
  <c r="D375" i="1"/>
  <c r="N371" i="1"/>
  <c r="N529" i="1" s="1"/>
  <c r="K371" i="1"/>
  <c r="K529" i="1" s="1"/>
  <c r="H371" i="1"/>
  <c r="H529" i="1" s="1"/>
  <c r="C365" i="1"/>
  <c r="C363" i="1"/>
  <c r="C361" i="1"/>
  <c r="C359" i="1"/>
  <c r="C357" i="1"/>
  <c r="C355" i="1"/>
  <c r="C353" i="1"/>
  <c r="C351" i="1"/>
  <c r="C349" i="1"/>
  <c r="C347" i="1"/>
  <c r="C345" i="1"/>
  <c r="C343" i="1"/>
  <c r="B343" i="1"/>
  <c r="B333" i="1"/>
  <c r="D329" i="1"/>
  <c r="N325" i="1"/>
  <c r="K325" i="1"/>
  <c r="H325" i="1"/>
  <c r="B293" i="1"/>
  <c r="B295" i="1" s="1"/>
  <c r="B283" i="1"/>
  <c r="D278" i="1"/>
  <c r="D275" i="1"/>
  <c r="D273" i="1"/>
  <c r="N271" i="1"/>
  <c r="D271" i="1"/>
  <c r="D270" i="1"/>
  <c r="P261" i="1"/>
  <c r="B216" i="1"/>
  <c r="Q210" i="1"/>
  <c r="H208" i="1"/>
  <c r="H204" i="1"/>
  <c r="H206" i="1" s="1"/>
  <c r="W199" i="1"/>
  <c r="N204" i="1" s="1"/>
  <c r="N206" i="1" s="1"/>
  <c r="N527" i="1" s="1"/>
  <c r="U199" i="1"/>
  <c r="U196" i="1" s="1"/>
  <c r="U197" i="1" s="1"/>
  <c r="S196" i="1"/>
  <c r="S197" i="1" s="1"/>
  <c r="Q191" i="1"/>
  <c r="Q186" i="1"/>
  <c r="N181" i="1"/>
  <c r="P254" i="1" s="1"/>
  <c r="N179" i="1"/>
  <c r="N177" i="1"/>
  <c r="N174" i="1"/>
  <c r="N172" i="1"/>
  <c r="N169" i="1"/>
  <c r="N166" i="1"/>
  <c r="N163" i="1"/>
  <c r="N161" i="1"/>
  <c r="N158" i="1"/>
  <c r="N155" i="1"/>
  <c r="K155" i="1"/>
  <c r="H155" i="1"/>
  <c r="B153" i="1"/>
  <c r="W148" i="1"/>
  <c r="W149" i="1" s="1"/>
  <c r="U148" i="1"/>
  <c r="U149" i="1" s="1"/>
  <c r="S148" i="1"/>
  <c r="S149" i="1" s="1"/>
  <c r="N144" i="1"/>
  <c r="P245" i="1" s="1"/>
  <c r="N142" i="1"/>
  <c r="N140" i="1"/>
  <c r="N136" i="1"/>
  <c r="N134" i="1"/>
  <c r="N132" i="1"/>
  <c r="N130" i="1"/>
  <c r="N128" i="1"/>
  <c r="N126" i="1"/>
  <c r="N124" i="1"/>
  <c r="N122" i="1"/>
  <c r="N120" i="1"/>
  <c r="P239" i="1" s="1"/>
  <c r="N118" i="1"/>
  <c r="N115" i="1"/>
  <c r="N113" i="1"/>
  <c r="N111" i="1"/>
  <c r="N109" i="1"/>
  <c r="N107" i="1"/>
  <c r="N105" i="1"/>
  <c r="N103" i="1"/>
  <c r="N101" i="1"/>
  <c r="N99" i="1"/>
  <c r="N97" i="1"/>
  <c r="N95" i="1"/>
  <c r="N93" i="1"/>
  <c r="N91" i="1"/>
  <c r="N89" i="1"/>
  <c r="N88" i="1"/>
  <c r="B87" i="1"/>
  <c r="W81" i="1"/>
  <c r="U81" i="1"/>
  <c r="S81" i="1"/>
  <c r="N81" i="1"/>
  <c r="N194" i="1" s="1"/>
  <c r="K81" i="1"/>
  <c r="K194" i="1" s="1"/>
  <c r="H81" i="1"/>
  <c r="H194" i="1" s="1"/>
  <c r="C78" i="1"/>
  <c r="W77" i="1"/>
  <c r="W78" i="1" s="1"/>
  <c r="U77" i="1"/>
  <c r="U78" i="1" s="1"/>
  <c r="S77" i="1"/>
  <c r="S78" i="1" s="1"/>
  <c r="N73" i="1"/>
  <c r="P232" i="1" s="1"/>
  <c r="N71" i="1"/>
  <c r="N69" i="1"/>
  <c r="N67" i="1"/>
  <c r="N65" i="1"/>
  <c r="N63" i="1"/>
  <c r="P228" i="1" s="1"/>
  <c r="N61" i="1"/>
  <c r="N55" i="1"/>
  <c r="N46" i="1"/>
  <c r="N523" i="1" s="1"/>
  <c r="K46" i="1"/>
  <c r="H46" i="1"/>
  <c r="G38" i="1"/>
  <c r="K37" i="1"/>
  <c r="Q367" i="1" s="1"/>
  <c r="P36" i="1"/>
  <c r="E8" i="1"/>
  <c r="E11" i="1" s="1"/>
  <c r="S82" i="1" l="1"/>
  <c r="S83" i="1" s="1"/>
  <c r="K204" i="1"/>
  <c r="K206" i="1" s="1"/>
  <c r="U201" i="1" s="1"/>
  <c r="H506" i="1"/>
  <c r="K506" i="1" s="1"/>
  <c r="M503" i="1"/>
  <c r="K495" i="1"/>
  <c r="S198" i="1"/>
  <c r="S201" i="1"/>
  <c r="Q297" i="1"/>
  <c r="L405" i="1"/>
  <c r="Q305" i="1"/>
  <c r="Q351" i="1"/>
  <c r="W82" i="1"/>
  <c r="W83" i="1" s="1"/>
  <c r="Q313" i="1"/>
  <c r="E14" i="1"/>
  <c r="E19" i="1" s="1"/>
  <c r="Z79" i="1"/>
  <c r="P149" i="1"/>
  <c r="P78" i="1"/>
  <c r="U200" i="1"/>
  <c r="N532" i="1"/>
  <c r="N525" i="1"/>
  <c r="W200" i="1"/>
  <c r="N270" i="1"/>
  <c r="Q357" i="1"/>
  <c r="Q369" i="1"/>
  <c r="L402" i="1"/>
  <c r="K496" i="1"/>
  <c r="K504" i="1"/>
  <c r="Q299" i="1"/>
  <c r="Q307" i="1"/>
  <c r="Q315" i="1"/>
  <c r="Q347" i="1"/>
  <c r="Q363" i="1"/>
  <c r="Q406" i="1"/>
  <c r="K497" i="1"/>
  <c r="U82" i="1"/>
  <c r="U83" i="1" s="1"/>
  <c r="W196" i="1"/>
  <c r="W197" i="1" s="1"/>
  <c r="Q325" i="1"/>
  <c r="Q353" i="1"/>
  <c r="L399" i="1"/>
  <c r="L403" i="1"/>
  <c r="D425" i="1"/>
  <c r="K498" i="1"/>
  <c r="W201" i="1"/>
  <c r="Q301" i="1"/>
  <c r="Q309" i="1"/>
  <c r="Q321" i="1"/>
  <c r="Q359" i="1"/>
  <c r="K492" i="1"/>
  <c r="B345" i="1"/>
  <c r="Q349" i="1"/>
  <c r="Q365" i="1"/>
  <c r="L400" i="1"/>
  <c r="L404" i="1"/>
  <c r="K493" i="1"/>
  <c r="K500" i="1"/>
  <c r="P37" i="1"/>
  <c r="Q295" i="1"/>
  <c r="Q303" i="1"/>
  <c r="Q311" i="1"/>
  <c r="Q323" i="1"/>
  <c r="Q355" i="1"/>
  <c r="Q371" i="1"/>
  <c r="N468" i="1"/>
  <c r="K502" i="1"/>
  <c r="B297" i="1"/>
  <c r="Q345" i="1"/>
  <c r="Q361" i="1"/>
  <c r="L401" i="1"/>
  <c r="K494" i="1"/>
  <c r="P83" i="1" l="1"/>
  <c r="S200" i="1"/>
  <c r="S205" i="1" s="1"/>
  <c r="K212" i="1"/>
  <c r="N208" i="1" s="1"/>
  <c r="U198" i="1"/>
  <c r="U205" i="1"/>
  <c r="D276" i="1"/>
  <c r="D427" i="1"/>
  <c r="D279" i="1"/>
  <c r="D277" i="1"/>
  <c r="P201" i="1"/>
  <c r="D280" i="1"/>
  <c r="H212" i="1"/>
  <c r="H339" i="1" s="1"/>
  <c r="H375" i="1" s="1"/>
  <c r="D274" i="1"/>
  <c r="L406" i="1"/>
  <c r="K417" i="1" s="1"/>
  <c r="K442" i="1" s="1"/>
  <c r="K445" i="1" s="1"/>
  <c r="W198" i="1"/>
  <c r="E25" i="1"/>
  <c r="E28" i="1" s="1"/>
  <c r="Q493" i="1"/>
  <c r="S206" i="1"/>
  <c r="AD198" i="1" s="1"/>
  <c r="B299" i="1"/>
  <c r="W205" i="1"/>
  <c r="B347" i="1"/>
  <c r="U206" i="1" l="1"/>
  <c r="P198" i="1"/>
  <c r="K339" i="1"/>
  <c r="K375" i="1" s="1"/>
  <c r="K289" i="1"/>
  <c r="K329" i="1" s="1"/>
  <c r="D430" i="1"/>
  <c r="D436" i="1" s="1"/>
  <c r="H289" i="1"/>
  <c r="H329" i="1" s="1"/>
  <c r="W206" i="1"/>
  <c r="K460" i="1"/>
  <c r="N212" i="1"/>
  <c r="N540" i="1" s="1"/>
  <c r="B349" i="1"/>
  <c r="B351" i="1" s="1"/>
  <c r="B301" i="1"/>
  <c r="N544" i="1" l="1"/>
  <c r="P206" i="1"/>
  <c r="D438" i="1"/>
  <c r="B303" i="1"/>
  <c r="B353" i="1"/>
  <c r="K454" i="1"/>
  <c r="K466" i="1" s="1"/>
  <c r="K468" i="1" s="1"/>
  <c r="K470" i="1" s="1"/>
  <c r="C542" i="1"/>
  <c r="N289" i="1"/>
  <c r="N329" i="1" s="1"/>
  <c r="N339" i="1"/>
  <c r="C538" i="1"/>
  <c r="Q212" i="1"/>
  <c r="P471" i="1" l="1"/>
  <c r="C473" i="1"/>
  <c r="B305" i="1"/>
  <c r="B355" i="1"/>
  <c r="N551" i="1"/>
  <c r="N553" i="1" s="1"/>
  <c r="N563" i="1" s="1"/>
  <c r="N567" i="1" s="1"/>
  <c r="E545" i="1"/>
  <c r="N559" i="1"/>
  <c r="N375" i="1"/>
  <c r="Q329" i="1"/>
  <c r="P329" i="1"/>
  <c r="N569" i="1" l="1"/>
  <c r="K569" i="1" s="1"/>
  <c r="E571" i="1" s="1"/>
  <c r="B307" i="1"/>
  <c r="B309" i="1" s="1"/>
  <c r="B311" i="1" s="1"/>
  <c r="B357" i="1"/>
  <c r="B359" i="1" s="1"/>
  <c r="Q375" i="1"/>
  <c r="P375" i="1"/>
  <c r="B313" i="1" l="1"/>
  <c r="B315" i="1" s="1"/>
  <c r="B361" i="1"/>
  <c r="B363" i="1" s="1"/>
  <c r="K563" i="1"/>
  <c r="B365" i="1" l="1"/>
  <c r="B367" i="1" s="1"/>
  <c r="B369" i="1" s="1"/>
  <c r="B371" i="1" s="1"/>
  <c r="D374" i="1" s="1"/>
  <c r="B317" i="1"/>
  <c r="B323" i="1" s="1"/>
  <c r="B325" i="1" s="1"/>
  <c r="D328"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<sst xmlns="http://schemas.openxmlformats.org/spreadsheetml/2006/main" count="830" uniqueCount="502">
  <si>
    <t>RFA 2021-211 DEVELOPMENT COST PRO FORMA</t>
  </si>
  <si>
    <t>NOTES:</t>
  </si>
  <si>
    <t xml:space="preserve">Developer fee may not exceed the limits established in Rule Chapters 67-21 and 67-48, F.A.C., or this RFA.  Any portion of the fee </t>
  </si>
  <si>
    <t xml:space="preserve">that has been deferred must be included in Total Development Cost. </t>
  </si>
  <si>
    <t xml:space="preserve">maximum Developer fee is 21%, the 5% portion available for ODR must be entered on its own separate line and the remaining </t>
  </si>
  <si>
    <t>16% portion would be the limiting amount on the other Developer fee line(s).</t>
  </si>
  <si>
    <t xml:space="preserve">When Housing Credit equity proceeds are being used as a source of financing, complete Columns 1 and 2.  The </t>
  </si>
  <si>
    <t>various FHFC Program fees should be estimated and included in column 2 for at least the Housing Credit Program.</t>
  </si>
  <si>
    <t>along with the MMRB Program, if applicable.</t>
  </si>
  <si>
    <t xml:space="preserve">General Contractor's fee is limited to 14% of actual construction cost (for Application purposes, this is represented by </t>
  </si>
  <si>
    <t xml:space="preserve">A1.1. Column 3), rounded down to nearest dollar. The General Contractor's fee must be disclosed.  The General Contractor's </t>
  </si>
  <si>
    <t>fee includes General Conditions, Overhead, and Profit.</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</si>
  <si>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</si>
  <si>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</si>
  <si>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contingency allowed cannot exceed </t>
  </si>
  <si>
    <t xml:space="preserve">5% of the amount provided in column 3 for A2.1 TOTAL GENERAL DEVELOPMENT COST.  Limitations on these contingency </t>
  </si>
  <si>
    <t>line items post-Application are provided in Rule Chapters 67-21 and 67-48, F.A.C. (if applicable) and this RFA.</t>
  </si>
  <si>
    <t xml:space="preserve">Commercial, retail, and office space are not functionally related and subordinate to the residential units, and are not </t>
  </si>
  <si>
    <t>considered to be community service facilities. As such, these costs are neither considered in eligible basis nor included</t>
  </si>
  <si>
    <t>in the TDC PU Limitation process.</t>
  </si>
  <si>
    <t xml:space="preserve">Although the Corporation acknowledges that the costs listed on the Development Cost Pro Forma, Detail/Explanation Sheet, </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</si>
  <si>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</si>
  <si>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</si>
  <si>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in Rule Chapters 67-21 and 67-48, F.A.C., as applicable.</t>
  </si>
  <si>
    <t>USE THE DETAIL/EXPLANATION SHEET FOR EXPLANATION OF * ITEMS.  IF ADDITIONAL SPACE IS REQUIRED, ENTER THE</t>
  </si>
  <si>
    <t xml:space="preserve">INFORMATION ON THE ADDENDA LOCATED AT THE END OF THE APPLICATION. </t>
  </si>
  <si>
    <t>What was the Development Category of the Proposed Development:</t>
  </si>
  <si>
    <t>Rehabilitation (w/ or w/o Acquisition)</t>
  </si>
  <si>
    <t>**</t>
  </si>
  <si>
    <t>If a double asterisk is indicated within the Development Cost Pro Forma, there is an error on that line item.</t>
  </si>
  <si>
    <t>Indicate the number of total units in the proposed Development:</t>
  </si>
  <si>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</si>
  <si>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Original Application</t>
  </si>
  <si>
    <t>Approved CUR</t>
  </si>
  <si>
    <t>Current Application</t>
  </si>
  <si>
    <t>GENERAL INFORMATION</t>
  </si>
  <si>
    <t>HC Allocation (from LOI)</t>
  </si>
  <si>
    <t>$</t>
  </si>
  <si>
    <t>Limited Partner(s) Ownership %</t>
  </si>
  <si>
    <t>HC Pricing (Auto-Calculated)</t>
  </si>
  <si>
    <t>Total Units</t>
  </si>
  <si>
    <t>New LG Fee Waiver Form Amount</t>
  </si>
  <si>
    <t>DEVELOPMENT COSTS</t>
  </si>
  <si>
    <t xml:space="preserve">Actual Construction Costs </t>
  </si>
  <si>
    <t>Accessory Buildings</t>
  </si>
  <si>
    <t>Demolition</t>
  </si>
  <si>
    <r>
      <t xml:space="preserve">Commercial/Retail Space </t>
    </r>
    <r>
      <rPr>
        <vertAlign val="superscript"/>
        <sz val="9"/>
        <rFont val="Arial"/>
        <family val="2"/>
      </rPr>
      <t>See Note (6)</t>
    </r>
  </si>
  <si>
    <t>New Rental Units</t>
  </si>
  <si>
    <t>*Off-Site Work (explain in detail)</t>
  </si>
  <si>
    <t>Recreational Amenities</t>
  </si>
  <si>
    <t>Rehab of Existing Common Areas</t>
  </si>
  <si>
    <t>Rehab of Existing Rental Units</t>
  </si>
  <si>
    <t>Site Work</t>
  </si>
  <si>
    <t>*Other (explain in detail)</t>
  </si>
  <si>
    <t>A1.1.</t>
  </si>
  <si>
    <t xml:space="preserve">Actual Construction Cost </t>
  </si>
  <si>
    <t>General Contractor Fee</t>
  </si>
  <si>
    <t>Maximum GC Fee (%):</t>
  </si>
  <si>
    <t>A1.2.</t>
  </si>
  <si>
    <r>
      <t xml:space="preserve">General Contractor Fee </t>
    </r>
    <r>
      <rPr>
        <b/>
        <vertAlign val="superscript"/>
        <sz val="9"/>
        <rFont val="Arial"/>
        <family val="2"/>
      </rPr>
      <t>See Note (3)</t>
    </r>
  </si>
  <si>
    <t>Maximum GC Fee ($):</t>
  </si>
  <si>
    <t>Meet Limitation Requirement?</t>
  </si>
  <si>
    <t>A1.3.</t>
  </si>
  <si>
    <t>TOTAL ACTUAL CONSTRUCTION</t>
  </si>
  <si>
    <t>Hard Cost Contingency</t>
  </si>
  <si>
    <t>COSTS</t>
  </si>
  <si>
    <t>Max Hard Cost Contingency (%):</t>
  </si>
  <si>
    <t>Max Hard Cost Contingency ($):</t>
  </si>
  <si>
    <t>A1.4.</t>
  </si>
  <si>
    <r>
      <t xml:space="preserve">HARD COST CONTINGENCY </t>
    </r>
    <r>
      <rPr>
        <b/>
        <vertAlign val="superscript"/>
        <sz val="9"/>
        <color theme="1"/>
        <rFont val="Arial"/>
        <family val="2"/>
      </rPr>
      <t>See Note (4)</t>
    </r>
  </si>
  <si>
    <t>(Page 2 of 8)</t>
  </si>
  <si>
    <t>General Development Costs</t>
  </si>
  <si>
    <t>The cost of preparing the cost certifications and any accounting fees associated with organizing the Applicant entity are to be excluded from eligible basis.*</t>
  </si>
  <si>
    <t>Accounting Fees</t>
  </si>
  <si>
    <t>Appraisal</t>
  </si>
  <si>
    <t>The cost of the preparation of erosion control plan, grading plan, utility plans, general details, easement descriptions, sewer and sanitary plans and traffic engineering are to be excluded from eligible basis.*</t>
  </si>
  <si>
    <t>Architect's Fee - Site/Building Design</t>
  </si>
  <si>
    <t>Architect's Fee - Supervision</t>
  </si>
  <si>
    <t>Builder's Risk Insurance</t>
  </si>
  <si>
    <t>Building Permit</t>
  </si>
  <si>
    <t>Capital Needs Assessment</t>
  </si>
  <si>
    <t>Engineering Fees</t>
  </si>
  <si>
    <t>The cost of environment surveys such as percolation tests and contamination studies are to be excluded from eligible basis.*</t>
  </si>
  <si>
    <t>Environmental Report</t>
  </si>
  <si>
    <r>
      <t xml:space="preserve">FHFC Administrative Fee </t>
    </r>
    <r>
      <rPr>
        <vertAlign val="superscript"/>
        <sz val="9"/>
        <rFont val="Arial"/>
        <family val="2"/>
      </rPr>
      <t xml:space="preserve">See Note (2) </t>
    </r>
  </si>
  <si>
    <t>If tax-exempt bonds are part of the construction financing, this line item cannot have any costs in the first column.</t>
  </si>
  <si>
    <r>
      <t>FHFC Application Fee</t>
    </r>
    <r>
      <rPr>
        <vertAlign val="superscript"/>
        <sz val="9"/>
        <rFont val="Arial"/>
        <family val="2"/>
      </rPr>
      <t xml:space="preserve"> See Note (2) </t>
    </r>
  </si>
  <si>
    <r>
      <t xml:space="preserve">FHFC Compliance Fee </t>
    </r>
    <r>
      <rPr>
        <vertAlign val="superscript"/>
        <sz val="9"/>
        <rFont val="Arial"/>
        <family val="2"/>
      </rPr>
      <t xml:space="preserve">See Note (2) </t>
    </r>
  </si>
  <si>
    <r>
      <t>FHFC PRL/Credit Underwriting Fees</t>
    </r>
    <r>
      <rPr>
        <vertAlign val="superscript"/>
        <sz val="9"/>
        <rFont val="Arial"/>
        <family val="2"/>
      </rPr>
      <t xml:space="preserve"> See Note (2)</t>
    </r>
  </si>
  <si>
    <t>Green Building Certification/</t>
  </si>
  <si>
    <t>HERS Inspection Costs</t>
  </si>
  <si>
    <t>Do not include any part of any impact fees that are to be paid initially, but will be returned/refunded back to the Applicant at a later date, usually upon delivery of an affordable housing development.</t>
  </si>
  <si>
    <t>*Impact Fees (list in detail)</t>
  </si>
  <si>
    <t>Bank inspector fees associated with tax-exempt bonds are to be excluded from eligible basis.*</t>
  </si>
  <si>
    <t>Inspection Fees</t>
  </si>
  <si>
    <t>Insurance</t>
  </si>
  <si>
    <t>Certain legal fees are to be excluded from eligible basis, such as those associated with issuance of tax-exempt bonds, partnership costs, land acquisition, and negotiating financing.*</t>
  </si>
  <si>
    <t>Legal Fees</t>
  </si>
  <si>
    <t>The market study required by IRS prior to the issuance of the Carryover Agreement is to be excluded from eligible basis.*</t>
  </si>
  <si>
    <t>Market Study</t>
  </si>
  <si>
    <t>Marketing/Advertising</t>
  </si>
  <si>
    <t>The cost of property taxes accrued outside of the term beginning at time of acquisition through issuance of the certificate of occupancy (or temporary) are to be excluded from eligible basis.*</t>
  </si>
  <si>
    <t>Property Taxes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</si>
  <si>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</si>
  <si>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Soil Test Report</t>
  </si>
  <si>
    <t>The cost of a land, boundary or mortgage survey that help to define the entire property is to be excluded from eligible basis.*</t>
  </si>
  <si>
    <t>Survey</t>
  </si>
  <si>
    <t>Relocation costs are considered to be ineligible basis when the building from which the tenants came is demolished, unless otherwise addressed by IRC Section 42.*</t>
  </si>
  <si>
    <t>Tenant Relocation Costs</t>
  </si>
  <si>
    <t>Title insurance and recording fees associated with permanent financing sources are not to be included in eligible basis.*</t>
  </si>
  <si>
    <t>Title Insurance &amp; Recording Fees</t>
  </si>
  <si>
    <t>Utility Connection Fee</t>
  </si>
  <si>
    <t>Some items placed in this general category should be classified as ineligible basis. Examples include tenant relocation costs when the building they were occupying is to be demolished, partnership organization fees, syndication legal fees.*</t>
  </si>
  <si>
    <t>A2.1.</t>
  </si>
  <si>
    <t>TOTAL GENERAL DEVELOPMENT</t>
  </si>
  <si>
    <t>Soft Cost Contingency</t>
  </si>
  <si>
    <t>COST</t>
  </si>
  <si>
    <t>Max Soft Cost Contingency (%):</t>
  </si>
  <si>
    <t>Max Soft Cost Contingency ($):</t>
  </si>
  <si>
    <t>A2.2.</t>
  </si>
  <si>
    <r>
      <t xml:space="preserve">SOFT COST CONTINGENCY </t>
    </r>
    <r>
      <rPr>
        <b/>
        <vertAlign val="superscript"/>
        <sz val="9"/>
        <color theme="1"/>
        <rFont val="Arial"/>
        <family val="2"/>
      </rPr>
      <t>See Note (4)</t>
    </r>
  </si>
  <si>
    <t xml:space="preserve">Financial Costs </t>
  </si>
  <si>
    <t>Construction Loan Origination/</t>
  </si>
  <si>
    <t>Commitment Fee(s)</t>
  </si>
  <si>
    <t>Construction Loan Credit</t>
  </si>
  <si>
    <t>Enhancement Fee(s)</t>
  </si>
  <si>
    <t>Construction Loan Interest</t>
  </si>
  <si>
    <t>Non-Permanent Loan(s) Closing</t>
  </si>
  <si>
    <t>Costs</t>
  </si>
  <si>
    <t>Any costs associated with the issuance of tax-exempt bonds are to be excluded from eligible basis.*</t>
  </si>
  <si>
    <t>Permanent Loan Origination/</t>
  </si>
  <si>
    <t>Permanent Loan Credit</t>
  </si>
  <si>
    <t>Permanent Loan Closing Costs</t>
  </si>
  <si>
    <t>Bridge Loan Origination/</t>
  </si>
  <si>
    <t>Bridge Loan Interest</t>
  </si>
  <si>
    <t>Some items placed in this general category should be classified as ineligible basis.* Examples include syndication fees, credit underwriting of a tax-exempt bond, bond issuance costs.*</t>
  </si>
  <si>
    <t>A3.</t>
  </si>
  <si>
    <t>TOTAL FINANCIAL COSTS</t>
  </si>
  <si>
    <t>ACQUISITION COST OF EXISTING</t>
  </si>
  <si>
    <t>DEVELOPMENT (excluding land)</t>
  </si>
  <si>
    <t>Existing Building(s)</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</si>
  <si>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</si>
  <si>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B.</t>
  </si>
  <si>
    <t>TOTAL ACQUISITION COSTS OF EXISTING</t>
  </si>
  <si>
    <t>C.</t>
  </si>
  <si>
    <t xml:space="preserve">DEVELOPMENT COST </t>
  </si>
  <si>
    <t>(A1.3+A1.4+A2.1+A2.2+A3+B)</t>
  </si>
  <si>
    <t>Developer Fee</t>
  </si>
  <si>
    <r>
      <t xml:space="preserve">Max </t>
    </r>
    <r>
      <rPr>
        <b/>
        <sz val="10"/>
        <color theme="1"/>
        <rFont val="Arial"/>
        <family val="2"/>
      </rPr>
      <t>Acquisition</t>
    </r>
    <r>
      <rPr>
        <sz val="10"/>
        <color theme="1"/>
        <rFont val="Arial"/>
        <family val="2"/>
      </rPr>
      <t xml:space="preserve"> Dev. Fee (%):</t>
    </r>
  </si>
  <si>
    <r>
      <t xml:space="preserve">Developer Fee </t>
    </r>
    <r>
      <rPr>
        <b/>
        <i/>
        <vertAlign val="superscript"/>
        <sz val="9"/>
        <rFont val="Arial"/>
        <family val="2"/>
      </rPr>
      <t>See Note (1)</t>
    </r>
  </si>
  <si>
    <r>
      <t xml:space="preserve">Max </t>
    </r>
    <r>
      <rPr>
        <b/>
        <sz val="10"/>
        <color theme="1"/>
        <rFont val="Arial"/>
        <family val="2"/>
      </rPr>
      <t>Acquisition</t>
    </r>
    <r>
      <rPr>
        <sz val="10"/>
        <color theme="1"/>
        <rFont val="Arial"/>
        <family val="2"/>
      </rPr>
      <t xml:space="preserve"> Dev. Fee ($):</t>
    </r>
  </si>
  <si>
    <t>Developer Fee on Acquisition Costs</t>
  </si>
  <si>
    <r>
      <t xml:space="preserve">Meet </t>
    </r>
    <r>
      <rPr>
        <b/>
        <sz val="10"/>
        <color theme="1"/>
        <rFont val="Arial"/>
        <family val="2"/>
      </rPr>
      <t>Acq</t>
    </r>
    <r>
      <rPr>
        <sz val="10"/>
        <color theme="1"/>
        <rFont val="Arial"/>
        <family val="2"/>
      </rPr>
      <t xml:space="preserve"> Limit Requirement?</t>
    </r>
  </si>
  <si>
    <r>
      <t xml:space="preserve">Max </t>
    </r>
    <r>
      <rPr>
        <b/>
        <sz val="10"/>
        <color theme="1"/>
        <rFont val="Arial"/>
        <family val="2"/>
      </rPr>
      <t>Non-Acq</t>
    </r>
    <r>
      <rPr>
        <sz val="10"/>
        <color theme="1"/>
        <rFont val="Arial"/>
        <family val="2"/>
      </rPr>
      <t xml:space="preserve"> Dev. Fee (%):</t>
    </r>
  </si>
  <si>
    <r>
      <t xml:space="preserve">Max </t>
    </r>
    <r>
      <rPr>
        <b/>
        <sz val="10"/>
        <color theme="1"/>
        <rFont val="Arial"/>
        <family val="2"/>
      </rPr>
      <t>Non-Acq</t>
    </r>
    <r>
      <rPr>
        <sz val="10"/>
        <color theme="1"/>
        <rFont val="Arial"/>
        <family val="2"/>
      </rPr>
      <t xml:space="preserve"> Dev. Fee ($):</t>
    </r>
  </si>
  <si>
    <t>Developer Fee on Non-Acquisition Costs</t>
  </si>
  <si>
    <r>
      <t xml:space="preserve">Meet </t>
    </r>
    <r>
      <rPr>
        <b/>
        <sz val="10"/>
        <color theme="1"/>
        <rFont val="Arial"/>
        <family val="2"/>
      </rPr>
      <t>Non-Acq</t>
    </r>
    <r>
      <rPr>
        <sz val="10"/>
        <color theme="1"/>
        <rFont val="Arial"/>
        <family val="2"/>
      </rPr>
      <t xml:space="preserve"> Limit Requirement?</t>
    </r>
  </si>
  <si>
    <r>
      <t>Additional 5% Developer Fee</t>
    </r>
    <r>
      <rPr>
        <sz val="8"/>
        <rFont val="Arial"/>
        <family val="2"/>
      </rPr>
      <t xml:space="preserve"> for Homeless/</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</si>
  <si>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</si>
  <si>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</si>
  <si>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r>
      <t xml:space="preserve">Max </t>
    </r>
    <r>
      <rPr>
        <b/>
        <sz val="10"/>
        <color theme="1"/>
        <rFont val="Arial"/>
        <family val="2"/>
      </rPr>
      <t>Total</t>
    </r>
    <r>
      <rPr>
        <sz val="10"/>
        <color theme="1"/>
        <rFont val="Arial"/>
        <family val="2"/>
      </rPr>
      <t xml:space="preserve"> Developer Fee ($)</t>
    </r>
  </si>
  <si>
    <t>D.</t>
  </si>
  <si>
    <t>TOTAL DEVELOPER FEE (TDF)</t>
  </si>
  <si>
    <r>
      <t xml:space="preserve">Meet </t>
    </r>
    <r>
      <rPr>
        <b/>
        <sz val="10"/>
        <color theme="1"/>
        <rFont val="Arial"/>
        <family val="2"/>
      </rPr>
      <t>Total</t>
    </r>
    <r>
      <rPr>
        <sz val="10"/>
        <color theme="1"/>
        <rFont val="Arial"/>
        <family val="2"/>
      </rPr>
      <t xml:space="preserve"> Limit Requirement?</t>
    </r>
  </si>
  <si>
    <t>E.</t>
  </si>
  <si>
    <r>
      <t xml:space="preserve">OPERATING DEFICIT RESERVES </t>
    </r>
    <r>
      <rPr>
        <b/>
        <vertAlign val="superscript"/>
        <sz val="9"/>
        <color theme="1"/>
        <rFont val="Arial"/>
        <family val="2"/>
      </rPr>
      <t>See Note (5)</t>
    </r>
  </si>
  <si>
    <t>F.</t>
  </si>
  <si>
    <t>TOTAL LAND COST</t>
  </si>
  <si>
    <t>G.</t>
  </si>
  <si>
    <r>
      <t xml:space="preserve">TOTAL DEVELOPMENT COST </t>
    </r>
    <r>
      <rPr>
        <b/>
        <vertAlign val="superscript"/>
        <sz val="9"/>
        <rFont val="Arial"/>
        <family val="2"/>
      </rPr>
      <t>See Note (7)</t>
    </r>
  </si>
  <si>
    <t>(C+D+E+F)</t>
  </si>
  <si>
    <t>(Page 4 of 8)</t>
  </si>
  <si>
    <t>Detail/Explanation Sheet</t>
  </si>
  <si>
    <t xml:space="preserve">Totals must agree with Pro Forma.  Provide component descriptions and amounts for each item that has been </t>
  </si>
  <si>
    <t>completed on the Pro Forma that requires a detailed list or explanation.</t>
  </si>
  <si>
    <t>Actual Construction Cost</t>
  </si>
  <si>
    <t>(as listed at Item A1.)</t>
  </si>
  <si>
    <t xml:space="preserve">Off-Site Work:  </t>
  </si>
  <si>
    <t xml:space="preserve">Other:  </t>
  </si>
  <si>
    <t>(as listed at Item A2.)</t>
  </si>
  <si>
    <t xml:space="preserve">Impact Fees:  </t>
  </si>
  <si>
    <t>Financial Costs</t>
  </si>
  <si>
    <t>(as listed at Item A3.)</t>
  </si>
  <si>
    <t>Other:</t>
  </si>
  <si>
    <t>Acquisition Cost of Existing Developments</t>
  </si>
  <si>
    <t>(as listed at Item B2. )</t>
  </si>
  <si>
    <t xml:space="preserve">NOTES: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</si>
  <si>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</si>
  <si>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</si>
  <si>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</si>
  <si>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Yes</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</si>
  <si>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</si>
  <si>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t>CONSTRUCTION/REHAB ANALYSIS</t>
  </si>
  <si>
    <t>A.</t>
  </si>
  <si>
    <t>Total Development Costs</t>
  </si>
  <si>
    <t>Construction Funding Sources:</t>
  </si>
  <si>
    <t>$ Per Unit</t>
  </si>
  <si>
    <t>Non-FHFC Other Mtg. Financing</t>
  </si>
  <si>
    <t>FHFC - SAIL Funding</t>
  </si>
  <si>
    <t>FHFC - ELI Funding</t>
  </si>
  <si>
    <t>FHFC - NHTF Funding</t>
  </si>
  <si>
    <t>FHFC Funding:</t>
  </si>
  <si>
    <t>&lt;select from menu&gt;</t>
  </si>
  <si>
    <t>FHFC - Viability Funding</t>
  </si>
  <si>
    <t>Deferred Developer Fee</t>
  </si>
  <si>
    <t>Total Construction Sources</t>
  </si>
  <si>
    <t>Construction Funding Surplus</t>
  </si>
  <si>
    <t>Each Attachment must be listed behind its own Tab.  DO NOT INCLUDE ALL ATTACHMENTS BEHIND ONE TAB.</t>
  </si>
  <si>
    <t>PERMANENT ANALYSIS</t>
  </si>
  <si>
    <t>Permanent Funding Sources:</t>
  </si>
  <si>
    <t>HC Syndication/HC Equity Proceeds</t>
  </si>
  <si>
    <t>Total Permanent Funding Sources</t>
  </si>
  <si>
    <t>Permanent Funding Surplus</t>
  </si>
  <si>
    <t>VIABILITY TDC PU LIMITATION ANALYSIS</t>
  </si>
  <si>
    <t>In which county is the proposed Development to be located?...............................................................................</t>
  </si>
  <si>
    <t>Broward</t>
  </si>
  <si>
    <t xml:space="preserve">Will the proposed development be comprised of multiple development categories, </t>
  </si>
  <si>
    <t>development types, or ESS designations?......................................................................................................</t>
  </si>
  <si>
    <t>Blended Characteristic TDC PU Base Limitation</t>
  </si>
  <si>
    <t>Unit Category, Type, and ESS Designation</t>
  </si>
  <si>
    <t>Unit Count</t>
  </si>
  <si>
    <t>Maximum TDC PU Limitation</t>
  </si>
  <si>
    <t>Pro Rata Limits</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</si>
  <si>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</si>
  <si>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</si>
  <si>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</si>
  <si>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</si>
  <si>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</si>
  <si>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</si>
  <si>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</si>
  <si>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</si>
  <si>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For TDC PU Limitation purposes, Garden Apartments include all structure types that are 3 stories or less (Garden Apartments, Single Family Homes, Duplexes, Quadraplexes).</t>
  </si>
  <si>
    <t>The TDC PU Base Limitation for the above defined Development is………………………………………....</t>
  </si>
  <si>
    <t>Does the proposed Development qualify for any of the following TDC PU Add-Ons or Multipliers?  Choose all that apply.</t>
  </si>
  <si>
    <t>(a) PHA is a Principal/Affiliate Add-On……………………………………………………………………..</t>
  </si>
  <si>
    <t>(Select one or no option, as applicable)</t>
  </si>
  <si>
    <t>(b) Requesting HOME funds from FHFC Add-On………………………………………………….</t>
  </si>
  <si>
    <t>(c) Requesting CDBG-DR funds from FHFC Add-On…………………………………………….</t>
  </si>
  <si>
    <t>Tax-Exempt Bond Add-On…………………………………………………………………………………………….</t>
  </si>
  <si>
    <t>(Select if applicable)</t>
  </si>
  <si>
    <t>(a) North Florida Keys Area Multiplier……………………………………………………………..</t>
  </si>
  <si>
    <t>(Select one option if applicable)</t>
  </si>
  <si>
    <t>(b) South Florida Keys Area Multiplier…………………………………………………………….</t>
  </si>
  <si>
    <t>(a) Persons with Developmental Disabilities Multiplier…………………………………………………………</t>
  </si>
  <si>
    <t>(b) Persons with a Disabling Condition Multiplier…………………………………………………</t>
  </si>
  <si>
    <t>(c) PDC/PCC Construction Features Multiplier…………………………………………………………</t>
  </si>
  <si>
    <t>(d) Persons with Special Needs Multiplier…………………………………………………………</t>
  </si>
  <si>
    <t>(e) Homeless Demographic Multiplier……………………………………………………………….</t>
  </si>
  <si>
    <t>Elderly ALF Multiplier…………………………………………………………………………….</t>
  </si>
  <si>
    <t>(a) Less than 51 units Multiplier*…………………………………………………………………….</t>
  </si>
  <si>
    <t>(b) More than 50 units, but less than 81 units Multiplier*…………………………………………</t>
  </si>
  <si>
    <t>*For 9% HC Permanent Supportive Housing RFAs only.  The proposed Development must be new construction to qualify as well as not being located in Monroe County.</t>
  </si>
  <si>
    <r>
      <t xml:space="preserve">The </t>
    </r>
    <r>
      <rPr>
        <u/>
        <sz val="9"/>
        <color theme="1"/>
        <rFont val="Arial"/>
        <family val="2"/>
      </rPr>
      <t>pre-escalation</t>
    </r>
    <r>
      <rPr>
        <sz val="9"/>
        <color theme="1"/>
        <rFont val="Arial"/>
        <family val="2"/>
      </rPr>
      <t xml:space="preserve"> overall Viability TDC PU Limitation for the above defined Development is…...…………...................................................................................…………</t>
    </r>
  </si>
  <si>
    <r>
      <t xml:space="preserve">The </t>
    </r>
    <r>
      <rPr>
        <u/>
        <sz val="9"/>
        <color theme="1"/>
        <rFont val="Arial"/>
        <family val="2"/>
      </rPr>
      <t>Final</t>
    </r>
    <r>
      <rPr>
        <sz val="9"/>
        <color theme="1"/>
        <rFont val="Arial"/>
        <family val="2"/>
      </rPr>
      <t xml:space="preserve"> overall Viability TDC PU Limitation with 15.5% Escalation Rate for the above defined Development is …...………....................……................................…………</t>
    </r>
  </si>
  <si>
    <t>Derivation of the Viability TDC PU of the proposed Development for Limitation purposes:</t>
  </si>
  <si>
    <t>Total Development Costs (Line G., column 3)</t>
  </si>
  <si>
    <t>Less Acq. Cost of Existing Dev. (excluding land) - Existing Building(s)</t>
  </si>
  <si>
    <t>Less Land Acquisition Costs (Line F., column 3)</t>
  </si>
  <si>
    <t>Less Operating Deficit Reserves (Line E., column 3)</t>
  </si>
  <si>
    <t>Less Demolition and Relocation Costs, if applicable</t>
  </si>
  <si>
    <t>Less Commercial/Retail Space Costs, if applicable</t>
  </si>
  <si>
    <t>Viability TDC of the proposed Development for Limitation Purposes:</t>
  </si>
  <si>
    <t>Viability TDC PU of the proposed Development for Limitation Purposes:</t>
  </si>
  <si>
    <t>Is the proposed Development's Viability TDC PU for Limitation purposes</t>
  </si>
  <si>
    <t>equal to or less than the TDC PU Limitation provided in the RFA?.......................................................</t>
  </si>
  <si>
    <t>(Page 8 of 8)</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</si>
  <si>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</si>
  <si>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</si>
  <si>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</si>
  <si>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</si>
  <si>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</si>
  <si>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</si>
  <si>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INCOME AVERAGING WORKSHEET</t>
  </si>
  <si>
    <t>AMI Set-Aside</t>
  </si>
  <si>
    <t># of Units</t>
  </si>
  <si>
    <t>% of Units</t>
  </si>
  <si>
    <t>(ELI Designation)</t>
  </si>
  <si>
    <t>(This should match the HC Set-Aside Commitment in the Application)</t>
  </si>
  <si>
    <t>Total Qualifying Housing Credit Units</t>
  </si>
  <si>
    <t>Market Rate Units</t>
  </si>
  <si>
    <t>Average AMI of the Qualifying Housing Credit Units</t>
  </si>
  <si>
    <t>HC Equity Calculation for Sizing Purposes</t>
  </si>
  <si>
    <t>HC Allocation</t>
  </si>
  <si>
    <t>Greater of Syndicator's LOI HC Price or $.90</t>
  </si>
  <si>
    <t>Resulting HC Equity for sizing</t>
  </si>
  <si>
    <t>Minimum Deferred Developer Fee</t>
  </si>
  <si>
    <t>Permanent Sources Excluding DDF, HC Equity, &amp; Viability</t>
  </si>
  <si>
    <t>Greater amount of permanent sources that are not deferred developer fee or HC Equity as presented</t>
  </si>
  <si>
    <t>in the original application or the current application ("other permanent sources")</t>
  </si>
  <si>
    <t>Viability Loan Sizing</t>
  </si>
  <si>
    <t>A:</t>
  </si>
  <si>
    <t>Gap</t>
  </si>
  <si>
    <t>*</t>
  </si>
  <si>
    <t>51% Test</t>
  </si>
  <si>
    <t>B:</t>
  </si>
  <si>
    <t>Maximum Viability Loan Amount relative to the Per Unit Limit:</t>
  </si>
  <si>
    <t>C:</t>
  </si>
  <si>
    <t>Maximum Viability Loan Amount relative to the Per Development Limit:</t>
  </si>
  <si>
    <t>D:</t>
  </si>
  <si>
    <t>The Lesser of A through C above, and the Applicant's Viability Loan Request Amount:</t>
  </si>
  <si>
    <t>Qualifying Amount</t>
  </si>
  <si>
    <t>E:</t>
  </si>
  <si>
    <t>Eligible Viability Loan Funding Request Amount:</t>
  </si>
  <si>
    <t>Adjusted Total Permanent Sources After Viability Loan Sizing</t>
  </si>
  <si>
    <t>Total Development Cost</t>
  </si>
  <si>
    <t>HC Syndication/HC Equity Proceeds (Actual)</t>
  </si>
  <si>
    <t>Qualified Viability Loan (Sized)</t>
  </si>
  <si>
    <t>Remaining Permanent Sources (Actual)</t>
  </si>
  <si>
    <t>Adjusted Total Permanent Sources Before DDF:</t>
  </si>
  <si>
    <t>Remaining Permanent Funding GAP to be Offset by DDF:</t>
  </si>
  <si>
    <t>% of TDF:</t>
  </si>
  <si>
    <t>INFORMATION BELOW IS USED TO ASSIST DROP-DOWN MENUS AND VARIOUS FORMULAS.  DO NOT ADJUST.</t>
  </si>
  <si>
    <t>(please select %)</t>
  </si>
  <si>
    <t>(please select from drop-down menu)</t>
  </si>
  <si>
    <t>New Construction (w/ or w/o Acquisition)</t>
  </si>
  <si>
    <t>Garden</t>
  </si>
  <si>
    <t>No</t>
  </si>
  <si>
    <t>Redevelopment (w/ or w/o Acquisition)</t>
  </si>
  <si>
    <t>Mid-Rise</t>
  </si>
  <si>
    <t>N/A (Rehab only)</t>
  </si>
  <si>
    <t>High-Rise</t>
  </si>
  <si>
    <t>Preservation (w/ or w/o Acquisition)</t>
  </si>
  <si>
    <r>
      <t>Non-Garden</t>
    </r>
    <r>
      <rPr>
        <i/>
        <sz val="9"/>
        <color rgb="FF7030A0"/>
        <rFont val="Arial"/>
        <family val="2"/>
      </rPr>
      <t xml:space="preserve"> (Rehab only)</t>
    </r>
  </si>
  <si>
    <t>2021-2022</t>
  </si>
  <si>
    <t>2020-2021</t>
  </si>
  <si>
    <t>Alachua</t>
  </si>
  <si>
    <t>Medium</t>
  </si>
  <si>
    <t>PF-NC-GA-ESSC</t>
  </si>
  <si>
    <t>Baker</t>
  </si>
  <si>
    <t>Small</t>
  </si>
  <si>
    <t>PF-NC-GA-W</t>
  </si>
  <si>
    <t>Bay</t>
  </si>
  <si>
    <t>PF-NC-HR-ESSC</t>
  </si>
  <si>
    <t>Bradford</t>
  </si>
  <si>
    <t>PF-NC-MR-ESSC</t>
  </si>
  <si>
    <t>Brevard</t>
  </si>
  <si>
    <t>PF-NC-MR-W</t>
  </si>
  <si>
    <t>Large</t>
  </si>
  <si>
    <t>PF-RC-GA-</t>
  </si>
  <si>
    <t>Calhoun</t>
  </si>
  <si>
    <t>PF-RC-NG-</t>
  </si>
  <si>
    <t>Charlotte</t>
  </si>
  <si>
    <t>SF-NC-GA-ESSC</t>
  </si>
  <si>
    <t>Citrus</t>
  </si>
  <si>
    <t>SF-NC-GA-W</t>
  </si>
  <si>
    <t>Clay</t>
  </si>
  <si>
    <t>SF-NC-HR-ESSC</t>
  </si>
  <si>
    <t>Collier</t>
  </si>
  <si>
    <t>SF-NC-MR-ESSC</t>
  </si>
  <si>
    <t>Columbia</t>
  </si>
  <si>
    <t>SF-NC-MR-W</t>
  </si>
  <si>
    <t>De Soto</t>
  </si>
  <si>
    <t>SF-RC-GA-</t>
  </si>
  <si>
    <t>Dixie</t>
  </si>
  <si>
    <t>SF-RC-NG-</t>
  </si>
  <si>
    <t>Duval</t>
  </si>
  <si>
    <t>Escambia</t>
  </si>
  <si>
    <t>PHA/FHFC HOME/CDBG-DR</t>
  </si>
  <si>
    <t>Flagler</t>
  </si>
  <si>
    <t>Tax-Exempt Bonds</t>
  </si>
  <si>
    <t>Franklin</t>
  </si>
  <si>
    <t>North Florida Keys Area</t>
  </si>
  <si>
    <t>Gadsden</t>
  </si>
  <si>
    <t>South Florida Keys Area</t>
  </si>
  <si>
    <t>Gilchrist</t>
  </si>
  <si>
    <t>Persons with Developmental Disabilities</t>
  </si>
  <si>
    <t>Glades</t>
  </si>
  <si>
    <t>Persons with a Disabling Condition</t>
  </si>
  <si>
    <t>Gulf</t>
  </si>
  <si>
    <t>Construction Features Multiplier</t>
  </si>
  <si>
    <t>Hamilton</t>
  </si>
  <si>
    <t>Persons with Special Needs</t>
  </si>
  <si>
    <t>Hardee</t>
  </si>
  <si>
    <t>Homeless</t>
  </si>
  <si>
    <t>Hendry</t>
  </si>
  <si>
    <t>Elderly ALF</t>
  </si>
  <si>
    <t>Hernando</t>
  </si>
  <si>
    <t>&lt;51 Units</t>
  </si>
  <si>
    <t>Highlands</t>
  </si>
  <si>
    <t>&gt;50 Units &amp; &lt;81 Units</t>
  </si>
  <si>
    <t>Hillsborough</t>
  </si>
  <si>
    <t>Holmes</t>
  </si>
  <si>
    <t>Indian River</t>
  </si>
  <si>
    <t>Jackson</t>
  </si>
  <si>
    <t>Jefferson</t>
  </si>
  <si>
    <t/>
  </si>
  <si>
    <t>Lafayette</t>
  </si>
  <si>
    <t>Lake</t>
  </si>
  <si>
    <t>Lee</t>
  </si>
  <si>
    <t>Leon</t>
  </si>
  <si>
    <t>80% AMI</t>
  </si>
  <si>
    <t>Levy</t>
  </si>
  <si>
    <t>120% AMI</t>
  </si>
  <si>
    <t>Liberty</t>
  </si>
  <si>
    <t>Madison</t>
  </si>
  <si>
    <t>Manatee</t>
  </si>
  <si>
    <t>(enter a value)</t>
  </si>
  <si>
    <t>Marion</t>
  </si>
  <si>
    <t>(enter a percentage)</t>
  </si>
  <si>
    <t>Martin</t>
  </si>
  <si>
    <t>Miami-Dade</t>
  </si>
  <si>
    <t>(a) Persons with Special Needs Multiplier…………………………………………………………</t>
  </si>
  <si>
    <t>Monroe</t>
  </si>
  <si>
    <t>Nassau</t>
  </si>
  <si>
    <t>Okaloosa</t>
  </si>
  <si>
    <t>Regulated Mortgage Lender</t>
  </si>
  <si>
    <t>Okeechobee</t>
  </si>
  <si>
    <t>Local HFA Bonds</t>
  </si>
  <si>
    <t>Orange</t>
  </si>
  <si>
    <t>Local Government Subsidy</t>
  </si>
  <si>
    <t>Osceola</t>
  </si>
  <si>
    <t>FHFC - CDBG-DR</t>
  </si>
  <si>
    <t>Palm Beach</t>
  </si>
  <si>
    <t>FHFC - Demonstration</t>
  </si>
  <si>
    <t>Pasco</t>
  </si>
  <si>
    <t>FHFC - EHCL</t>
  </si>
  <si>
    <t>Pinellas</t>
  </si>
  <si>
    <t>FHFC - HHRP</t>
  </si>
  <si>
    <t>Polk</t>
  </si>
  <si>
    <t>FHFC - HOME</t>
  </si>
  <si>
    <t>Putnam</t>
  </si>
  <si>
    <t>FHFC - Legislative Appropriation</t>
  </si>
  <si>
    <t>Saint Johns</t>
  </si>
  <si>
    <t>FHFC - MMRB</t>
  </si>
  <si>
    <t>Saint Lucie</t>
  </si>
  <si>
    <t>FHFC - RRLP</t>
  </si>
  <si>
    <t>Santa Rosa</t>
  </si>
  <si>
    <t>FHFC - RRLP ELI</t>
  </si>
  <si>
    <t>Sarasota</t>
  </si>
  <si>
    <t>FHFC - SAIL</t>
  </si>
  <si>
    <t>Seminole</t>
  </si>
  <si>
    <t>FHFC - SAIL ELI</t>
  </si>
  <si>
    <t>Sumter</t>
  </si>
  <si>
    <t>FHFC - Workforce</t>
  </si>
  <si>
    <t>Suwannee</t>
  </si>
  <si>
    <t>Self-Sourced: Bond Financing</t>
  </si>
  <si>
    <t>Taylor</t>
  </si>
  <si>
    <t>Self-Sourced: Non-Bond Financing</t>
  </si>
  <si>
    <t>Union</t>
  </si>
  <si>
    <t>USDA RD 514/516</t>
  </si>
  <si>
    <t>Volusia</t>
  </si>
  <si>
    <t>USDA RD 515</t>
  </si>
  <si>
    <t>Wakulla</t>
  </si>
  <si>
    <t>USDA RD 538</t>
  </si>
  <si>
    <t>Walton</t>
  </si>
  <si>
    <t>State Legislation</t>
  </si>
  <si>
    <t>Washington</t>
  </si>
  <si>
    <t>Seller Financing</t>
  </si>
  <si>
    <t>Applicant</t>
  </si>
  <si>
    <t>Affiliate / Principal</t>
  </si>
  <si>
    <t>SS AIT Minimum below 50%.........................................</t>
  </si>
  <si>
    <t>NSS AIT Minimum ELI…...............................................</t>
  </si>
  <si>
    <t>Maximum SAIL ELI Request Amount…..............................</t>
  </si>
  <si>
    <t>FHFC - FAF</t>
  </si>
  <si>
    <t>Is construction self-sourced?.............................................</t>
  </si>
  <si>
    <t>FHFC - FHRP</t>
  </si>
  <si>
    <t>Amounts to be verified in scoring</t>
  </si>
  <si>
    <t>Is permanent self-sourced?...............................................</t>
  </si>
  <si>
    <t>FHFC - NHTF</t>
  </si>
  <si>
    <t>Non-Self-Sourced SAIL PU Limit….................................</t>
  </si>
  <si>
    <t>FHFC - SHADP</t>
  </si>
  <si>
    <t>Self-Sourced SAIL PU Limit…........................................</t>
  </si>
  <si>
    <t>FHFC - Viability</t>
  </si>
  <si>
    <t>Per Dev SAIL Limit - Large NC…....................................</t>
  </si>
  <si>
    <t>Per Dev SAIL Limit - Small/Med NC…............................</t>
  </si>
  <si>
    <t>Per Dev SAIL Limit - Rehab/Pres…...........</t>
  </si>
  <si>
    <t>Max SAIL % of TDC - &lt;5% ELI…....................................</t>
  </si>
  <si>
    <t>Minimum SAIL Loan Request Amount…..........................</t>
  </si>
  <si>
    <t>Operating Deficit Reserves (ODR) may be included in C. DEVELOPMENT COST only if ODR has been sized and approved as</t>
  </si>
  <si>
    <t xml:space="preserve">evidenced by (a) final credit underwriting, or (b) documented verification from the underwriter as provided in the RFA if the </t>
  </si>
  <si>
    <t>final credit underwriting report has not been approved by staff or Board as referenced in the RFA by the time of application.</t>
  </si>
  <si>
    <t>An ODR cannot be used in determining the maximum Developer fee. If an ODR has been included without meeting (a) or (b)</t>
  </si>
  <si>
    <t xml:space="preserve">above, it will be removed by the scorer, reducing total costs. An updated or final credit underwriting report and the final </t>
  </si>
  <si>
    <t>cost certification may include an ODR, but it cannot exceed the amount sized during underwriting.</t>
  </si>
  <si>
    <t>Regulated Mortgage Lender First Mtg. Financing</t>
  </si>
  <si>
    <t>Inclusive of MMRB allocation, if applicable.</t>
  </si>
  <si>
    <t>FHFC - Grant</t>
  </si>
  <si>
    <r>
      <t xml:space="preserve">Max SAIL % of TDC - </t>
    </r>
    <r>
      <rPr>
        <u/>
        <sz val="10"/>
        <color theme="0"/>
        <rFont val="Arial"/>
        <family val="2"/>
      </rPr>
      <t>&gt;</t>
    </r>
    <r>
      <rPr>
        <sz val="10"/>
        <color theme="0"/>
        <rFont val="Arial"/>
        <family val="2"/>
      </rPr>
      <t>5% ELI…....................................</t>
    </r>
  </si>
  <si>
    <t>(Page 1 of 7)</t>
  </si>
  <si>
    <t>(Page 2 of 7)</t>
  </si>
  <si>
    <t>(Page 3 of 7)</t>
  </si>
  <si>
    <t>(Page 4 of 7)</t>
  </si>
  <si>
    <t>(Page 5 of 7)</t>
  </si>
  <si>
    <t>(Page 6 of 7)</t>
  </si>
  <si>
    <t>(Page 7 of 7)</t>
  </si>
  <si>
    <t xml:space="preserve">HC Equity Proceeds Paid Prior to Completion </t>
  </si>
  <si>
    <t xml:space="preserve">of Construction which is Prior to Receipt of </t>
  </si>
  <si>
    <t xml:space="preserve">Final Certificate of Occupancy or, in the case </t>
  </si>
  <si>
    <t xml:space="preserve">of Rehabilitation, prior to placed-in service date </t>
  </si>
  <si>
    <t>as determined by the Applicant.</t>
  </si>
  <si>
    <t xml:space="preserve">The intent of this page is to assist the Applicant in determining a Viability TDC PU Limitation for the proposed Development and comparing it to the appropriate RFA's </t>
  </si>
  <si>
    <t xml:space="preserve">TDC PU Limitation.  The accuracy of the comparison is dependent upon the accuracy of the inputs and Florida Housing takes no responsibility in any programming errors. </t>
  </si>
  <si>
    <t xml:space="preserve">FHFC will not use this page to score TDC PU Limitation criteria.  If FHFC makes any adjustments to the Applicant's data or assumptions, FHFC's TDC PU for Limitation </t>
  </si>
  <si>
    <t xml:space="preserve">Limitation purposes of the proposed Development or the TDC PU Limitation determined by FHFC may be different than the amounts provided below. Please read the RFA </t>
  </si>
  <si>
    <t xml:space="preserve">RFA for qualifying responses and definition of terms.  This table is optional and its use is at the sole discretion of the Applicant. Applicant is responsible to verify and be in </t>
  </si>
  <si>
    <t>compliance with all aspects of the Application to meet RFA criteria.</t>
  </si>
  <si>
    <t>The intent of this page is to assist the Applicant in determining a maximum Viability Loan request amount for the proposed Development. The accuracy of the calculation</t>
  </si>
  <si>
    <t xml:space="preserve">is dependent upon the accuracy of the inputs and Florida Housing takes no responsibility in any programing errors. FHFC will not use this page to score Viability Loan </t>
  </si>
  <si>
    <t xml:space="preserve">criteria. If FHFC makes any adjustments to the Applicant's data or assumptions, FHFC's Viability Loan for Limitation purposes of the proposed Development or the </t>
  </si>
  <si>
    <t xml:space="preserve">maximum Viability Loan determined by FHFC may be different than the amounts provided below. Please read the RFA for qualifying responses and definition of terms. </t>
  </si>
  <si>
    <t xml:space="preserve">This table is optional and its use is at the sole discretion of the Applicant. Applicant is responsible to verify and be in compliance with all aspects of the Application to </t>
  </si>
  <si>
    <t>meet RFA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</si>
</sst>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4" formatCode="_(&quot;$&quot;* #,##0.00_);_(&quot;$&quot;* \(#,##0.00\);_(&quot;$&quot;* &quot;-&quot;??_);_(@_)"/>
    <numFmt numFmtId="164" formatCode="&quot;(&quot;0&quot;)&quot;"/>
    <numFmt numFmtId="165" formatCode="0&quot; Units&quot;"/>
    <numFmt numFmtId="166" formatCode="0.000%"/>
    <numFmt numFmtId="167" formatCode="&quot;$&quot;#,##0.000"/>
    <numFmt numFmtId="168" formatCode="&quot;$&quot;#,##0"/>
    <numFmt numFmtId="169" formatCode="&quot;$&quot;#,##0.00"/>
    <numFmt numFmtId="170" formatCode="0.0&quot;% low-income set-aside&quot;"/>
    <numFmt numFmtId="171" formatCode="&quot;$&quot;#,##0&quot; Per Unit&quot;"/>
    <numFmt numFmtId="172" formatCode="&quot;$&quot;#,##0&quot; Per Development&quot;"/>
    <numFmt numFmtId="173" formatCode="#,##0&quot;.&quot;"/>
    <numFmt numFmtId="174" formatCode="0&quot;.&quot;"/>
    <numFmt numFmtId="175" formatCode="&quot;$&quot;#,##0.00&quot; as a % of TDC&quot;"/>
    <numFmt numFmtId="176" formatCode="_(&quot;$&quot;* #,##0_);_(&quot;$&quot;* \(#,##0\);_(&quot;$&quot;* &quot;-&quot;??_);_(@_)"/>
    <numFmt numFmtId="177" formatCode="_(&quot;$&quot;* #,##0.0000_);_(&quot;$&quot;* \(#,##0.0000\);_(&quot;$&quot;* &quot;-&quot;??_);_(@_)"/>
  </numFmts>
  <fonts count="71" x14ac:knownFonts="1">
    <font>
      <sz val="10"/>
      <color theme="1"/>
      <name val="Arial"/>
      <family val="2"/>
    </font>
    <font>
      <sz val="10"/>
      <color theme="1"/>
      <name val="Arial"/>
      <family val="2"/>
    </font>
    <font>
      <sz val="10"/>
      <name val="Arial"/>
      <family val="2"/>
    </font>
    <font>
      <b/>
      <sz val="10"/>
      <color rgb="FF0000FF"/>
      <name val="Arial"/>
      <family val="2"/>
    </font>
    <font>
      <u/>
      <sz val="10"/>
      <color theme="1"/>
      <name val="Arial"/>
      <family val="2"/>
    </font>
    <font>
      <u/>
      <sz val="8"/>
      <name val="Arial"/>
      <family val="2"/>
    </font>
    <font>
      <b/>
      <sz val="10"/>
      <name val="Arial"/>
      <family val="2"/>
    </font>
    <font>
      <sz val="8"/>
      <name val="Arial"/>
      <family val="2"/>
    </font>
    <font>
      <sz val="8"/>
      <color theme="1"/>
      <name val="Arial"/>
      <family val="2"/>
    </font>
    <font>
      <strike/>
      <sz val="10"/>
      <color theme="1"/>
      <name val="Arial"/>
      <family val="2"/>
    </font>
    <font>
      <b/>
      <sz val="8"/>
      <name val="Arial"/>
      <family val="2"/>
    </font>
    <font>
      <sz val="10"/>
      <color rgb="FF0000FF"/>
      <name val="Arial"/>
      <family val="2"/>
    </font>
    <font>
      <b/>
      <sz val="10"/>
      <color rgb="FFFF0000"/>
      <name val="Arial"/>
      <family val="2"/>
    </font>
    <font>
      <b/>
      <sz val="10"/>
      <color theme="1"/>
      <name val="Arial"/>
      <family val="2"/>
    </font>
    <font>
      <i/>
      <sz val="9"/>
      <color theme="0" tint="-0.499984740745262"/>
      <name val="Arial"/>
      <family val="2"/>
    </font>
    <font>
      <sz val="9"/>
      <color theme="0" tint="-0.499984740745262"/>
      <name val="Arial"/>
      <family val="2"/>
    </font>
    <font>
      <i/>
      <sz val="9"/>
      <name val="Arial"/>
      <family val="2"/>
    </font>
    <font>
      <b/>
      <sz val="9"/>
      <name val="Arial"/>
      <family val="2"/>
    </font>
    <font>
      <sz val="9"/>
      <color rgb="FF0000FF"/>
      <name val="Arial"/>
      <family val="2"/>
    </font>
    <font>
      <b/>
      <sz val="8"/>
      <color rgb="FF0000FF"/>
      <name val="Arial"/>
      <family val="2"/>
    </font>
    <font>
      <sz val="9"/>
      <name val="Arial"/>
      <family val="2"/>
    </font>
    <font>
      <sz val="10"/>
      <color theme="0"/>
      <name val="Arial"/>
      <family val="2"/>
    </font>
    <font>
      <vertAlign val="superscript"/>
      <sz val="9"/>
      <name val="Arial"/>
      <family val="2"/>
    </font>
    <font>
      <sz val="9"/>
      <color theme="1"/>
      <name val="Arial"/>
      <family val="2"/>
    </font>
    <font>
      <b/>
      <vertAlign val="superscript"/>
      <sz val="9"/>
      <name val="Arial"/>
      <family val="2"/>
    </font>
    <font>
      <b/>
      <sz val="9"/>
      <color rgb="FF0000FF"/>
      <name val="Arial"/>
      <family val="2"/>
    </font>
    <font>
      <i/>
      <sz val="10"/>
      <name val="Arial"/>
      <family val="2"/>
    </font>
    <font>
      <b/>
      <i/>
      <sz val="10"/>
      <color rgb="FFFF0000"/>
      <name val="Arial"/>
      <family val="2"/>
    </font>
    <font>
      <b/>
      <sz val="9"/>
      <color theme="1"/>
      <name val="Arial"/>
      <family val="2"/>
    </font>
    <font>
      <b/>
      <vertAlign val="superscript"/>
      <sz val="9"/>
      <color theme="1"/>
      <name val="Arial"/>
      <family val="2"/>
    </font>
    <font>
      <i/>
      <sz val="9"/>
      <color theme="0"/>
      <name val="Arial"/>
      <family val="2"/>
    </font>
    <font>
      <sz val="10"/>
      <color theme="0" tint="-0.499984740745262"/>
      <name val="Arial"/>
      <family val="2"/>
    </font>
    <font>
      <i/>
      <sz val="8"/>
      <color theme="0" tint="-0.499984740745262"/>
      <name val="Arial"/>
      <family val="2"/>
    </font>
    <font>
      <i/>
      <sz val="10"/>
      <color theme="1"/>
      <name val="Arial"/>
      <family val="2"/>
    </font>
    <font>
      <sz val="9"/>
      <color indexed="12"/>
      <name val="Arial"/>
      <family val="2"/>
    </font>
    <font>
      <strike/>
      <sz val="10"/>
      <name val="Arial"/>
      <family val="2"/>
    </font>
    <font>
      <strike/>
      <sz val="9"/>
      <color indexed="12"/>
      <name val="Arial"/>
      <family val="2"/>
    </font>
    <font>
      <strike/>
      <sz val="9"/>
      <name val="Arial"/>
      <family val="2"/>
    </font>
    <font>
      <b/>
      <strike/>
      <sz val="9"/>
      <name val="Arial"/>
      <family val="2"/>
    </font>
    <font>
      <i/>
      <sz val="9"/>
      <color rgb="FF0000FF"/>
      <name val="Arial"/>
      <family val="2"/>
    </font>
    <font>
      <b/>
      <i/>
      <vertAlign val="superscript"/>
      <sz val="9"/>
      <name val="Arial"/>
      <family val="2"/>
    </font>
    <font>
      <b/>
      <sz val="9"/>
      <color indexed="10"/>
      <name val="Arial"/>
      <family val="2"/>
    </font>
    <font>
      <u/>
      <sz val="10"/>
      <name val="Arial"/>
      <family val="2"/>
    </font>
    <font>
      <b/>
      <i/>
      <sz val="10"/>
      <name val="Arial"/>
      <family val="2"/>
    </font>
    <font>
      <i/>
      <sz val="8"/>
      <name val="Arial"/>
      <family val="2"/>
    </font>
    <font>
      <strike/>
      <u/>
      <sz val="10"/>
      <name val="Arial"/>
      <family val="2"/>
    </font>
    <font>
      <strike/>
      <sz val="10"/>
      <color indexed="12"/>
      <name val="Arial"/>
      <family val="2"/>
    </font>
    <font>
      <b/>
      <u/>
      <sz val="10"/>
      <name val="Arial"/>
      <family val="2"/>
    </font>
    <font>
      <sz val="8"/>
      <color theme="0"/>
      <name val="Arial"/>
      <family val="2"/>
    </font>
    <font>
      <b/>
      <sz val="10"/>
      <color theme="0"/>
      <name val="Arial"/>
      <family val="2"/>
    </font>
    <font>
      <b/>
      <i/>
      <sz val="10"/>
      <color theme="1"/>
      <name val="Arial"/>
      <family val="2"/>
    </font>
    <font>
      <sz val="9"/>
      <color rgb="FF7030A0"/>
      <name val="Arial"/>
      <family val="2"/>
    </font>
    <font>
      <i/>
      <sz val="10"/>
      <color theme="0" tint="-0.499984740745262"/>
      <name val="Arial"/>
      <family val="2"/>
    </font>
    <font>
      <sz val="10"/>
      <color theme="1"/>
      <name val="Calibri"/>
      <family val="2"/>
    </font>
    <font>
      <i/>
      <u/>
      <sz val="10"/>
      <color theme="1"/>
      <name val="Arial"/>
      <family val="2"/>
    </font>
    <font>
      <b/>
      <i/>
      <sz val="10"/>
      <color rgb="FF7030A0"/>
      <name val="Arial"/>
      <family val="2"/>
    </font>
    <font>
      <b/>
      <i/>
      <sz val="11"/>
      <name val="Arial"/>
      <family val="2"/>
    </font>
    <font>
      <b/>
      <sz val="11"/>
      <name val="Arial"/>
      <family val="2"/>
    </font>
    <font>
      <i/>
      <sz val="10"/>
      <color rgb="FFFF0000"/>
      <name val="Arial"/>
      <family val="2"/>
    </font>
    <font>
      <i/>
      <sz val="8"/>
      <color theme="1"/>
      <name val="Arial"/>
      <family val="2"/>
    </font>
    <font>
      <u/>
      <sz val="9"/>
      <color theme="1"/>
      <name val="Arial"/>
      <family val="2"/>
    </font>
    <font>
      <b/>
      <u/>
      <sz val="10"/>
      <color theme="1"/>
      <name val="Arial"/>
      <family val="2"/>
    </font>
    <font>
      <i/>
      <sz val="9"/>
      <color theme="1"/>
      <name val="Arial"/>
      <family val="2"/>
    </font>
    <font>
      <b/>
      <i/>
      <sz val="9"/>
      <color rgb="FFC00000"/>
      <name val="Arial"/>
      <family val="2"/>
    </font>
    <font>
      <b/>
      <i/>
      <sz val="12"/>
      <color theme="1"/>
      <name val="Arial"/>
      <family val="2"/>
    </font>
    <font>
      <sz val="10"/>
      <color rgb="FF7030A0"/>
      <name val="Arial"/>
      <family val="2"/>
    </font>
    <font>
      <i/>
      <sz val="9"/>
      <color rgb="FF7030A0"/>
      <name val="Arial"/>
      <family val="2"/>
    </font>
    <font>
      <i/>
      <u/>
      <sz val="10"/>
      <name val="Arial"/>
      <family val="2"/>
    </font>
    <font>
      <sz val="10"/>
      <color theme="0" tint="-0.249977111117893"/>
      <name val="Arial"/>
      <family val="2"/>
    </font>
    <font>
      <sz val="8"/>
      <color theme="0"/>
      <name val="Segoe UI"/>
      <family val="2"/>
    </font>
    <font>
      <u/>
      <sz val="10"/>
      <color theme="0"/>
      <name val="Arial"/>
      <family val="2"/>
    </font>
  </fonts>
  <fills count="11">
    <fill>
      <patternFill patternType="none"/>
    </fill>
    <fill>
      <patternFill patternType="gray125"/>
    </fill>
    <fill>
      <patternFill patternType="solid">
        <fgColor rgb="FFFFE1FF"/>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lightUp">
        <fgColor theme="0" tint="-0.499984740745262"/>
        <bgColor indexed="65"/>
      </patternFill>
    </fill>
    <fill>
      <patternFill patternType="solid">
        <fgColor theme="0" tint="-0.499984740745262"/>
        <bgColor indexed="64"/>
      </patternFill>
    </fill>
    <fill>
      <patternFill patternType="lightUp">
        <fgColor theme="0" tint="-0.24994659260841701"/>
        <bgColor indexed="65"/>
      </patternFill>
    </fill>
    <fill>
      <patternFill patternType="lightUp"/>
    </fill>
  </fills>
  <borders count="54">
    <border>
      <left/>
      <right/>
      <top/>
      <bottom/>
      <diagonal/>
    </border>
    <border>
      <left/>
      <right/>
      <top style="medium">
        <color auto="1"/>
      </top>
      <bottom/>
      <diagonal/>
    </border>
    <border>
      <left/>
      <right/>
      <top/>
      <bottom style="thin">
        <color rgb="FF0000FF"/>
      </bottom>
      <diagonal/>
    </border>
    <border>
      <left/>
      <right/>
      <top style="thin">
        <color rgb="FF0000FF"/>
      </top>
      <bottom style="thin">
        <color auto="1"/>
      </bottom>
      <diagonal/>
    </border>
    <border>
      <left/>
      <right/>
      <top style="thin">
        <color rgb="FF0000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8"/>
      </bottom>
      <diagonal/>
    </border>
    <border>
      <left/>
      <right/>
      <top/>
      <bottom style="thin">
        <color indexed="64"/>
      </bottom>
      <diagonal/>
    </border>
    <border>
      <left/>
      <right/>
      <top/>
      <bottom style="medium">
        <color theme="0" tint="-0.499984740745262"/>
      </bottom>
      <diagonal/>
    </border>
    <border>
      <left/>
      <right/>
      <top style="medium">
        <color theme="0" tint="-0.499984740745262"/>
      </top>
      <bottom/>
      <diagonal/>
    </border>
    <border>
      <left/>
      <right/>
      <top style="hair">
        <color auto="1"/>
      </top>
      <bottom style="hair">
        <color auto="1"/>
      </bottom>
      <diagonal/>
    </border>
    <border>
      <left/>
      <right/>
      <top/>
      <bottom style="thin">
        <color auto="1"/>
      </bottom>
      <diagonal/>
    </border>
    <border>
      <left/>
      <right/>
      <top/>
      <bottom style="thin">
        <color theme="0" tint="-0.499984740745262"/>
      </bottom>
      <diagonal/>
    </border>
    <border>
      <left/>
      <right/>
      <top style="thin">
        <color theme="0" tint="-0.499984740745262"/>
      </top>
      <bottom/>
      <diagonal/>
    </border>
    <border>
      <left/>
      <right/>
      <top/>
      <bottom style="double">
        <color theme="0" tint="-0.499984740745262"/>
      </bottom>
      <diagonal/>
    </border>
    <border>
      <left/>
      <right/>
      <top style="hair">
        <color auto="1"/>
      </top>
      <bottom/>
      <diagonal/>
    </border>
    <border>
      <left/>
      <right/>
      <top/>
      <bottom style="hair">
        <color auto="1"/>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bottom style="double">
        <color indexed="8"/>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rgb="FF0000FF"/>
      </top>
      <bottom style="thin">
        <color rgb="FF0000FF"/>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0" fillId="0" borderId="1" xfId="0" applyBorder="1"/>
    <xf numFmtId="0" fontId="2" fillId="0" borderId="0" xfId="0" applyFont="1"/>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7" fillId="0" borderId="0" xfId="0" applyFont="1" applyAlignment="1">
      <alignment horizontal="right"/>
    </xf>
    <xf numFmtId="164" fontId="8" fillId="0" borderId="0" xfId="0" applyNumberFormat="1" applyFont="1" applyAlignment="1">
      <alignment horizontal="center"/>
    </xf>
    <xf numFmtId="0" fontId="8" fillId="0" borderId="0" xfId="0" applyFont="1"/>
    <xf numFmtId="0" fontId="7" fillId="0" borderId="0" xfId="0" applyFont="1"/>
    <xf numFmtId="0" fontId="8" fillId="0" borderId="0" xfId="0" applyFont="1" applyAlignment="1">
      <alignment horizontal="center"/>
    </xf>
    <xf numFmtId="49" fontId="8" fillId="0" borderId="0" xfId="0" applyNumberFormat="1" applyFont="1" applyAlignment="1">
      <alignment horizontal="center"/>
    </xf>
    <xf numFmtId="0" fontId="9" fillId="0" borderId="0" xfId="0" applyFont="1"/>
    <xf numFmtId="0" fontId="8" fillId="0" borderId="0" xfId="0" quotePrefix="1" applyFont="1" applyAlignment="1">
      <alignment horizontal="center"/>
    </xf>
    <xf numFmtId="0" fontId="7" fillId="0" borderId="0" xfId="0" quotePrefix="1" applyFont="1" applyAlignment="1">
      <alignment horizontal="center"/>
    </xf>
    <xf numFmtId="164" fontId="7" fillId="0" borderId="0" xfId="0" applyNumberFormat="1" applyFont="1" applyAlignment="1">
      <alignment horizontal="center"/>
    </xf>
    <xf numFmtId="49" fontId="7" fillId="0" borderId="0" xfId="0" applyNumberFormat="1" applyFont="1" applyAlignment="1">
      <alignment horizontal="center"/>
    </xf>
    <xf numFmtId="0" fontId="10" fillId="0" borderId="0" xfId="0" applyFont="1"/>
    <xf numFmtId="0" fontId="6" fillId="0" borderId="0" xfId="0" applyFont="1" applyAlignment="1">
      <alignment horizontal="right"/>
    </xf>
    <xf numFmtId="0" fontId="2" fillId="0" borderId="0" xfId="0" applyFont="1" applyAlignment="1">
      <alignment horizontal="right"/>
    </xf>
    <xf numFmtId="0" fontId="12" fillId="0" borderId="0" xfId="0" applyFont="1" applyAlignment="1">
      <alignment horizontal="center" vertical="center"/>
    </xf>
    <xf numFmtId="0" fontId="12" fillId="2" borderId="0" xfId="0" applyFont="1" applyFill="1" applyAlignment="1">
      <alignment horizontal="center" vertical="center"/>
    </xf>
    <xf numFmtId="0" fontId="0" fillId="0" borderId="0" xfId="0" applyAlignment="1">
      <alignment horizontal="right"/>
    </xf>
    <xf numFmtId="165" fontId="0" fillId="0" borderId="3" xfId="0" applyNumberFormat="1" applyBorder="1" applyAlignment="1">
      <alignment horizontal="center" vertical="center"/>
    </xf>
    <xf numFmtId="0" fontId="11" fillId="0" borderId="0" xfId="0" applyFont="1" applyAlignment="1">
      <alignment horizontal="center" vertical="center"/>
    </xf>
    <xf numFmtId="165" fontId="11" fillId="0" borderId="4" xfId="0" applyNumberFormat="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Continuous"/>
    </xf>
    <xf numFmtId="49" fontId="10" fillId="0" borderId="0" xfId="0" applyNumberFormat="1"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center" wrapText="1"/>
    </xf>
    <xf numFmtId="0" fontId="17" fillId="0" borderId="0" xfId="0" applyFont="1" applyAlignment="1">
      <alignment horizontal="right"/>
    </xf>
    <xf numFmtId="4" fontId="18" fillId="0" borderId="2" xfId="0" applyNumberFormat="1" applyFont="1" applyBorder="1" applyProtection="1">
      <protection locked="0"/>
    </xf>
    <xf numFmtId="166" fontId="18" fillId="0" borderId="2" xfId="2" applyNumberFormat="1" applyFont="1" applyFill="1" applyBorder="1" applyProtection="1">
      <protection locked="0"/>
    </xf>
    <xf numFmtId="167" fontId="17" fillId="0" borderId="13" xfId="1" applyNumberFormat="1" applyFont="1" applyFill="1" applyBorder="1" applyProtection="1"/>
    <xf numFmtId="167" fontId="10" fillId="0" borderId="0" xfId="0" applyNumberFormat="1" applyFont="1" applyAlignment="1">
      <alignment horizontal="center" vertical="center"/>
    </xf>
    <xf numFmtId="167" fontId="10" fillId="0" borderId="0" xfId="0" applyNumberFormat="1" applyFont="1" applyAlignment="1">
      <alignment horizontal="center" vertical="center" wrapText="1"/>
    </xf>
    <xf numFmtId="38" fontId="18" fillId="0" borderId="2" xfId="0" applyNumberFormat="1" applyFont="1" applyBorder="1" applyProtection="1">
      <protection locked="0"/>
    </xf>
    <xf numFmtId="38" fontId="19" fillId="0" borderId="0" xfId="0" applyNumberFormat="1" applyFont="1" applyAlignment="1">
      <alignment horizontal="center" vertical="center"/>
    </xf>
    <xf numFmtId="38" fontId="19" fillId="0" borderId="0" xfId="0" applyNumberFormat="1" applyFont="1" applyAlignment="1">
      <alignment horizontal="center" vertical="center" wrapText="1"/>
    </xf>
    <xf numFmtId="40" fontId="18" fillId="3" borderId="14" xfId="0" applyNumberFormat="1" applyFont="1" applyFill="1" applyBorder="1"/>
    <xf numFmtId="40" fontId="18" fillId="0" borderId="2" xfId="0" applyNumberFormat="1" applyFont="1" applyBorder="1" applyProtection="1">
      <protection locked="0"/>
    </xf>
    <xf numFmtId="0" fontId="20" fillId="0" borderId="0" xfId="0" applyFont="1"/>
    <xf numFmtId="0" fontId="16" fillId="0" borderId="0" xfId="0" applyFont="1" applyAlignment="1">
      <alignment horizontal="left"/>
    </xf>
    <xf numFmtId="0" fontId="12" fillId="0" borderId="0" xfId="0" applyFont="1"/>
    <xf numFmtId="0" fontId="20" fillId="0" borderId="0" xfId="0" applyFont="1" applyAlignment="1">
      <alignment horizontal="left"/>
    </xf>
    <xf numFmtId="40" fontId="21" fillId="0" borderId="0" xfId="0" applyNumberFormat="1" applyFont="1"/>
    <xf numFmtId="40" fontId="20" fillId="0" borderId="0" xfId="0" applyNumberFormat="1" applyFont="1"/>
    <xf numFmtId="40" fontId="2" fillId="0" borderId="0" xfId="0" applyNumberFormat="1" applyFont="1"/>
    <xf numFmtId="40" fontId="17" fillId="0" borderId="13" xfId="0" applyNumberFormat="1" applyFont="1" applyBorder="1"/>
    <xf numFmtId="40" fontId="0" fillId="0" borderId="0" xfId="0" applyNumberFormat="1"/>
    <xf numFmtId="4" fontId="21" fillId="0" borderId="0" xfId="0" applyNumberFormat="1" applyFont="1"/>
    <xf numFmtId="4" fontId="17" fillId="0" borderId="0" xfId="0" applyNumberFormat="1" applyFont="1" applyAlignment="1">
      <alignment horizontal="right"/>
    </xf>
    <xf numFmtId="0" fontId="14" fillId="0" borderId="0" xfId="0" applyFont="1" applyAlignment="1">
      <alignment horizontal="left" vertical="center" wrapText="1"/>
    </xf>
    <xf numFmtId="4" fontId="2" fillId="0" borderId="0" xfId="0" applyNumberFormat="1" applyFont="1"/>
    <xf numFmtId="4" fontId="0" fillId="0" borderId="0" xfId="0" applyNumberFormat="1"/>
    <xf numFmtId="4" fontId="20" fillId="0" borderId="0" xfId="0" applyNumberFormat="1" applyFont="1"/>
    <xf numFmtId="4" fontId="17" fillId="0" borderId="13" xfId="0" applyNumberFormat="1" applyFont="1" applyBorder="1"/>
    <xf numFmtId="0" fontId="0" fillId="0" borderId="0" xfId="0" quotePrefix="1"/>
    <xf numFmtId="0" fontId="17" fillId="0" borderId="0" xfId="0" applyFont="1" applyAlignment="1">
      <alignment horizontal="left"/>
    </xf>
    <xf numFmtId="0" fontId="23" fillId="0" borderId="0" xfId="0" applyFont="1"/>
    <xf numFmtId="4" fontId="11" fillId="0" borderId="0" xfId="0" applyNumberFormat="1" applyFont="1"/>
    <xf numFmtId="0" fontId="10" fillId="0" borderId="15" xfId="0" applyFont="1" applyBorder="1" applyAlignment="1">
      <alignment horizontal="center" vertical="center" wrapText="1"/>
    </xf>
    <xf numFmtId="10" fontId="0" fillId="0" borderId="0" xfId="0" applyNumberFormat="1" applyAlignment="1">
      <alignment horizontal="center"/>
    </xf>
    <xf numFmtId="168" fontId="0" fillId="0" borderId="0" xfId="0" applyNumberFormat="1" applyAlignment="1">
      <alignment horizontal="center"/>
    </xf>
    <xf numFmtId="4" fontId="25" fillId="0" borderId="2" xfId="0" applyNumberFormat="1" applyFont="1" applyBorder="1" applyProtection="1">
      <protection locked="0"/>
    </xf>
    <xf numFmtId="0" fontId="0" fillId="0" borderId="0" xfId="0" applyAlignment="1">
      <alignment horizontal="center"/>
    </xf>
    <xf numFmtId="0" fontId="27" fillId="0" borderId="0" xfId="0" applyFont="1"/>
    <xf numFmtId="0" fontId="17" fillId="0" borderId="0" xfId="0" applyFont="1"/>
    <xf numFmtId="0" fontId="0" fillId="0" borderId="15" xfId="0" applyBorder="1"/>
    <xf numFmtId="0" fontId="12" fillId="0" borderId="0" xfId="0" quotePrefix="1" applyFont="1" applyAlignment="1">
      <alignment horizontal="left" vertical="center"/>
    </xf>
    <xf numFmtId="0" fontId="28" fillId="0" borderId="0" xfId="0" applyFont="1"/>
    <xf numFmtId="0" fontId="12" fillId="0" borderId="0" xfId="0" quotePrefix="1" applyFont="1" applyAlignment="1">
      <alignment horizontal="center" vertical="center"/>
    </xf>
    <xf numFmtId="4" fontId="18" fillId="0" borderId="0" xfId="0" applyNumberFormat="1" applyFont="1"/>
    <xf numFmtId="4" fontId="17" fillId="0" borderId="0" xfId="0" applyNumberFormat="1" applyFont="1"/>
    <xf numFmtId="4" fontId="0" fillId="0" borderId="1" xfId="0" applyNumberFormat="1" applyBorder="1"/>
    <xf numFmtId="0" fontId="4" fillId="0" borderId="1" xfId="0" applyFont="1" applyBorder="1"/>
    <xf numFmtId="4" fontId="10" fillId="0" borderId="0" xfId="0" applyNumberFormat="1" applyFont="1" applyAlignment="1">
      <alignment horizontal="center"/>
    </xf>
    <xf numFmtId="4" fontId="10" fillId="0" borderId="0" xfId="0" applyNumberFormat="1" applyFont="1" applyAlignment="1">
      <alignment horizontal="centerContinuous"/>
    </xf>
    <xf numFmtId="4" fontId="10" fillId="0" borderId="0" xfId="0" applyNumberFormat="1" applyFont="1" applyAlignment="1">
      <alignment horizontal="center" wrapText="1"/>
    </xf>
    <xf numFmtId="4" fontId="10" fillId="0" borderId="0" xfId="0" applyNumberFormat="1" applyFont="1" applyAlignment="1">
      <alignment horizontal="centerContinuous" wrapText="1"/>
    </xf>
    <xf numFmtId="0" fontId="30" fillId="0" borderId="0" xfId="0" applyFont="1" applyAlignment="1">
      <alignment horizontal="left" vertical="center"/>
    </xf>
    <xf numFmtId="4" fontId="18" fillId="0" borderId="2" xfId="0" applyNumberFormat="1" applyFont="1" applyBorder="1"/>
    <xf numFmtId="0" fontId="20" fillId="0" borderId="0" xfId="0" applyFont="1" applyAlignment="1">
      <alignment horizontal="centerContinuous"/>
    </xf>
    <xf numFmtId="0" fontId="2" fillId="0" borderId="0" xfId="0" applyFont="1" applyAlignment="1">
      <alignment horizontal="centerContinuous"/>
    </xf>
    <xf numFmtId="0" fontId="31" fillId="0" borderId="0" xfId="0" applyFont="1"/>
    <xf numFmtId="0" fontId="32" fillId="0" borderId="0" xfId="0" applyFont="1" applyAlignment="1">
      <alignment horizontal="left" vertical="center" wrapText="1"/>
    </xf>
    <xf numFmtId="0" fontId="31" fillId="4" borderId="0" xfId="0" applyFont="1" applyFill="1"/>
    <xf numFmtId="10" fontId="0" fillId="0" borderId="0" xfId="0" applyNumberFormat="1"/>
    <xf numFmtId="168" fontId="0" fillId="0" borderId="0" xfId="0" applyNumberFormat="1"/>
    <xf numFmtId="0" fontId="28" fillId="0" borderId="0" xfId="0" applyFont="1" applyAlignment="1">
      <alignment horizontal="right"/>
    </xf>
    <xf numFmtId="0" fontId="10" fillId="0" borderId="0" xfId="0" applyFont="1" applyAlignment="1">
      <alignment horizontal="center" wrapText="1"/>
    </xf>
    <xf numFmtId="0" fontId="10" fillId="0" borderId="0" xfId="0" applyFont="1" applyAlignment="1">
      <alignment horizontal="centerContinuous" wrapText="1"/>
    </xf>
    <xf numFmtId="40" fontId="18" fillId="0" borderId="2" xfId="0" applyNumberFormat="1" applyFont="1" applyBorder="1"/>
    <xf numFmtId="0" fontId="30" fillId="0" borderId="0" xfId="0" applyFont="1" applyAlignment="1">
      <alignment horizontal="left" vertical="center" wrapText="1"/>
    </xf>
    <xf numFmtId="40" fontId="17" fillId="0" borderId="0" xfId="0" applyNumberFormat="1" applyFont="1" applyAlignment="1">
      <alignment horizontal="right"/>
    </xf>
    <xf numFmtId="0" fontId="21" fillId="0" borderId="0" xfId="0" applyFont="1"/>
    <xf numFmtId="0" fontId="16" fillId="0" borderId="0" xfId="0" applyFont="1"/>
    <xf numFmtId="40" fontId="17" fillId="0" borderId="0" xfId="0" applyNumberFormat="1" applyFont="1"/>
    <xf numFmtId="0" fontId="17" fillId="0" borderId="0" xfId="0" applyFont="1" applyAlignment="1">
      <alignment horizontal="left" indent="1"/>
    </xf>
    <xf numFmtId="40" fontId="34" fillId="0" borderId="0" xfId="0" applyNumberFormat="1" applyFont="1"/>
    <xf numFmtId="0" fontId="30" fillId="0" borderId="0" xfId="0" applyFont="1" applyAlignment="1">
      <alignment horizontal="left" vertical="top" wrapText="1"/>
    </xf>
    <xf numFmtId="0" fontId="35" fillId="0" borderId="0" xfId="0" applyFont="1"/>
    <xf numFmtId="40" fontId="20" fillId="0" borderId="13" xfId="0" applyNumberFormat="1" applyFont="1" applyBorder="1"/>
    <xf numFmtId="40" fontId="36" fillId="0" borderId="0" xfId="0" applyNumberFormat="1" applyFont="1"/>
    <xf numFmtId="40" fontId="35" fillId="0" borderId="0" xfId="0" applyNumberFormat="1" applyFont="1"/>
    <xf numFmtId="40" fontId="37" fillId="0" borderId="0" xfId="0" applyNumberFormat="1" applyFont="1"/>
    <xf numFmtId="40" fontId="38" fillId="0" borderId="0" xfId="0" applyNumberFormat="1" applyFont="1"/>
    <xf numFmtId="0" fontId="39" fillId="0" borderId="0" xfId="0" applyFont="1" applyAlignment="1">
      <alignment horizontal="left" vertical="center" wrapText="1"/>
    </xf>
    <xf numFmtId="40" fontId="17" fillId="0" borderId="18" xfId="0" applyNumberFormat="1" applyFont="1" applyBorder="1"/>
    <xf numFmtId="0" fontId="17" fillId="0" borderId="15" xfId="0" applyFont="1" applyBorder="1" applyAlignment="1">
      <alignment horizontal="center"/>
    </xf>
    <xf numFmtId="0" fontId="38" fillId="0" borderId="0" xfId="0" applyFont="1" applyAlignment="1">
      <alignment horizontal="right" indent="1"/>
    </xf>
    <xf numFmtId="0" fontId="38" fillId="0" borderId="0" xfId="0" applyFont="1" applyAlignment="1">
      <alignment horizontal="left" indent="1"/>
    </xf>
    <xf numFmtId="10" fontId="2" fillId="0" borderId="0" xfId="0" applyNumberFormat="1" applyFont="1" applyAlignment="1">
      <alignment horizontal="center"/>
    </xf>
    <xf numFmtId="169" fontId="0" fillId="0" borderId="0" xfId="0" applyNumberFormat="1" applyAlignment="1">
      <alignment horizontal="center"/>
    </xf>
    <xf numFmtId="0" fontId="17" fillId="0" borderId="0" xfId="0" applyFont="1" applyAlignment="1">
      <alignment horizontal="right" indent="1"/>
    </xf>
    <xf numFmtId="0" fontId="0" fillId="0" borderId="19" xfId="0" applyBorder="1" applyAlignment="1">
      <alignment horizontal="center"/>
    </xf>
    <xf numFmtId="0" fontId="0" fillId="0" borderId="19" xfId="0" applyBorder="1"/>
    <xf numFmtId="169" fontId="0" fillId="0" borderId="4" xfId="0" applyNumberFormat="1" applyBorder="1" applyAlignment="1">
      <alignment horizontal="center"/>
    </xf>
    <xf numFmtId="40" fontId="18" fillId="0" borderId="0" xfId="0" applyNumberFormat="1" applyFont="1"/>
    <xf numFmtId="40" fontId="6" fillId="0" borderId="0" xfId="0" applyNumberFormat="1" applyFont="1"/>
    <xf numFmtId="40" fontId="17" fillId="3" borderId="18" xfId="0" applyNumberFormat="1" applyFont="1" applyFill="1" applyBorder="1"/>
    <xf numFmtId="40" fontId="17" fillId="3" borderId="13" xfId="0" applyNumberFormat="1" applyFont="1" applyFill="1" applyBorder="1"/>
    <xf numFmtId="0" fontId="14" fillId="0" borderId="0" xfId="0" applyFont="1" applyAlignment="1">
      <alignment horizontal="left" vertical="center"/>
    </xf>
    <xf numFmtId="0" fontId="0" fillId="0" borderId="0" xfId="0" quotePrefix="1" applyAlignment="1">
      <alignment horizontal="right"/>
    </xf>
    <xf numFmtId="0" fontId="0" fillId="0" borderId="21" xfId="0" applyBorder="1"/>
    <xf numFmtId="0" fontId="0" fillId="0" borderId="21" xfId="0" applyBorder="1" applyAlignment="1">
      <alignment horizontal="right"/>
    </xf>
    <xf numFmtId="0" fontId="0" fillId="0" borderId="21" xfId="0" applyBorder="1" applyAlignment="1">
      <alignment horizontal="center"/>
    </xf>
    <xf numFmtId="169" fontId="0" fillId="0" borderId="0" xfId="0" applyNumberFormat="1"/>
    <xf numFmtId="40" fontId="20" fillId="0" borderId="18" xfId="0" applyNumberFormat="1" applyFont="1" applyBorder="1"/>
    <xf numFmtId="0" fontId="13" fillId="0" borderId="0" xfId="0" applyFont="1"/>
    <xf numFmtId="40" fontId="20" fillId="0" borderId="4" xfId="0" applyNumberFormat="1" applyFont="1" applyBorder="1"/>
    <xf numFmtId="0" fontId="41" fillId="0" borderId="0" xfId="0" applyFont="1"/>
    <xf numFmtId="0" fontId="42" fillId="0" borderId="0" xfId="0" applyFont="1"/>
    <xf numFmtId="0" fontId="43" fillId="0" borderId="0" xfId="0" applyFont="1"/>
    <xf numFmtId="0" fontId="44" fillId="0" borderId="0" xfId="0" applyFont="1"/>
    <xf numFmtId="0" fontId="26" fillId="0" borderId="0" xfId="0" applyFont="1"/>
    <xf numFmtId="0" fontId="45" fillId="0" borderId="0" xfId="0" applyFont="1"/>
    <xf numFmtId="49" fontId="46" fillId="0" borderId="0" xfId="0" applyNumberFormat="1" applyFont="1" applyAlignment="1">
      <alignment horizontal="left"/>
    </xf>
    <xf numFmtId="0" fontId="7" fillId="0" borderId="0" xfId="0" applyFont="1" applyAlignment="1">
      <alignment horizontal="left"/>
    </xf>
    <xf numFmtId="0" fontId="47" fillId="0" borderId="0" xfId="0" applyFont="1" applyAlignment="1">
      <alignment horizontal="centerContinuous"/>
    </xf>
    <xf numFmtId="0" fontId="49" fillId="0" borderId="0" xfId="0" applyFont="1" applyAlignment="1">
      <alignment horizontal="center" vertical="center"/>
    </xf>
    <xf numFmtId="0" fontId="8" fillId="0" borderId="0" xfId="0" quotePrefix="1" applyFont="1"/>
    <xf numFmtId="0" fontId="50" fillId="0" borderId="0" xfId="0" applyFont="1"/>
    <xf numFmtId="171" fontId="51" fillId="0" borderId="0" xfId="0" applyNumberFormat="1" applyFont="1" applyAlignment="1">
      <alignment horizontal="center"/>
    </xf>
    <xf numFmtId="0" fontId="33" fillId="0" borderId="0" xfId="0" quotePrefix="1" applyFont="1"/>
    <xf numFmtId="172" fontId="51" fillId="0" borderId="0" xfId="0" applyNumberFormat="1" applyFont="1" applyAlignment="1">
      <alignment horizontal="center"/>
    </xf>
    <xf numFmtId="172" fontId="20" fillId="0" borderId="0" xfId="0" applyNumberFormat="1" applyFont="1" applyAlignment="1">
      <alignment horizontal="left"/>
    </xf>
    <xf numFmtId="0" fontId="33" fillId="0" borderId="0" xfId="0" applyFont="1"/>
    <xf numFmtId="0" fontId="49" fillId="0" borderId="0" xfId="0" quotePrefix="1" applyFont="1" applyAlignment="1">
      <alignment horizontal="center"/>
    </xf>
    <xf numFmtId="0" fontId="21" fillId="0" borderId="0" xfId="0" quotePrefix="1" applyFont="1"/>
    <xf numFmtId="173" fontId="2" fillId="0" borderId="0" xfId="0" applyNumberFormat="1" applyFont="1" applyAlignment="1">
      <alignment horizontal="right"/>
    </xf>
    <xf numFmtId="8" fontId="21" fillId="0" borderId="0" xfId="0" quotePrefix="1" applyNumberFormat="1" applyFont="1" applyAlignment="1">
      <alignment horizontal="center"/>
    </xf>
    <xf numFmtId="174" fontId="2" fillId="0" borderId="0" xfId="0" applyNumberFormat="1" applyFont="1" applyAlignment="1">
      <alignment horizontal="right"/>
    </xf>
    <xf numFmtId="175" fontId="51" fillId="0" borderId="0" xfId="0" applyNumberFormat="1" applyFont="1" applyAlignment="1">
      <alignment horizontal="center"/>
    </xf>
    <xf numFmtId="0" fontId="26" fillId="0" borderId="0" xfId="0" quotePrefix="1" applyFont="1"/>
    <xf numFmtId="0" fontId="52" fillId="0" borderId="0" xfId="0" applyFont="1" applyAlignment="1">
      <alignment horizontal="left" vertical="center" wrapText="1"/>
    </xf>
    <xf numFmtId="0" fontId="52" fillId="0" borderId="0" xfId="0" quotePrefix="1" applyFont="1" applyAlignment="1">
      <alignment horizontal="left" vertical="center" wrapText="1"/>
    </xf>
    <xf numFmtId="0" fontId="52" fillId="0" borderId="0" xfId="0" quotePrefix="1" applyFont="1" applyAlignment="1">
      <alignment horizontal="center" vertical="center"/>
    </xf>
    <xf numFmtId="0" fontId="31" fillId="0" borderId="0" xfId="0" quotePrefix="1" applyFont="1"/>
    <xf numFmtId="0" fontId="11" fillId="0" borderId="2" xfId="0" applyFont="1" applyBorder="1" applyProtection="1">
      <protection locked="0"/>
    </xf>
    <xf numFmtId="49" fontId="2" fillId="0" borderId="0" xfId="0" applyNumberFormat="1" applyFont="1" applyAlignment="1">
      <alignment horizontal="right"/>
    </xf>
    <xf numFmtId="0" fontId="11" fillId="0" borderId="0" xfId="0" applyFont="1"/>
    <xf numFmtId="40" fontId="20" fillId="0" borderId="6" xfId="0" applyNumberFormat="1" applyFont="1" applyBorder="1"/>
    <xf numFmtId="173" fontId="6" fillId="0" borderId="0" xfId="0" applyNumberFormat="1" applyFont="1" applyAlignment="1">
      <alignment horizontal="right"/>
    </xf>
    <xf numFmtId="40" fontId="17" fillId="0" borderId="30" xfId="0" applyNumberFormat="1" applyFont="1" applyBorder="1"/>
    <xf numFmtId="0" fontId="6" fillId="0" borderId="1" xfId="0" applyFont="1" applyBorder="1" applyAlignment="1">
      <alignment horizontal="left"/>
    </xf>
    <xf numFmtId="0" fontId="2" fillId="0" borderId="1" xfId="0" applyFont="1" applyBorder="1" applyAlignment="1">
      <alignment horizontal="centerContinuous"/>
    </xf>
    <xf numFmtId="0" fontId="6" fillId="0" borderId="1" xfId="0" applyFont="1" applyBorder="1" applyAlignment="1">
      <alignment horizontal="centerContinuous"/>
    </xf>
    <xf numFmtId="0" fontId="6" fillId="0" borderId="0" xfId="0" applyFont="1" applyAlignment="1">
      <alignment horizontal="centerContinuous"/>
    </xf>
    <xf numFmtId="6" fontId="2" fillId="0" borderId="0" xfId="0" applyNumberFormat="1" applyFont="1" applyAlignment="1">
      <alignment horizontal="right"/>
    </xf>
    <xf numFmtId="6" fontId="53" fillId="0" borderId="0" xfId="0" applyNumberFormat="1" applyFont="1" applyAlignment="1">
      <alignment horizontal="right" vertical="center" wrapText="1"/>
    </xf>
    <xf numFmtId="6" fontId="0" fillId="0" borderId="0" xfId="0" applyNumberFormat="1" applyAlignment="1">
      <alignment horizontal="right"/>
    </xf>
    <xf numFmtId="40" fontId="2" fillId="0" borderId="0" xfId="0" quotePrefix="1" applyNumberFormat="1" applyFont="1"/>
    <xf numFmtId="0" fontId="7" fillId="0" borderId="0" xfId="0" applyFont="1" applyAlignment="1">
      <alignment horizontal="left" vertical="center" wrapText="1"/>
    </xf>
    <xf numFmtId="0" fontId="2" fillId="0" borderId="0" xfId="0" quotePrefix="1" applyFont="1"/>
    <xf numFmtId="0" fontId="0" fillId="6" borderId="0" xfId="0" applyFill="1"/>
    <xf numFmtId="0" fontId="54" fillId="0" borderId="0" xfId="0" applyFont="1" applyAlignment="1">
      <alignment horizontal="right"/>
    </xf>
    <xf numFmtId="0" fontId="50" fillId="0" borderId="0" xfId="0" applyFont="1" applyAlignment="1">
      <alignment horizontal="center"/>
    </xf>
    <xf numFmtId="0" fontId="14" fillId="0" borderId="0" xfId="0" applyFont="1"/>
    <xf numFmtId="0" fontId="43" fillId="0" borderId="0" xfId="0" applyFont="1" applyAlignment="1">
      <alignment horizontal="center"/>
    </xf>
    <xf numFmtId="0" fontId="33" fillId="0" borderId="0" xfId="0" applyFont="1" applyAlignment="1">
      <alignment horizontal="left" vertical="center"/>
    </xf>
    <xf numFmtId="0" fontId="56" fillId="0" borderId="0" xfId="0" applyFont="1" applyAlignment="1">
      <alignment horizontal="center" vertical="center"/>
    </xf>
    <xf numFmtId="0" fontId="57" fillId="0" borderId="31" xfId="0" applyFont="1" applyBorder="1" applyAlignment="1">
      <alignment vertical="center"/>
    </xf>
    <xf numFmtId="0" fontId="0" fillId="0" borderId="0" xfId="0" applyAlignment="1">
      <alignment horizontal="center" vertical="center" wrapText="1"/>
    </xf>
    <xf numFmtId="0" fontId="0" fillId="0" borderId="0" xfId="0" applyAlignment="1">
      <alignment vertical="center"/>
    </xf>
    <xf numFmtId="0" fontId="43" fillId="0" borderId="0" xfId="0" applyFont="1" applyAlignment="1">
      <alignment horizontal="center" vertical="center" wrapText="1"/>
    </xf>
    <xf numFmtId="0" fontId="6" fillId="0" borderId="0" xfId="0" applyFont="1" applyAlignment="1">
      <alignment vertical="center" wrapText="1"/>
    </xf>
    <xf numFmtId="0" fontId="50"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right" vertical="center"/>
    </xf>
    <xf numFmtId="0" fontId="0" fillId="0" borderId="0" xfId="0" applyAlignment="1">
      <alignment horizontal="center" vertical="center"/>
    </xf>
    <xf numFmtId="0" fontId="54" fillId="0" borderId="0" xfId="0" applyFont="1" applyAlignment="1">
      <alignment horizontal="center" vertical="center"/>
    </xf>
    <xf numFmtId="0" fontId="6" fillId="0" borderId="0" xfId="0" applyFont="1" applyAlignment="1">
      <alignment horizontal="right" vertical="center" wrapText="1"/>
    </xf>
    <xf numFmtId="0" fontId="54" fillId="0" borderId="0" xfId="0" applyFont="1" applyAlignment="1">
      <alignment horizontal="right" vertical="center"/>
    </xf>
    <xf numFmtId="0" fontId="50" fillId="0" borderId="0" xfId="0" applyFont="1" applyAlignment="1">
      <alignment horizontal="center" vertical="center" wrapText="1"/>
    </xf>
    <xf numFmtId="0" fontId="13" fillId="0" borderId="31"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xf>
    <xf numFmtId="168" fontId="13" fillId="0" borderId="0" xfId="0" applyNumberFormat="1" applyFont="1" applyAlignment="1">
      <alignment horizontal="center" vertical="center" wrapText="1"/>
    </xf>
    <xf numFmtId="0" fontId="58" fillId="0" borderId="0" xfId="0" applyFont="1" applyAlignment="1">
      <alignment horizontal="left" vertical="center"/>
    </xf>
    <xf numFmtId="0" fontId="14" fillId="0" borderId="0" xfId="0" applyFont="1" applyAlignment="1">
      <alignment horizontal="left" vertical="top" wrapText="1"/>
    </xf>
    <xf numFmtId="174" fontId="0" fillId="0" borderId="0" xfId="0" applyNumberFormat="1"/>
    <xf numFmtId="0" fontId="15" fillId="0" borderId="0" xfId="0" applyFont="1" applyAlignment="1">
      <alignment horizontal="center" vertical="center"/>
    </xf>
    <xf numFmtId="0" fontId="59" fillId="0" borderId="0" xfId="0" applyFont="1" applyAlignment="1">
      <alignment wrapText="1"/>
    </xf>
    <xf numFmtId="0" fontId="23" fillId="0" borderId="0" xfId="0" applyFont="1" applyAlignment="1">
      <alignment horizontal="left" wrapText="1"/>
    </xf>
    <xf numFmtId="4" fontId="0" fillId="0" borderId="0" xfId="0" quotePrefix="1" applyNumberFormat="1" applyAlignment="1">
      <alignment horizontal="right"/>
    </xf>
    <xf numFmtId="0" fontId="0" fillId="0" borderId="11" xfId="0" applyBorder="1"/>
    <xf numFmtId="0" fontId="61" fillId="0" borderId="0" xfId="0" applyFont="1"/>
    <xf numFmtId="0" fontId="14" fillId="0" borderId="0" xfId="0" applyFont="1" applyAlignment="1">
      <alignment horizontal="center" vertical="center"/>
    </xf>
    <xf numFmtId="0" fontId="62" fillId="0" borderId="0" xfId="0" applyFont="1"/>
    <xf numFmtId="0" fontId="31" fillId="0" borderId="0" xfId="0" applyFont="1" applyAlignment="1">
      <alignment horizontal="center" vertical="center"/>
    </xf>
    <xf numFmtId="0" fontId="0" fillId="0" borderId="0" xfId="0" quotePrefix="1" applyAlignment="1">
      <alignment vertical="top" wrapText="1"/>
    </xf>
    <xf numFmtId="0" fontId="0" fillId="0" borderId="11" xfId="0" quotePrefix="1" applyBorder="1" applyAlignment="1">
      <alignment vertical="top" wrapText="1"/>
    </xf>
    <xf numFmtId="0" fontId="0" fillId="0" borderId="11" xfId="0" applyBorder="1" applyAlignment="1">
      <alignment horizontal="center" wrapText="1"/>
    </xf>
    <xf numFmtId="0" fontId="0" fillId="0" borderId="0" xfId="0" applyAlignment="1">
      <alignment horizontal="right" vertical="center"/>
    </xf>
    <xf numFmtId="9" fontId="0" fillId="0" borderId="23" xfId="0" applyNumberFormat="1" applyBorder="1" applyAlignment="1">
      <alignment horizontal="center" vertical="center"/>
    </xf>
    <xf numFmtId="0" fontId="0" fillId="0" borderId="23" xfId="0" applyBorder="1"/>
    <xf numFmtId="38" fontId="11" fillId="0" borderId="18" xfId="0" applyNumberFormat="1" applyFont="1" applyBorder="1" applyAlignment="1" applyProtection="1">
      <alignment horizontal="center" vertical="center"/>
      <protection locked="0"/>
    </xf>
    <xf numFmtId="10" fontId="0" fillId="0" borderId="23" xfId="0" applyNumberFormat="1" applyBorder="1" applyAlignment="1">
      <alignment horizontal="center" vertical="center"/>
    </xf>
    <xf numFmtId="0" fontId="62" fillId="0" borderId="0" xfId="0" applyFont="1" applyAlignment="1">
      <alignment horizontal="right" vertical="center"/>
    </xf>
    <xf numFmtId="9" fontId="0" fillId="0" borderId="17" xfId="0" applyNumberFormat="1" applyBorder="1" applyAlignment="1">
      <alignment horizontal="center" vertical="center"/>
    </xf>
    <xf numFmtId="0" fontId="0" fillId="0" borderId="17" xfId="0" applyBorder="1"/>
    <xf numFmtId="38" fontId="11" fillId="0" borderId="47" xfId="0" applyNumberFormat="1" applyFont="1" applyBorder="1" applyAlignment="1" applyProtection="1">
      <alignment horizontal="center" vertical="center"/>
      <protection locked="0"/>
    </xf>
    <xf numFmtId="10" fontId="0" fillId="0" borderId="17" xfId="0" applyNumberFormat="1" applyBorder="1" applyAlignment="1">
      <alignment horizontal="center" vertical="center"/>
    </xf>
    <xf numFmtId="0" fontId="23" fillId="0" borderId="0" xfId="0" applyFont="1" applyAlignment="1">
      <alignment horizontal="left" vertical="center"/>
    </xf>
    <xf numFmtId="0" fontId="63" fillId="0" borderId="0" xfId="0" applyFont="1" applyAlignment="1">
      <alignment vertical="center"/>
    </xf>
    <xf numFmtId="0" fontId="0" fillId="0" borderId="23" xfId="0" applyBorder="1" applyAlignment="1">
      <alignment horizontal="right"/>
    </xf>
    <xf numFmtId="0" fontId="0" fillId="0" borderId="23" xfId="0" applyBorder="1" applyAlignment="1">
      <alignment horizontal="right" vertical="center"/>
    </xf>
    <xf numFmtId="38" fontId="0" fillId="0" borderId="11" xfId="0" applyNumberFormat="1" applyBorder="1" applyAlignment="1">
      <alignment horizontal="center" vertical="center"/>
    </xf>
    <xf numFmtId="10" fontId="0" fillId="0" borderId="11" xfId="0" applyNumberFormat="1" applyBorder="1" applyAlignment="1">
      <alignment horizontal="center" vertical="center"/>
    </xf>
    <xf numFmtId="38" fontId="0" fillId="0" borderId="48" xfId="0" applyNumberFormat="1" applyBorder="1" applyAlignment="1">
      <alignment horizontal="center" vertical="center"/>
    </xf>
    <xf numFmtId="10" fontId="0" fillId="0" borderId="48" xfId="0" applyNumberFormat="1" applyBorder="1" applyAlignment="1">
      <alignment horizontal="center" vertical="center"/>
    </xf>
    <xf numFmtId="0" fontId="0" fillId="0" borderId="50" xfId="0" applyBorder="1"/>
    <xf numFmtId="10" fontId="0" fillId="0" borderId="51" xfId="2" applyNumberFormat="1" applyFont="1" applyBorder="1" applyAlignment="1" applyProtection="1">
      <alignment horizontal="center" vertical="center"/>
    </xf>
    <xf numFmtId="0" fontId="0" fillId="8" borderId="0" xfId="0" applyFill="1"/>
    <xf numFmtId="176" fontId="0" fillId="0" borderId="0" xfId="0" applyNumberFormat="1"/>
    <xf numFmtId="176" fontId="0" fillId="0" borderId="6" xfId="0" applyNumberFormat="1" applyBorder="1"/>
    <xf numFmtId="177" fontId="0" fillId="0" borderId="0" xfId="1" applyNumberFormat="1" applyFont="1" applyBorder="1" applyProtection="1"/>
    <xf numFmtId="176" fontId="0" fillId="0" borderId="18" xfId="1" applyNumberFormat="1" applyFont="1" applyBorder="1" applyProtection="1"/>
    <xf numFmtId="176" fontId="0" fillId="0" borderId="18" xfId="1" quotePrefix="1" applyNumberFormat="1" applyFont="1" applyFill="1" applyBorder="1" applyProtection="1"/>
    <xf numFmtId="176" fontId="0" fillId="0" borderId="0" xfId="1" quotePrefix="1" applyNumberFormat="1" applyFont="1" applyFill="1" applyBorder="1" applyProtection="1"/>
    <xf numFmtId="168" fontId="0" fillId="0" borderId="0" xfId="1" applyNumberFormat="1" applyFont="1" applyProtection="1"/>
    <xf numFmtId="176" fontId="0" fillId="0" borderId="0" xfId="1" applyNumberFormat="1" applyFont="1" applyProtection="1"/>
    <xf numFmtId="176" fontId="0" fillId="0" borderId="0" xfId="1" applyNumberFormat="1" applyFont="1" applyBorder="1" applyProtection="1"/>
    <xf numFmtId="176" fontId="0" fillId="0" borderId="41" xfId="1" applyNumberFormat="1" applyFont="1" applyBorder="1" applyProtection="1"/>
    <xf numFmtId="44" fontId="0" fillId="0" borderId="0" xfId="0" applyNumberFormat="1"/>
    <xf numFmtId="168" fontId="0" fillId="0" borderId="11" xfId="0" quotePrefix="1" applyNumberFormat="1" applyBorder="1" applyAlignment="1">
      <alignment vertical="top" wrapText="1"/>
    </xf>
    <xf numFmtId="0" fontId="13" fillId="0" borderId="0" xfId="0" applyFont="1" applyAlignment="1">
      <alignment horizontal="center"/>
    </xf>
    <xf numFmtId="176" fontId="0" fillId="0" borderId="18" xfId="1" applyNumberFormat="1" applyFont="1" applyFill="1" applyBorder="1" applyAlignment="1" applyProtection="1">
      <alignment horizontal="right"/>
    </xf>
    <xf numFmtId="0" fontId="52" fillId="0" borderId="0" xfId="0" applyFont="1"/>
    <xf numFmtId="176" fontId="0" fillId="0" borderId="0" xfId="1" applyNumberFormat="1" applyFont="1" applyBorder="1" applyAlignment="1" applyProtection="1">
      <alignment horizontal="right"/>
    </xf>
    <xf numFmtId="0" fontId="64" fillId="0" borderId="0" xfId="0" applyFont="1" applyAlignment="1">
      <alignment horizontal="center"/>
    </xf>
    <xf numFmtId="176" fontId="0" fillId="0" borderId="18" xfId="1" applyNumberFormat="1" applyFont="1" applyBorder="1" applyAlignment="1" applyProtection="1">
      <alignment horizontal="right"/>
    </xf>
    <xf numFmtId="176" fontId="0" fillId="0" borderId="0" xfId="1" applyNumberFormat="1" applyFont="1" applyFill="1" applyBorder="1" applyAlignment="1" applyProtection="1">
      <alignment horizontal="right"/>
    </xf>
    <xf numFmtId="176" fontId="0" fillId="0" borderId="6" xfId="0" applyNumberFormat="1" applyBorder="1" applyAlignment="1">
      <alignment horizontal="right"/>
    </xf>
    <xf numFmtId="176" fontId="1" fillId="0" borderId="18" xfId="1" applyNumberFormat="1" applyFont="1" applyBorder="1" applyAlignment="1" applyProtection="1">
      <alignment horizontal="right"/>
    </xf>
    <xf numFmtId="176" fontId="13" fillId="0" borderId="0" xfId="1" applyNumberFormat="1" applyFont="1" applyBorder="1" applyAlignment="1" applyProtection="1">
      <alignment horizontal="right"/>
    </xf>
    <xf numFmtId="176" fontId="1" fillId="0" borderId="18" xfId="1" applyNumberFormat="1" applyFont="1" applyBorder="1" applyProtection="1"/>
    <xf numFmtId="0" fontId="0" fillId="0" borderId="6" xfId="0" applyBorder="1"/>
    <xf numFmtId="176" fontId="13" fillId="0" borderId="41" xfId="1" applyNumberFormat="1" applyFont="1" applyBorder="1" applyProtection="1"/>
    <xf numFmtId="0" fontId="13" fillId="0" borderId="0" xfId="0" applyFont="1" applyAlignment="1">
      <alignment horizontal="right"/>
    </xf>
    <xf numFmtId="10" fontId="13" fillId="0" borderId="18" xfId="2" applyNumberFormat="1" applyFont="1" applyBorder="1" applyAlignment="1" applyProtection="1">
      <alignment horizontal="center"/>
    </xf>
    <xf numFmtId="176" fontId="13" fillId="0" borderId="52" xfId="1" applyNumberFormat="1" applyFont="1" applyBorder="1" applyProtection="1"/>
    <xf numFmtId="9" fontId="65" fillId="0" borderId="0" xfId="0" applyNumberFormat="1" applyFont="1"/>
    <xf numFmtId="0" fontId="65" fillId="0" borderId="0" xfId="0" applyFont="1"/>
    <xf numFmtId="9" fontId="0" fillId="0" borderId="0" xfId="0" applyNumberFormat="1"/>
    <xf numFmtId="0" fontId="4" fillId="0" borderId="0" xfId="0" applyFont="1" applyAlignment="1">
      <alignment horizontal="right"/>
    </xf>
    <xf numFmtId="0" fontId="67" fillId="0" borderId="0" xfId="0" applyFont="1" applyAlignment="1">
      <alignment horizontal="left"/>
    </xf>
    <xf numFmtId="0" fontId="0" fillId="9" borderId="0" xfId="0" applyFill="1"/>
    <xf numFmtId="0" fontId="67" fillId="0" borderId="0" xfId="0" applyFont="1" applyAlignment="1">
      <alignment horizontal="right"/>
    </xf>
    <xf numFmtId="0" fontId="2" fillId="0" borderId="0" xfId="0" applyFont="1" applyAlignment="1">
      <alignment horizontal="left" vertical="center"/>
    </xf>
    <xf numFmtId="6" fontId="2" fillId="9" borderId="0" xfId="0" applyNumberFormat="1" applyFont="1" applyFill="1"/>
    <xf numFmtId="6" fontId="2" fillId="0" borderId="0" xfId="0" applyNumberFormat="1" applyFont="1"/>
    <xf numFmtId="0" fontId="0" fillId="0" borderId="18" xfId="0" applyBorder="1"/>
    <xf numFmtId="0" fontId="68" fillId="0" borderId="0" xfId="0" applyFont="1"/>
    <xf numFmtId="0" fontId="0" fillId="0" borderId="0" xfId="0" applyAlignment="1">
      <alignment horizontal="left" vertical="center"/>
    </xf>
    <xf numFmtId="9" fontId="2" fillId="0" borderId="0" xfId="2" applyFont="1" applyProtection="1"/>
    <xf numFmtId="9" fontId="2" fillId="0" borderId="0" xfId="2" applyFont="1" applyFill="1" applyProtection="1"/>
    <xf numFmtId="165" fontId="11" fillId="0" borderId="53" xfId="0" applyNumberFormat="1" applyFont="1" applyBorder="1" applyAlignment="1" applyProtection="1">
      <alignment horizontal="center" vertical="center"/>
      <protection locked="0"/>
    </xf>
    <xf numFmtId="6" fontId="21" fillId="0" borderId="0" xfId="0" applyNumberFormat="1" applyFont="1"/>
    <xf numFmtId="6" fontId="21" fillId="0" borderId="0" xfId="0" applyNumberFormat="1" applyFont="1" applyAlignment="1">
      <alignment horizontal="right"/>
    </xf>
    <xf numFmtId="0" fontId="69" fillId="0" borderId="0" xfId="0" applyFont="1" applyProtection="1"/>
    <xf numFmtId="0" fontId="21" fillId="0" borderId="0" xfId="0" applyFont="1" applyProtection="1"/>
    <xf numFmtId="0" fontId="48" fillId="0" borderId="0" xfId="0" applyFont="1" applyProtection="1"/>
    <xf numFmtId="40" fontId="18" fillId="0" borderId="0" xfId="0" applyNumberFormat="1" applyFont="1" applyProtection="1"/>
    <xf numFmtId="38" fontId="18" fillId="0" borderId="0" xfId="0" applyNumberFormat="1" applyFont="1" applyProtection="1"/>
    <xf numFmtId="40" fontId="18" fillId="0" borderId="0" xfId="0" applyNumberFormat="1" applyFont="1" applyBorder="1" applyProtection="1"/>
    <xf numFmtId="0" fontId="11" fillId="0" borderId="0" xfId="0" applyFont="1" applyProtection="1"/>
    <xf numFmtId="0" fontId="18" fillId="0" borderId="0" xfId="0" applyFont="1" applyAlignment="1" applyProtection="1">
      <alignment horizontal="left"/>
    </xf>
    <xf numFmtId="8" fontId="52" fillId="0" borderId="0" xfId="0" quotePrefix="1" applyNumberFormat="1" applyFont="1" applyAlignment="1">
      <alignment horizontal="left"/>
    </xf>
    <xf numFmtId="10" fontId="11" fillId="0" borderId="20" xfId="0" applyNumberFormat="1" applyFont="1" applyBorder="1" applyAlignment="1" applyProtection="1">
      <alignment horizontal="center"/>
      <protection locked="0"/>
    </xf>
    <xf numFmtId="40" fontId="18" fillId="3" borderId="18" xfId="0" applyNumberFormat="1" applyFont="1" applyFill="1" applyBorder="1" applyProtection="1"/>
    <xf numFmtId="0" fontId="21" fillId="0" borderId="0" xfId="0" applyFont="1" applyAlignment="1">
      <alignment horizontal="left" vertical="center"/>
    </xf>
    <xf numFmtId="9" fontId="21" fillId="0" borderId="2" xfId="0" applyNumberFormat="1" applyFont="1" applyBorder="1" applyAlignment="1">
      <alignment horizontal="center"/>
    </xf>
    <xf numFmtId="6" fontId="21" fillId="0" borderId="53" xfId="0" applyNumberFormat="1" applyFont="1" applyBorder="1" applyAlignment="1">
      <alignment horizontal="center"/>
    </xf>
    <xf numFmtId="0" fontId="21" fillId="0" borderId="3" xfId="0" quotePrefix="1" applyFont="1" applyBorder="1" applyAlignment="1">
      <alignment horizontal="center" vertical="center"/>
    </xf>
    <xf numFmtId="0" fontId="21" fillId="0" borderId="47" xfId="0" applyFont="1" applyBorder="1" applyAlignment="1">
      <alignment horizontal="center" vertical="center"/>
    </xf>
    <xf numFmtId="0" fontId="0" fillId="0" borderId="0" xfId="0" quotePrefix="1" applyBorder="1" applyAlignment="1">
      <alignment vertical="top" wrapText="1"/>
    </xf>
    <xf numFmtId="0" fontId="0" fillId="0" borderId="0" xfId="0" applyBorder="1"/>
    <xf numFmtId="0" fontId="62" fillId="0" borderId="11" xfId="0" applyFont="1" applyBorder="1" applyAlignment="1">
      <alignment horizontal="center" vertical="center" wrapText="1"/>
    </xf>
    <xf numFmtId="0" fontId="0" fillId="0" borderId="0" xfId="0" applyFont="1" applyAlignment="1">
      <alignment vertical="center"/>
    </xf>
    <xf numFmtId="176" fontId="13" fillId="0" borderId="41" xfId="1" applyNumberFormat="1" applyFont="1" applyBorder="1" applyAlignment="1" applyProtection="1">
      <alignment horizontal="right"/>
    </xf>
    <xf numFmtId="168" fontId="0" fillId="0" borderId="0" xfId="0" quotePrefix="1" applyNumberFormat="1" applyBorder="1" applyAlignment="1">
      <alignment vertical="top" wrapText="1"/>
    </xf>
    <xf numFmtId="0" fontId="2" fillId="0" borderId="0" xfId="0" applyFont="1" applyBorder="1"/>
    <xf numFmtId="0" fontId="0" fillId="0" borderId="1" xfId="0" applyBorder="1" applyAlignment="1">
      <alignment horizontal="center"/>
    </xf>
    <xf numFmtId="0" fontId="26" fillId="0" borderId="0" xfId="0" applyFont="1" applyAlignment="1">
      <alignment horizontal="right"/>
    </xf>
    <xf numFmtId="0" fontId="17" fillId="0" borderId="15" xfId="0" applyFont="1" applyBorder="1" applyAlignment="1">
      <alignment horizontal="center"/>
    </xf>
    <xf numFmtId="0" fontId="0" fillId="0" borderId="16" xfId="0" quotePrefix="1" applyBorder="1" applyAlignment="1">
      <alignment horizontal="right"/>
    </xf>
    <xf numFmtId="0" fontId="0" fillId="0" borderId="0" xfId="0" quotePrefix="1" applyAlignment="1">
      <alignment horizontal="right"/>
    </xf>
    <xf numFmtId="0" fontId="11" fillId="0" borderId="2" xfId="0" applyFont="1" applyBorder="1" applyAlignment="1" applyProtection="1">
      <alignment horizontal="center" vertical="center"/>
      <protection locked="0"/>
    </xf>
    <xf numFmtId="0" fontId="7"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6" xfId="0" applyBorder="1" applyAlignment="1">
      <alignment horizontal="right"/>
    </xf>
    <xf numFmtId="0" fontId="0" fillId="0" borderId="0" xfId="0" applyAlignment="1">
      <alignment horizontal="right"/>
    </xf>
    <xf numFmtId="0" fontId="0" fillId="0" borderId="19" xfId="0" applyBorder="1" applyAlignment="1">
      <alignment horizontal="right"/>
    </xf>
    <xf numFmtId="0" fontId="12" fillId="5" borderId="0" xfId="0" applyFont="1" applyFill="1" applyAlignment="1">
      <alignment horizontal="left" vertical="top" wrapText="1"/>
    </xf>
    <xf numFmtId="0" fontId="0" fillId="0" borderId="20" xfId="0" applyBorder="1" applyAlignment="1">
      <alignment horizontal="right"/>
    </xf>
    <xf numFmtId="0" fontId="33" fillId="0" borderId="0" xfId="0" applyFont="1" applyAlignment="1">
      <alignment horizontal="right"/>
    </xf>
    <xf numFmtId="0" fontId="14" fillId="0" borderId="17" xfId="0" applyFont="1" applyBorder="1" applyAlignment="1">
      <alignment horizontal="left" vertical="center" wrapText="1"/>
    </xf>
    <xf numFmtId="49" fontId="11" fillId="0" borderId="24" xfId="0" applyNumberFormat="1" applyFont="1" applyBorder="1" applyAlignment="1" applyProtection="1">
      <alignment horizontal="left" vertical="top" wrapText="1"/>
      <protection locked="0"/>
    </xf>
    <xf numFmtId="49" fontId="11" fillId="0" borderId="4" xfId="0" applyNumberFormat="1" applyFont="1" applyBorder="1" applyAlignment="1" applyProtection="1">
      <alignment horizontal="left" vertical="top" wrapText="1"/>
      <protection locked="0"/>
    </xf>
    <xf numFmtId="49" fontId="11" fillId="0" borderId="25" xfId="0" applyNumberFormat="1" applyFont="1" applyBorder="1" applyAlignment="1" applyProtection="1">
      <alignment horizontal="left" vertical="top" wrapText="1"/>
      <protection locked="0"/>
    </xf>
    <xf numFmtId="49" fontId="11" fillId="0" borderId="26" xfId="0" applyNumberFormat="1" applyFont="1" applyBorder="1" applyAlignment="1" applyProtection="1">
      <alignment horizontal="left" vertical="top" wrapText="1"/>
      <protection locked="0"/>
    </xf>
    <xf numFmtId="49" fontId="11" fillId="0" borderId="0" xfId="0" applyNumberFormat="1" applyFont="1" applyAlignment="1" applyProtection="1">
      <alignment horizontal="left" vertical="top" wrapText="1"/>
      <protection locked="0"/>
    </xf>
    <xf numFmtId="49" fontId="11" fillId="0" borderId="27" xfId="0" applyNumberFormat="1" applyFont="1" applyBorder="1" applyAlignment="1" applyProtection="1">
      <alignment horizontal="left" vertical="top" wrapText="1"/>
      <protection locked="0"/>
    </xf>
    <xf numFmtId="49" fontId="11" fillId="0" borderId="28" xfId="0" applyNumberFormat="1" applyFont="1" applyBorder="1" applyAlignment="1" applyProtection="1">
      <alignment horizontal="left" vertical="top" wrapText="1"/>
      <protection locked="0"/>
    </xf>
    <xf numFmtId="49" fontId="11" fillId="0" borderId="2" xfId="0" applyNumberFormat="1" applyFont="1" applyBorder="1" applyAlignment="1" applyProtection="1">
      <alignment horizontal="left" vertical="top" wrapText="1"/>
      <protection locked="0"/>
    </xf>
    <xf numFmtId="49" fontId="11" fillId="0" borderId="29" xfId="0" applyNumberFormat="1" applyFont="1" applyBorder="1" applyAlignment="1" applyProtection="1">
      <alignment horizontal="left" vertical="top" wrapText="1"/>
      <protection locked="0"/>
    </xf>
    <xf numFmtId="170" fontId="48" fillId="0" borderId="0" xfId="2" applyNumberFormat="1" applyFont="1" applyFill="1" applyAlignment="1" applyProtection="1">
      <alignment horizontal="center"/>
      <protection locked="0"/>
    </xf>
    <xf numFmtId="0" fontId="48" fillId="0" borderId="0" xfId="0" applyFont="1" applyAlignment="1" applyProtection="1">
      <alignment horizontal="center"/>
      <protection locked="0"/>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8" xfId="0" applyFont="1" applyBorder="1" applyAlignment="1">
      <alignment horizontal="center" vertical="top" wrapText="1"/>
    </xf>
    <xf numFmtId="0" fontId="13" fillId="0" borderId="0" xfId="0" applyFont="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49" fontId="11" fillId="0" borderId="4" xfId="0" applyNumberFormat="1" applyFont="1" applyBorder="1" applyAlignment="1" applyProtection="1">
      <alignment horizontal="left" vertical="top"/>
      <protection locked="0"/>
    </xf>
    <xf numFmtId="49" fontId="11" fillId="0" borderId="25" xfId="0" applyNumberFormat="1" applyFont="1" applyBorder="1" applyAlignment="1" applyProtection="1">
      <alignment horizontal="left" vertical="top"/>
      <protection locked="0"/>
    </xf>
    <xf numFmtId="49" fontId="11" fillId="0" borderId="26" xfId="0" applyNumberFormat="1" applyFont="1" applyBorder="1" applyAlignment="1" applyProtection="1">
      <alignment horizontal="left" vertical="top"/>
      <protection locked="0"/>
    </xf>
    <xf numFmtId="49" fontId="11" fillId="0" borderId="0" xfId="0" applyNumberFormat="1" applyFont="1" applyAlignment="1" applyProtection="1">
      <alignment horizontal="left" vertical="top"/>
      <protection locked="0"/>
    </xf>
    <xf numFmtId="49" fontId="11" fillId="0" borderId="27" xfId="0" applyNumberFormat="1" applyFont="1" applyBorder="1" applyAlignment="1" applyProtection="1">
      <alignment horizontal="left" vertical="top"/>
      <protection locked="0"/>
    </xf>
    <xf numFmtId="49" fontId="11" fillId="0" borderId="28" xfId="0" applyNumberFormat="1" applyFont="1" applyBorder="1" applyAlignment="1" applyProtection="1">
      <alignment horizontal="left" vertical="top"/>
      <protection locked="0"/>
    </xf>
    <xf numFmtId="49" fontId="11" fillId="0" borderId="2" xfId="0" applyNumberFormat="1" applyFont="1" applyBorder="1" applyAlignment="1" applyProtection="1">
      <alignment horizontal="left" vertical="top"/>
      <protection locked="0"/>
    </xf>
    <xf numFmtId="49" fontId="11" fillId="0" borderId="29" xfId="0" applyNumberFormat="1" applyFont="1" applyBorder="1" applyAlignment="1" applyProtection="1">
      <alignment horizontal="left" vertical="top"/>
      <protection locked="0"/>
    </xf>
    <xf numFmtId="0" fontId="0" fillId="0" borderId="39" xfId="0" applyBorder="1" applyAlignment="1">
      <alignment horizontal="right" vertical="center"/>
    </xf>
    <xf numFmtId="0" fontId="0" fillId="0" borderId="0" xfId="0" applyAlignment="1">
      <alignment horizontal="right" vertical="center"/>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168" fontId="0" fillId="0" borderId="8" xfId="0" quotePrefix="1" applyNumberFormat="1" applyBorder="1" applyAlignment="1">
      <alignment horizontal="center" vertical="center"/>
    </xf>
    <xf numFmtId="168" fontId="0" fillId="0" borderId="0" xfId="0" quotePrefix="1" applyNumberFormat="1" applyAlignment="1">
      <alignment horizontal="center" vertical="center"/>
    </xf>
    <xf numFmtId="168" fontId="0" fillId="0" borderId="8" xfId="0" applyNumberFormat="1" applyBorder="1" applyAlignment="1">
      <alignment horizontal="center" vertical="center"/>
    </xf>
    <xf numFmtId="168" fontId="0" fillId="0" borderId="0" xfId="0" applyNumberFormat="1" applyAlignment="1">
      <alignment horizontal="center" vertical="center"/>
    </xf>
    <xf numFmtId="168" fontId="0" fillId="0" borderId="31" xfId="0" applyNumberFormat="1" applyBorder="1" applyAlignment="1">
      <alignment horizontal="center" vertical="center"/>
    </xf>
    <xf numFmtId="0" fontId="11" fillId="0" borderId="0" xfId="0" applyFont="1" applyAlignment="1" applyProtection="1">
      <alignment horizontal="center" shrinkToFit="1"/>
      <protection locked="0"/>
    </xf>
    <xf numFmtId="0" fontId="0" fillId="0" borderId="4" xfId="0" applyBorder="1" applyAlignment="1">
      <alignment horizontal="center"/>
    </xf>
    <xf numFmtId="0" fontId="11" fillId="0" borderId="2" xfId="0" applyFont="1" applyBorder="1" applyAlignment="1" applyProtection="1">
      <alignment horizontal="center"/>
      <protection locked="0"/>
    </xf>
    <xf numFmtId="0" fontId="55" fillId="0" borderId="0" xfId="0" applyFont="1" applyAlignment="1">
      <alignment horizontal="left" vertical="center" wrapText="1"/>
    </xf>
    <xf numFmtId="0" fontId="57" fillId="0" borderId="32" xfId="0" applyFont="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13" fillId="0" borderId="35"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8" xfId="0" applyFont="1" applyBorder="1" applyAlignment="1">
      <alignment horizontal="center" vertical="center" wrapText="1"/>
    </xf>
    <xf numFmtId="168" fontId="0" fillId="0" borderId="8" xfId="0" applyNumberFormat="1" applyBorder="1" applyAlignment="1">
      <alignment horizontal="center" vertical="center" wrapText="1"/>
    </xf>
    <xf numFmtId="168" fontId="0" fillId="0" borderId="0" xfId="0" applyNumberFormat="1" applyAlignment="1">
      <alignment horizontal="center" vertical="center" wrapText="1"/>
    </xf>
    <xf numFmtId="168" fontId="0" fillId="0" borderId="31" xfId="0" applyNumberFormat="1" applyBorder="1" applyAlignment="1">
      <alignment horizontal="center" vertical="center" wrapText="1"/>
    </xf>
    <xf numFmtId="0" fontId="58" fillId="0" borderId="0" xfId="0" applyFont="1" applyAlignment="1">
      <alignment horizontal="left" vertical="center"/>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0" fillId="0" borderId="18" xfId="0" applyBorder="1" applyAlignment="1">
      <alignment horizontal="center"/>
    </xf>
    <xf numFmtId="0" fontId="14" fillId="0" borderId="0" xfId="0" applyFont="1" applyAlignment="1">
      <alignment horizontal="left" vertical="top" wrapText="1"/>
    </xf>
    <xf numFmtId="0" fontId="0" fillId="0" borderId="40" xfId="0" applyBorder="1" applyAlignment="1">
      <alignment horizontal="right" vertical="center"/>
    </xf>
    <xf numFmtId="0" fontId="0" fillId="0" borderId="41" xfId="0" applyBorder="1" applyAlignment="1">
      <alignment horizontal="right" vertical="center"/>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168" fontId="0" fillId="0" borderId="42" xfId="0" applyNumberFormat="1" applyBorder="1" applyAlignment="1">
      <alignment horizontal="center" vertical="center"/>
    </xf>
    <xf numFmtId="168" fontId="0" fillId="0" borderId="41" xfId="0" applyNumberFormat="1" applyBorder="1" applyAlignment="1">
      <alignment horizontal="center" vertical="center"/>
    </xf>
    <xf numFmtId="168" fontId="0" fillId="0" borderId="42" xfId="0" applyNumberFormat="1" applyBorder="1" applyAlignment="1">
      <alignment horizontal="center" vertical="center" wrapText="1"/>
    </xf>
    <xf numFmtId="168" fontId="0" fillId="0" borderId="41" xfId="0" applyNumberFormat="1" applyBorder="1" applyAlignment="1">
      <alignment horizontal="center" vertical="center" wrapText="1"/>
    </xf>
    <xf numFmtId="168" fontId="0" fillId="0" borderId="44" xfId="0" applyNumberFormat="1" applyBorder="1" applyAlignment="1">
      <alignment horizontal="center" vertical="center" wrapText="1"/>
    </xf>
    <xf numFmtId="0" fontId="13" fillId="0" borderId="45" xfId="0" applyFont="1" applyBorder="1" applyAlignment="1">
      <alignment horizontal="right" vertical="center" wrapText="1"/>
    </xf>
    <xf numFmtId="0" fontId="13" fillId="0" borderId="11" xfId="0" applyFont="1" applyBorder="1" applyAlignment="1">
      <alignment horizontal="right"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168" fontId="13" fillId="7" borderId="10" xfId="0" applyNumberFormat="1" applyFont="1" applyFill="1" applyBorder="1" applyAlignment="1">
      <alignment horizontal="center" vertical="center" wrapText="1"/>
    </xf>
    <xf numFmtId="168" fontId="13" fillId="7" borderId="11" xfId="0" applyNumberFormat="1" applyFont="1" applyFill="1" applyBorder="1" applyAlignment="1">
      <alignment horizontal="center" vertical="center" wrapText="1"/>
    </xf>
    <xf numFmtId="168" fontId="13" fillId="0" borderId="10" xfId="0" applyNumberFormat="1" applyFont="1" applyBorder="1" applyAlignment="1">
      <alignment horizontal="center" vertical="center" wrapText="1"/>
    </xf>
    <xf numFmtId="168" fontId="13" fillId="0" borderId="11" xfId="0" applyNumberFormat="1" applyFont="1" applyBorder="1" applyAlignment="1">
      <alignment horizontal="center" vertical="center" wrapText="1"/>
    </xf>
    <xf numFmtId="168" fontId="13" fillId="0" borderId="46" xfId="0" applyNumberFormat="1" applyFont="1" applyBorder="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xf>
    <xf numFmtId="6" fontId="0" fillId="0" borderId="18" xfId="0" applyNumberFormat="1" applyBorder="1" applyAlignment="1">
      <alignment horizontal="center"/>
    </xf>
    <xf numFmtId="4" fontId="2" fillId="0" borderId="18" xfId="0" applyNumberFormat="1" applyFont="1" applyBorder="1" applyAlignment="1">
      <alignment horizontal="right" indent="1"/>
    </xf>
    <xf numFmtId="4" fontId="0" fillId="0" borderId="4" xfId="0" applyNumberFormat="1" applyBorder="1" applyAlignment="1">
      <alignment horizontal="center"/>
    </xf>
    <xf numFmtId="4" fontId="0" fillId="0" borderId="6" xfId="0" applyNumberFormat="1" applyBorder="1" applyAlignment="1">
      <alignment horizontal="center"/>
    </xf>
    <xf numFmtId="0" fontId="59" fillId="0" borderId="0" xfId="0" applyFont="1" applyAlignment="1">
      <alignment horizontal="left" wrapText="1"/>
    </xf>
    <xf numFmtId="0" fontId="23" fillId="0" borderId="0" xfId="0" applyFont="1" applyAlignment="1">
      <alignment horizontal="left" wrapText="1"/>
    </xf>
    <xf numFmtId="4" fontId="0" fillId="0" borderId="0" xfId="0" quotePrefix="1" applyNumberFormat="1" applyAlignment="1">
      <alignment horizontal="center"/>
    </xf>
    <xf numFmtId="4" fontId="0" fillId="0" borderId="18" xfId="0" quotePrefix="1" applyNumberFormat="1" applyBorder="1" applyAlignment="1">
      <alignment horizontal="center"/>
    </xf>
    <xf numFmtId="170" fontId="21" fillId="0" borderId="0" xfId="2" applyNumberFormat="1" applyFont="1" applyFill="1" applyAlignment="1" applyProtection="1">
      <alignment horizontal="center"/>
      <protection locked="0"/>
    </xf>
    <xf numFmtId="0" fontId="21" fillId="0" borderId="0" xfId="0" applyFont="1" applyAlignment="1">
      <alignment horizontal="left" vertical="center"/>
    </xf>
    <xf numFmtId="0" fontId="43" fillId="0" borderId="0" xfId="0" applyFont="1" applyAlignment="1">
      <alignment horizontal="center"/>
    </xf>
    <xf numFmtId="0" fontId="28" fillId="0" borderId="11" xfId="0" applyFont="1" applyBorder="1" applyAlignment="1">
      <alignment horizontal="center"/>
    </xf>
    <xf numFmtId="0" fontId="11" fillId="10" borderId="2" xfId="0" applyFont="1" applyFill="1" applyBorder="1" applyAlignment="1">
      <alignment horizontal="center"/>
    </xf>
    <xf numFmtId="0" fontId="0" fillId="0" borderId="0" xfId="0" quotePrefix="1" applyFill="1" applyAlignment="1">
      <alignment horizontal="center" vertical="center" wrapText="1"/>
    </xf>
    <xf numFmtId="0" fontId="8" fillId="0" borderId="0" xfId="0" applyFont="1" applyAlignment="1">
      <alignment horizontal="center" vertical="center" wrapText="1"/>
    </xf>
    <xf numFmtId="0" fontId="0" fillId="0" borderId="49" xfId="0" applyBorder="1" applyAlignment="1">
      <alignment horizontal="right" vertical="center" wrapText="1"/>
    </xf>
    <xf numFmtId="0" fontId="0" fillId="0" borderId="50" xfId="0" applyBorder="1" applyAlignment="1">
      <alignment horizontal="right" vertical="center" wrapText="1"/>
    </xf>
    <xf numFmtId="0" fontId="0" fillId="0" borderId="0" xfId="0" applyAlignment="1">
      <alignment horizontal="left" wrapText="1"/>
    </xf>
    <xf numFmtId="0" fontId="50" fillId="0" borderId="0" xfId="0" applyFont="1" applyAlignment="1">
      <alignment horizontal="left" vertical="center" wrapText="1"/>
    </xf>
  </cellXfs>
  <cellStyles count="3">
    <cellStyle name="Currency" xfId="1" builtinId="4"/>
    <cellStyle name="Normal" xfId="0" builtinId="0"/>
    <cellStyle name="Percent" xfId="2" builtinId="5"/>
  </cellStyles>
  <dxfs count="186">
    <dxf>
      <font>
        <b/>
        <i val="0"/>
        <color rgb="FFFF0000"/>
      </font>
    </dxf>
    <dxf>
      <font>
        <b/>
        <i val="0"/>
        <color rgb="FFFF0000"/>
      </font>
    </dxf>
    <dxf>
      <font>
        <b/>
        <i/>
        <color rgb="FFFF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b/>
        <i val="0"/>
        <color rgb="FFFF0000"/>
      </font>
      <fill>
        <patternFill>
          <bgColor rgb="FFFFEBFF"/>
        </patternFill>
      </fill>
    </dxf>
    <dxf>
      <font>
        <b/>
        <i val="0"/>
        <color rgb="FFFF0000"/>
      </font>
      <fill>
        <patternFill>
          <bgColor rgb="FFFFEBFF"/>
        </patternFill>
      </fill>
    </dxf>
    <dxf>
      <font>
        <b val="0"/>
        <i/>
        <color rgb="FFFF0000"/>
      </font>
    </dxf>
    <dxf>
      <font>
        <b val="0"/>
        <i/>
        <color rgb="FFFF0000"/>
      </font>
    </dxf>
    <dxf>
      <font>
        <b/>
        <i val="0"/>
        <color rgb="FFFF0000"/>
      </font>
    </dxf>
    <dxf>
      <font>
        <b/>
        <i val="0"/>
        <color rgb="FFFF0000"/>
      </font>
    </dxf>
    <dxf>
      <font>
        <b/>
        <i/>
        <color rgb="FFFF0000"/>
      </font>
    </dxf>
    <dxf>
      <font>
        <b/>
        <i/>
        <color rgb="FFFF0000"/>
      </font>
    </dxf>
    <dxf>
      <font>
        <b/>
        <i val="0"/>
        <color rgb="FFC00000"/>
      </font>
      <fill>
        <patternFill>
          <bgColor rgb="FFFFCCFF"/>
        </patternFill>
      </fill>
    </dxf>
    <dxf>
      <font>
        <b/>
        <i val="0"/>
        <color rgb="FFFFFF00"/>
      </font>
      <fill>
        <patternFill>
          <bgColor rgb="FFFF0000"/>
        </patternFill>
      </fill>
    </dxf>
    <dxf>
      <fill>
        <patternFill patternType="none">
          <bgColor auto="1"/>
        </patternFill>
      </fill>
    </dxf>
    <dxf>
      <font>
        <b/>
        <i val="0"/>
        <color rgb="FFFF0000"/>
      </font>
      <fill>
        <patternFill>
          <bgColor rgb="FFFFEBFF"/>
        </patternFill>
      </fill>
    </dxf>
    <dxf>
      <font>
        <b/>
        <i val="0"/>
        <color rgb="FFFFFF00"/>
      </font>
      <fill>
        <patternFill>
          <bgColor rgb="FFFF0000"/>
        </patternFill>
      </fill>
    </dxf>
    <dxf>
      <font>
        <b/>
        <i val="0"/>
        <color rgb="FFFF0000"/>
      </font>
      <fill>
        <patternFill>
          <bgColor rgb="FFFFEBFF"/>
        </patternFill>
      </fill>
    </dxf>
    <dxf>
      <font>
        <b/>
        <i val="0"/>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00B050"/>
      </font>
      <fill>
        <patternFill patternType="none">
          <bgColor auto="1"/>
        </patternFill>
      </fill>
    </dxf>
    <dxf>
      <fill>
        <patternFill patternType="lightUp">
          <fgColor theme="0" tint="-0.499984740745262"/>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patternType="none">
          <bgColor auto="1"/>
        </patternFill>
      </fill>
    </dxf>
    <dxf>
      <fill>
        <patternFill>
          <bgColor rgb="FFFFEBFF"/>
        </patternFill>
      </fill>
    </dxf>
    <dxf>
      <font>
        <b/>
        <i/>
        <color rgb="FFFF0000"/>
      </font>
      <fill>
        <patternFill>
          <bgColor rgb="FFFFEBFF"/>
        </patternFill>
      </fill>
    </dxf>
    <dxf>
      <font>
        <b/>
        <i val="0"/>
        <color rgb="FFFFFF00"/>
      </font>
      <fill>
        <patternFill>
          <bgColor rgb="FFFF0000"/>
        </patternFill>
      </fill>
    </dxf>
    <dxf>
      <fill>
        <patternFill>
          <bgColor rgb="FFC8FFC8"/>
        </patternFill>
      </fill>
    </dxf>
    <dxf>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C8FFC8"/>
        </patternFill>
      </fill>
    </dxf>
    <dxf>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patternType="none">
          <bgColor auto="1"/>
        </patternFill>
      </fill>
    </dxf>
    <dxf>
      <fill>
        <patternFill>
          <bgColor rgb="FFC8FFC8"/>
        </patternFill>
      </fill>
    </dxf>
    <dxf>
      <fill>
        <patternFill>
          <bgColor rgb="FFFFEBFF"/>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ill>
        <patternFill>
          <bgColor rgb="FFC8FFC8"/>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ont>
        <b/>
        <i val="0"/>
        <color rgb="FFFFFF00"/>
      </font>
      <fill>
        <patternFill>
          <bgColor rgb="FFFF0000"/>
        </patternFill>
      </fill>
    </dxf>
    <dxf>
      <font>
        <b/>
        <i/>
        <color rgb="FFFF0000"/>
      </font>
      <fill>
        <patternFill patternType="none">
          <bgColor auto="1"/>
        </patternFill>
      </fill>
    </dxf>
    <dxf>
      <font>
        <b/>
        <i/>
        <color rgb="FFFF0000"/>
      </font>
      <fill>
        <patternFill patternType="none">
          <bgColor auto="1"/>
        </patternFill>
      </fill>
    </dxf>
    <dxf>
      <fill>
        <patternFill>
          <bgColor rgb="FFFFEBFF"/>
        </patternFill>
      </fill>
    </dxf>
    <dxf>
      <font>
        <color auto="1"/>
      </font>
      <fill>
        <patternFill>
          <bgColor rgb="FFFFEBFF"/>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b/>
        <i val="0"/>
        <color rgb="FFFFFF00"/>
      </font>
      <fill>
        <patternFill>
          <bgColor rgb="FFFF0000"/>
        </patternFill>
      </fill>
    </dxf>
    <dxf>
      <font>
        <b/>
        <i val="0"/>
        <color rgb="FFFFFF00"/>
      </font>
      <fill>
        <patternFill>
          <bgColor rgb="FFFF0000"/>
        </patternFill>
      </fill>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val="0"/>
        <i/>
        <color rgb="FFFF0000"/>
      </font>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2" defaultPivotStyle="PivotStyleLight16"/>
  <colors>
    <mruColors>
      <color rgb="FF0000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D270-35FE-4484-BDBB-25C9D67ACEAF}">
  <sheetPr>
    <tabColor rgb="FFFF0000"/>
  </sheetPr>
  <dimension ref="A1:AN761"/>
  <sheetViews>
    <sheetView tabSelected="1" zoomScaleNormal="100" zoomScaleSheetLayoutView="100" zoomScalePageLayoutView="120" workbookViewId="0">
      <selection activeCell="H42" sqref="H42"/>
    </sheetView>
  </sheetViews>
  <sheetFormatPr defaultColWidth="9.36328125" defaultRowHeight="12.5" x14ac:dyDescent="0.25"/>
  <cols>
    <col min="1" max="1" width="2.90625" customWidth="1"/>
    <col min="2" max="2" width="3.54296875" customWidth="1"/>
    <col min="3" max="3" width="3.453125" customWidth="1"/>
    <col min="4" max="4" width="2.54296875" customWidth="1"/>
    <col min="5" max="5" width="18.36328125" customWidth="1"/>
    <col min="6" max="6" width="19.54296875" customWidth="1"/>
    <col min="7" max="7" width="3.54296875" customWidth="1"/>
    <col min="8" max="8" width="15.54296875" customWidth="1"/>
    <col min="9" max="9" width="2.54296875" customWidth="1"/>
    <col min="10" max="10" width="3.54296875" customWidth="1"/>
    <col min="11" max="11" width="15.54296875" customWidth="1"/>
    <col min="12" max="12" width="2.54296875" customWidth="1"/>
    <col min="13" max="13" width="3.54296875" customWidth="1"/>
    <col min="14" max="14" width="16.54296875" customWidth="1"/>
    <col min="15" max="15" width="1.54296875" customWidth="1"/>
    <col min="16" max="16" width="5.453125" customWidth="1"/>
    <col min="17" max="17" width="20.453125" customWidth="1"/>
    <col min="19" max="19" width="16" customWidth="1"/>
    <col min="20" max="20" width="0.6328125" customWidth="1"/>
    <col min="21" max="21" width="15" customWidth="1"/>
    <col min="22" max="22" width="0.54296875" customWidth="1"/>
    <col min="23" max="23" width="20.54296875" customWidth="1"/>
    <col min="24" max="24" width="10.453125" customWidth="1"/>
    <col min="25" max="25" width="11.08984375" bestFit="1" customWidth="1"/>
    <col min="26" max="26" width="48.54296875" bestFit="1" customWidth="1"/>
  </cols>
  <sheetData>
    <row r="1" spans="1:16" ht="3.75" customHeight="1" x14ac:dyDescent="0.25">
      <c r="A1" s="1"/>
      <c r="B1" s="1"/>
      <c r="C1" s="1"/>
      <c r="D1" s="1"/>
      <c r="E1" s="1"/>
      <c r="F1" s="1"/>
      <c r="G1" s="1"/>
      <c r="H1" s="1"/>
      <c r="I1" s="1"/>
      <c r="J1" s="1"/>
      <c r="K1" s="1"/>
      <c r="L1" s="1"/>
      <c r="M1" s="1"/>
      <c r="N1" s="1"/>
      <c r="O1" s="1"/>
      <c r="P1" s="1"/>
    </row>
    <row r="2" spans="1:16" ht="13" x14ac:dyDescent="0.3">
      <c r="A2" s="2"/>
      <c r="B2" s="3" t="s">
        <v>0</v>
      </c>
      <c r="D2" s="2"/>
      <c r="E2" s="2"/>
      <c r="F2" s="2"/>
      <c r="G2" s="2"/>
      <c r="H2" s="2"/>
      <c r="I2" s="2"/>
      <c r="J2" s="2"/>
      <c r="K2" s="2"/>
      <c r="L2" s="2"/>
      <c r="M2" s="2"/>
      <c r="N2" s="2"/>
      <c r="O2" s="4"/>
      <c r="P2" s="5" t="s">
        <v>478</v>
      </c>
    </row>
    <row r="3" spans="1:16" ht="13" x14ac:dyDescent="0.3">
      <c r="A3" s="2"/>
      <c r="B3" s="6"/>
      <c r="C3" s="6"/>
      <c r="D3" s="2"/>
      <c r="E3" s="2"/>
      <c r="F3" s="2"/>
      <c r="G3" s="2"/>
      <c r="H3" s="2"/>
      <c r="I3" s="2"/>
      <c r="J3" s="2"/>
      <c r="K3" s="2"/>
      <c r="L3" s="2"/>
      <c r="M3" s="2"/>
      <c r="N3" s="2"/>
      <c r="O3" s="4"/>
      <c r="P3" s="4"/>
    </row>
    <row r="4" spans="1:16" x14ac:dyDescent="0.25">
      <c r="A4" s="2"/>
      <c r="B4" s="2"/>
      <c r="C4" s="2"/>
      <c r="D4" s="7" t="s">
        <v>1</v>
      </c>
      <c r="E4" s="8">
        <v>1</v>
      </c>
      <c r="F4" s="9" t="s">
        <v>2</v>
      </c>
      <c r="O4" s="4"/>
      <c r="P4" s="4"/>
    </row>
    <row r="5" spans="1:16" x14ac:dyDescent="0.25">
      <c r="A5" s="2"/>
      <c r="B5" s="2"/>
      <c r="C5" s="10"/>
      <c r="D5" s="10"/>
      <c r="E5" s="11"/>
      <c r="F5" s="10" t="s">
        <v>3</v>
      </c>
      <c r="O5" s="4"/>
      <c r="P5" s="4"/>
    </row>
    <row r="6" spans="1:16" hidden="1" x14ac:dyDescent="0.25">
      <c r="A6" s="2"/>
      <c r="B6" s="2"/>
      <c r="C6" s="10"/>
      <c r="D6" s="10"/>
      <c r="E6" s="11"/>
      <c r="F6" s="9" t="s">
        <v>4</v>
      </c>
      <c r="O6" s="4"/>
      <c r="P6" s="4"/>
    </row>
    <row r="7" spans="1:16" hidden="1" x14ac:dyDescent="0.25">
      <c r="A7" s="2"/>
      <c r="B7" s="2"/>
      <c r="C7" s="10"/>
      <c r="D7" s="10"/>
      <c r="E7" s="11"/>
      <c r="F7" s="9" t="s">
        <v>5</v>
      </c>
      <c r="O7" s="4"/>
      <c r="P7" s="4"/>
    </row>
    <row r="8" spans="1:16" x14ac:dyDescent="0.25">
      <c r="A8" s="2"/>
      <c r="B8" s="2"/>
      <c r="C8" s="10"/>
      <c r="D8" s="10"/>
      <c r="E8" s="8">
        <f>MAX(E$4:E7)+1</f>
        <v>2</v>
      </c>
      <c r="F8" s="9" t="s">
        <v>6</v>
      </c>
      <c r="O8" s="4"/>
      <c r="P8" s="4"/>
    </row>
    <row r="9" spans="1:16" x14ac:dyDescent="0.25">
      <c r="A9" s="2"/>
      <c r="B9" s="2"/>
      <c r="C9" s="10"/>
      <c r="D9" s="10"/>
      <c r="E9" s="8"/>
      <c r="F9" s="9" t="s">
        <v>7</v>
      </c>
      <c r="O9" s="4"/>
      <c r="P9" s="4"/>
    </row>
    <row r="10" spans="1:16" hidden="1" x14ac:dyDescent="0.25">
      <c r="A10" s="2"/>
      <c r="B10" s="2"/>
      <c r="C10" s="10"/>
      <c r="D10" s="10"/>
      <c r="E10" s="8"/>
      <c r="F10" s="9" t="s">
        <v>8</v>
      </c>
      <c r="O10" s="4"/>
      <c r="P10" s="4"/>
    </row>
    <row r="11" spans="1:16" x14ac:dyDescent="0.25">
      <c r="A11" s="2"/>
      <c r="B11" s="2"/>
      <c r="C11" s="2"/>
      <c r="D11" s="2"/>
      <c r="E11" s="8">
        <f>MAX(E$4:E8)+1</f>
        <v>3</v>
      </c>
      <c r="F11" s="9" t="s">
        <v>9</v>
      </c>
      <c r="O11" s="4"/>
      <c r="P11" s="4"/>
    </row>
    <row r="12" spans="1:16" x14ac:dyDescent="0.25">
      <c r="A12" s="2"/>
      <c r="B12" s="2"/>
      <c r="C12" s="2"/>
      <c r="D12" s="2"/>
      <c r="E12" s="12"/>
      <c r="F12" s="9" t="s">
        <v>10</v>
      </c>
      <c r="O12" s="4"/>
      <c r="P12" s="4"/>
    </row>
    <row r="13" spans="1:16" x14ac:dyDescent="0.25">
      <c r="A13" s="2"/>
      <c r="B13" s="2"/>
      <c r="C13" s="2"/>
      <c r="D13" s="2"/>
      <c r="E13" s="12"/>
      <c r="F13" s="9" t="s">
        <v>11</v>
      </c>
      <c r="O13" s="4"/>
      <c r="P13" s="4"/>
    </row>
    <row r="14" spans="1:16" x14ac:dyDescent="0.25">
      <c r="A14" s="2"/>
      <c r="B14" s="2"/>
      <c r="C14" s="2"/>
      <c r="D14" s="2"/>
      <c r="E14" s="8">
        <f>MAX(E$4:E13)+1</f>
        <v>4</v>
      </c>
      <c r="F14" s="9" t="s">
        <v>12</v>
      </c>
      <c r="O14" s="4"/>
      <c r="P14" s="4"/>
    </row>
    <row r="15" spans="1:16" x14ac:dyDescent="0.25">
      <c r="A15" s="2"/>
      <c r="B15" s="2"/>
      <c r="C15" s="2"/>
      <c r="D15" s="2"/>
      <c r="E15" s="12"/>
      <c r="F15" s="9" t="s">
        <v>13</v>
      </c>
      <c r="G15" s="13"/>
      <c r="H15" s="13"/>
      <c r="I15" s="13"/>
      <c r="J15" s="13"/>
      <c r="K15" s="13"/>
      <c r="L15" s="13"/>
      <c r="M15" s="13"/>
      <c r="N15" s="13"/>
      <c r="O15" s="4"/>
      <c r="P15" s="4"/>
    </row>
    <row r="16" spans="1:16" x14ac:dyDescent="0.25">
      <c r="A16" s="2"/>
      <c r="B16" s="2"/>
      <c r="C16" s="2"/>
      <c r="D16" s="2"/>
      <c r="E16" s="12"/>
      <c r="F16" s="9" t="s">
        <v>14</v>
      </c>
      <c r="G16" s="13"/>
      <c r="H16" s="13"/>
      <c r="I16" s="13"/>
      <c r="J16" s="13"/>
      <c r="K16" s="13"/>
      <c r="L16" s="13"/>
      <c r="M16" s="13"/>
      <c r="N16" s="13"/>
      <c r="O16" s="4"/>
      <c r="P16" s="4"/>
    </row>
    <row r="17" spans="1:16" x14ac:dyDescent="0.25">
      <c r="A17" s="2"/>
      <c r="B17" s="2"/>
      <c r="C17" s="2"/>
      <c r="D17" s="2"/>
      <c r="E17" s="14"/>
      <c r="F17" s="9" t="s">
        <v>15</v>
      </c>
      <c r="O17" s="4"/>
      <c r="P17" s="4"/>
    </row>
    <row r="18" spans="1:16" x14ac:dyDescent="0.25">
      <c r="A18" s="2"/>
      <c r="B18" s="2"/>
      <c r="C18" s="2"/>
      <c r="D18" s="2"/>
      <c r="E18" s="15"/>
      <c r="F18" s="10" t="s">
        <v>16</v>
      </c>
      <c r="G18" s="2"/>
      <c r="H18" s="2"/>
      <c r="I18" s="2"/>
      <c r="J18" s="2"/>
      <c r="K18" s="2"/>
      <c r="L18" s="2"/>
      <c r="M18" s="2"/>
      <c r="N18" s="2"/>
      <c r="O18" s="4"/>
      <c r="P18" s="4"/>
    </row>
    <row r="19" spans="1:16" x14ac:dyDescent="0.25">
      <c r="A19" s="2"/>
      <c r="B19" s="2"/>
      <c r="C19" s="2"/>
      <c r="D19" s="2"/>
      <c r="E19" s="8">
        <f>MAX(E$4:E17)+1</f>
        <v>5</v>
      </c>
      <c r="F19" s="10" t="s">
        <v>468</v>
      </c>
      <c r="G19" s="2"/>
      <c r="H19" s="2"/>
      <c r="I19" s="2"/>
      <c r="J19" s="2"/>
      <c r="K19" s="2"/>
      <c r="L19" s="2"/>
      <c r="M19" s="2"/>
      <c r="N19" s="2"/>
      <c r="O19" s="4"/>
      <c r="P19" s="4"/>
    </row>
    <row r="20" spans="1:16" x14ac:dyDescent="0.25">
      <c r="A20" s="2"/>
      <c r="B20" s="2"/>
      <c r="C20" s="2"/>
      <c r="D20" s="2"/>
      <c r="E20" s="15"/>
      <c r="F20" s="10" t="s">
        <v>469</v>
      </c>
      <c r="G20" s="2"/>
      <c r="H20" s="2"/>
      <c r="I20" s="2"/>
      <c r="J20" s="2"/>
      <c r="K20" s="2"/>
      <c r="L20" s="2"/>
      <c r="M20" s="2"/>
      <c r="N20" s="2"/>
      <c r="O20" s="4"/>
      <c r="P20" s="4"/>
    </row>
    <row r="21" spans="1:16" x14ac:dyDescent="0.25">
      <c r="A21" s="2"/>
      <c r="B21" s="2"/>
      <c r="C21" s="2"/>
      <c r="D21" s="2"/>
      <c r="E21" s="15"/>
      <c r="F21" s="10" t="s">
        <v>470</v>
      </c>
      <c r="G21" s="2"/>
      <c r="H21" s="2"/>
      <c r="I21" s="2"/>
      <c r="J21" s="2"/>
      <c r="K21" s="2"/>
      <c r="L21" s="2"/>
      <c r="M21" s="2"/>
      <c r="N21" s="2"/>
      <c r="O21" s="4"/>
      <c r="P21" s="4"/>
    </row>
    <row r="22" spans="1:16" x14ac:dyDescent="0.25">
      <c r="A22" s="2"/>
      <c r="B22" s="2"/>
      <c r="C22" s="2"/>
      <c r="D22" s="2"/>
      <c r="E22" s="16"/>
      <c r="F22" s="10" t="s">
        <v>471</v>
      </c>
      <c r="G22" s="2"/>
      <c r="H22" s="2"/>
      <c r="I22" s="2"/>
      <c r="J22" s="2"/>
      <c r="K22" s="2"/>
      <c r="L22" s="2"/>
      <c r="M22" s="2"/>
      <c r="N22" s="2"/>
      <c r="O22" s="4"/>
      <c r="P22" s="4"/>
    </row>
    <row r="23" spans="1:16" x14ac:dyDescent="0.25">
      <c r="A23" s="2"/>
      <c r="B23" s="2"/>
      <c r="C23" s="2"/>
      <c r="D23" s="2"/>
      <c r="E23" s="16"/>
      <c r="F23" s="10" t="s">
        <v>472</v>
      </c>
      <c r="G23" s="2"/>
      <c r="H23" s="2"/>
      <c r="I23" s="2"/>
      <c r="J23" s="2"/>
      <c r="K23" s="2"/>
      <c r="L23" s="2"/>
      <c r="M23" s="2"/>
      <c r="N23" s="2"/>
      <c r="O23" s="4"/>
      <c r="P23" s="4"/>
    </row>
    <row r="24" spans="1:16" x14ac:dyDescent="0.25">
      <c r="A24" s="2"/>
      <c r="B24" s="2"/>
      <c r="C24" s="2"/>
      <c r="D24" s="2"/>
      <c r="E24" s="17"/>
      <c r="F24" s="10" t="s">
        <v>473</v>
      </c>
      <c r="G24" s="2"/>
      <c r="H24" s="2"/>
      <c r="I24" s="2"/>
      <c r="J24" s="2"/>
      <c r="K24" s="2"/>
      <c r="L24" s="2"/>
      <c r="M24" s="2"/>
      <c r="N24" s="2"/>
      <c r="O24" s="4"/>
      <c r="P24" s="4"/>
    </row>
    <row r="25" spans="1:16" x14ac:dyDescent="0.25">
      <c r="A25" s="2"/>
      <c r="B25" s="2"/>
      <c r="C25" s="2"/>
      <c r="D25" s="2"/>
      <c r="E25" s="8">
        <f>MAX(E$4:E22)+1</f>
        <v>6</v>
      </c>
      <c r="F25" s="10" t="s">
        <v>17</v>
      </c>
      <c r="G25" s="2"/>
      <c r="H25" s="2"/>
      <c r="I25" s="2"/>
      <c r="J25" s="2"/>
      <c r="K25" s="2"/>
      <c r="L25" s="2"/>
      <c r="M25" s="2"/>
      <c r="N25" s="2"/>
      <c r="O25" s="4"/>
      <c r="P25" s="4"/>
    </row>
    <row r="26" spans="1:16" x14ac:dyDescent="0.25">
      <c r="A26" s="2"/>
      <c r="B26" s="2"/>
      <c r="C26" s="2"/>
      <c r="D26" s="2"/>
      <c r="E26" s="17"/>
      <c r="F26" s="10" t="s">
        <v>18</v>
      </c>
      <c r="G26" s="2"/>
      <c r="H26" s="2"/>
      <c r="I26" s="2"/>
      <c r="J26" s="2"/>
      <c r="K26" s="2"/>
      <c r="L26" s="2"/>
      <c r="M26" s="2"/>
      <c r="N26" s="2"/>
      <c r="O26" s="4"/>
      <c r="P26" s="4"/>
    </row>
    <row r="27" spans="1:16" x14ac:dyDescent="0.25">
      <c r="A27" s="2"/>
      <c r="B27" s="2"/>
      <c r="C27" s="2"/>
      <c r="D27" s="2"/>
      <c r="E27" s="17"/>
      <c r="F27" s="10" t="s">
        <v>19</v>
      </c>
      <c r="G27" s="2"/>
      <c r="H27" s="2"/>
      <c r="I27" s="2"/>
      <c r="J27" s="2"/>
      <c r="K27" s="2"/>
      <c r="L27" s="2"/>
      <c r="M27" s="2"/>
      <c r="N27" s="2"/>
      <c r="O27" s="4"/>
      <c r="P27" s="4"/>
    </row>
    <row r="28" spans="1:16" x14ac:dyDescent="0.25">
      <c r="A28" s="2"/>
      <c r="B28" s="2"/>
      <c r="C28" s="2"/>
      <c r="D28" s="2"/>
      <c r="E28" s="8">
        <f>MAX(E$4:E27)+1</f>
        <v>7</v>
      </c>
      <c r="F28" s="10" t="s">
        <v>20</v>
      </c>
      <c r="G28" s="2"/>
      <c r="H28" s="2"/>
      <c r="I28" s="2"/>
      <c r="J28" s="2"/>
      <c r="K28" s="2"/>
      <c r="L28" s="2"/>
      <c r="M28" s="2"/>
      <c r="N28" s="2"/>
      <c r="O28" s="4"/>
      <c r="P28" s="4"/>
    </row>
    <row r="29" spans="1:16" x14ac:dyDescent="0.25">
      <c r="A29" s="2"/>
      <c r="B29" s="2"/>
      <c r="C29" s="2"/>
      <c r="D29" s="2"/>
      <c r="E29" s="17"/>
      <c r="F29" s="10" t="s">
        <v>21</v>
      </c>
      <c r="G29" s="2"/>
      <c r="H29" s="2"/>
      <c r="I29" s="2"/>
      <c r="J29" s="2"/>
      <c r="K29" s="2"/>
      <c r="L29" s="2"/>
      <c r="M29" s="2"/>
      <c r="N29" s="2"/>
      <c r="O29" s="4"/>
      <c r="P29" s="4"/>
    </row>
    <row r="30" spans="1:16" x14ac:dyDescent="0.25">
      <c r="A30" s="2"/>
      <c r="B30" s="2"/>
      <c r="C30" s="2"/>
      <c r="D30" s="2"/>
      <c r="F30" s="10" t="s">
        <v>22</v>
      </c>
      <c r="G30" s="2"/>
      <c r="H30" s="2"/>
      <c r="I30" s="2"/>
      <c r="J30" s="2"/>
      <c r="K30" s="2"/>
      <c r="L30" s="2"/>
      <c r="M30" s="2"/>
      <c r="N30" s="2"/>
      <c r="O30" s="4"/>
      <c r="P30" s="4"/>
    </row>
    <row r="31" spans="1:16" x14ac:dyDescent="0.25">
      <c r="A31" s="2"/>
      <c r="B31" s="2"/>
      <c r="C31" s="2"/>
      <c r="D31" s="2"/>
      <c r="F31" s="10" t="s">
        <v>23</v>
      </c>
      <c r="G31" s="2"/>
      <c r="H31" s="2"/>
      <c r="I31" s="2"/>
      <c r="J31" s="2"/>
      <c r="K31" s="2"/>
      <c r="L31" s="2"/>
      <c r="M31" s="2"/>
      <c r="N31" s="2"/>
      <c r="O31" s="4"/>
      <c r="P31" s="4"/>
    </row>
    <row r="32" spans="1:16" x14ac:dyDescent="0.25">
      <c r="A32" s="2"/>
      <c r="B32" s="2"/>
      <c r="C32" s="2"/>
      <c r="D32" s="2"/>
      <c r="E32" s="17"/>
      <c r="G32" s="2"/>
      <c r="H32" s="2"/>
      <c r="I32" s="2"/>
      <c r="J32" s="2"/>
      <c r="K32" s="2"/>
      <c r="L32" s="2"/>
      <c r="M32" s="2"/>
      <c r="N32" s="2"/>
      <c r="O32" s="4"/>
      <c r="P32" s="4"/>
    </row>
    <row r="33" spans="1:27" x14ac:dyDescent="0.25">
      <c r="A33" s="2"/>
      <c r="B33" s="2"/>
      <c r="C33" s="18" t="s">
        <v>24</v>
      </c>
      <c r="D33" s="2"/>
      <c r="E33" s="17"/>
      <c r="F33" s="2"/>
      <c r="G33" s="2"/>
      <c r="H33" s="2"/>
      <c r="I33" s="2"/>
      <c r="J33" s="2"/>
      <c r="K33" s="2"/>
      <c r="L33" s="2"/>
      <c r="M33" s="2"/>
      <c r="N33" s="2"/>
      <c r="O33" s="4"/>
      <c r="P33" s="4"/>
    </row>
    <row r="34" spans="1:27" x14ac:dyDescent="0.25">
      <c r="A34" s="2"/>
      <c r="B34" s="2"/>
      <c r="C34" s="18" t="s">
        <v>25</v>
      </c>
      <c r="D34" s="2"/>
      <c r="E34" s="17"/>
      <c r="F34" s="10"/>
      <c r="G34" s="2"/>
      <c r="H34" s="2"/>
      <c r="I34" s="2"/>
      <c r="J34" s="2"/>
      <c r="K34" s="2"/>
      <c r="L34" s="2"/>
      <c r="M34" s="2"/>
      <c r="N34" s="2"/>
      <c r="O34" s="4"/>
      <c r="P34" s="4"/>
    </row>
    <row r="35" spans="1:27" ht="13" x14ac:dyDescent="0.3">
      <c r="A35" s="2"/>
      <c r="B35" s="19"/>
      <c r="D35" s="2"/>
      <c r="E35" s="2"/>
      <c r="F35" s="2"/>
      <c r="G35" s="2"/>
      <c r="H35" s="2"/>
      <c r="I35" s="2"/>
      <c r="J35" s="2"/>
      <c r="K35" s="2"/>
      <c r="L35" s="2"/>
      <c r="M35" s="2"/>
      <c r="N35" s="2"/>
      <c r="O35" s="4"/>
      <c r="P35" s="4"/>
    </row>
    <row r="36" spans="1:27" ht="13" x14ac:dyDescent="0.3">
      <c r="A36" s="2"/>
      <c r="B36" s="19"/>
      <c r="D36" s="2"/>
      <c r="E36" s="2"/>
      <c r="G36" s="2"/>
      <c r="I36" s="20" t="s">
        <v>26</v>
      </c>
      <c r="J36" s="2"/>
      <c r="K36" s="313" t="s">
        <v>313</v>
      </c>
      <c r="L36" s="313"/>
      <c r="M36" s="313"/>
      <c r="N36" s="313"/>
      <c r="O36" s="4"/>
      <c r="P36" s="21" t="str">
        <f>IF(K36=F613,"**","")</f>
        <v>**</v>
      </c>
      <c r="R36" s="22" t="s">
        <v>28</v>
      </c>
      <c r="S36" t="s">
        <v>29</v>
      </c>
    </row>
    <row r="37" spans="1:27" ht="13" x14ac:dyDescent="0.3">
      <c r="A37" s="2"/>
      <c r="B37" s="19"/>
      <c r="D37" s="2"/>
      <c r="E37" s="2"/>
      <c r="G37" s="2"/>
      <c r="I37" s="23" t="s">
        <v>30</v>
      </c>
      <c r="J37" s="2"/>
      <c r="K37" s="24" t="str">
        <f>IF(N48="","TBD",N48)</f>
        <v>TBD</v>
      </c>
      <c r="L37" s="25"/>
      <c r="M37" s="25"/>
      <c r="N37" s="26"/>
      <c r="O37" s="4"/>
      <c r="P37" s="21" t="str">
        <f>IF(N(K37)=0,"**","")</f>
        <v>**</v>
      </c>
    </row>
    <row r="38" spans="1:27" ht="15" customHeight="1" x14ac:dyDescent="0.3">
      <c r="A38" s="2"/>
      <c r="B38" s="19"/>
      <c r="D38" s="2"/>
      <c r="E38" s="2"/>
      <c r="F38" s="2"/>
      <c r="G38" s="314" t="str">
        <f>IF(SUM(I55:I212)+SUM(L55:L212)&gt;0,"The "&amp;TEXT(SUM(I55:I212)+SUM(L55:L212),"0")&amp;" highlighted cell"&amp;IF(SUM(I55:I212)+SUM(L55:L212)&gt;1,"s","")&amp;" should be corrected to have a whole number","")</f>
        <v/>
      </c>
      <c r="H38" s="314"/>
      <c r="I38" s="314"/>
      <c r="J38" s="314"/>
      <c r="K38" s="314"/>
      <c r="L38" s="314"/>
      <c r="M38" s="314"/>
      <c r="N38" s="314"/>
      <c r="Q38" s="315" t="s">
        <v>31</v>
      </c>
      <c r="R38" s="316"/>
      <c r="S38" s="316"/>
      <c r="T38" s="316"/>
      <c r="U38" s="316"/>
      <c r="V38" s="316"/>
      <c r="W38" s="316"/>
      <c r="X38" s="316"/>
      <c r="Y38" s="316"/>
      <c r="Z38" s="316"/>
      <c r="AA38" s="317"/>
    </row>
    <row r="39" spans="1:27" ht="12.75" customHeight="1" x14ac:dyDescent="0.25">
      <c r="A39" s="2"/>
      <c r="B39" s="2"/>
      <c r="C39" s="2"/>
      <c r="D39" s="2"/>
      <c r="E39" s="2"/>
      <c r="F39" s="2"/>
      <c r="G39" s="2"/>
      <c r="H39" s="27"/>
      <c r="I39" s="2"/>
      <c r="J39" s="2"/>
      <c r="K39" s="27"/>
      <c r="L39" s="2"/>
      <c r="M39" s="28"/>
      <c r="N39" s="29"/>
      <c r="O39" s="4"/>
      <c r="P39" s="4"/>
      <c r="Q39" s="318"/>
      <c r="R39" s="319"/>
      <c r="S39" s="319"/>
      <c r="T39" s="319"/>
      <c r="U39" s="319"/>
      <c r="V39" s="319"/>
      <c r="W39" s="319"/>
      <c r="X39" s="319"/>
      <c r="Y39" s="319"/>
      <c r="Z39" s="319"/>
      <c r="AA39" s="320"/>
    </row>
    <row r="40" spans="1:27" ht="20" customHeight="1" thickBot="1" x14ac:dyDescent="0.3">
      <c r="A40" s="2"/>
      <c r="B40" s="2"/>
      <c r="C40" s="2"/>
      <c r="D40" s="2"/>
      <c r="E40" s="2"/>
      <c r="F40" s="2"/>
      <c r="G40" s="2"/>
      <c r="H40" s="30" t="s">
        <v>32</v>
      </c>
      <c r="I40" s="31"/>
      <c r="J40" s="31"/>
      <c r="K40" s="30" t="s">
        <v>33</v>
      </c>
      <c r="L40" s="30"/>
      <c r="M40" s="30"/>
      <c r="N40" s="30" t="s">
        <v>34</v>
      </c>
      <c r="O40" s="4"/>
      <c r="P40" s="4"/>
      <c r="Q40" s="321"/>
      <c r="R40" s="322"/>
      <c r="S40" s="322"/>
      <c r="T40" s="322"/>
      <c r="U40" s="322"/>
      <c r="V40" s="322"/>
      <c r="W40" s="322"/>
      <c r="X40" s="322"/>
      <c r="Y40" s="322"/>
      <c r="Z40" s="322"/>
      <c r="AA40" s="323"/>
    </row>
    <row r="41" spans="1:27" ht="12.75" customHeight="1" x14ac:dyDescent="0.3">
      <c r="A41" s="2"/>
      <c r="B41" s="6" t="s">
        <v>35</v>
      </c>
      <c r="C41" s="2"/>
      <c r="D41" s="2"/>
      <c r="E41" s="2"/>
      <c r="F41" s="2"/>
      <c r="G41" s="2"/>
      <c r="H41" s="30"/>
      <c r="I41" s="31"/>
      <c r="J41" s="31"/>
      <c r="K41" s="30"/>
      <c r="L41" s="30"/>
      <c r="M41" s="30"/>
      <c r="N41" s="30"/>
      <c r="O41" s="4"/>
      <c r="P41" s="4"/>
      <c r="Q41" s="32"/>
      <c r="R41" s="32"/>
      <c r="S41" s="32"/>
      <c r="T41" s="32"/>
      <c r="U41" s="32"/>
      <c r="V41" s="32"/>
      <c r="W41" s="32"/>
      <c r="X41" s="32"/>
      <c r="Y41" s="32"/>
      <c r="Z41" s="32"/>
      <c r="AA41" s="32"/>
    </row>
    <row r="42" spans="1:27" ht="12.75" customHeight="1" x14ac:dyDescent="0.25">
      <c r="A42" s="2"/>
      <c r="B42" s="2"/>
      <c r="C42" s="2" t="s">
        <v>36</v>
      </c>
      <c r="D42" s="2"/>
      <c r="E42" s="2"/>
      <c r="F42" s="2"/>
      <c r="G42" s="33" t="s">
        <v>37</v>
      </c>
      <c r="H42" s="34"/>
      <c r="I42" s="31"/>
      <c r="J42" s="33" t="s">
        <v>37</v>
      </c>
      <c r="K42" s="34"/>
      <c r="L42" s="30"/>
      <c r="M42" s="33" t="s">
        <v>37</v>
      </c>
      <c r="N42" s="34"/>
      <c r="O42" s="4"/>
      <c r="P42" s="4"/>
      <c r="Q42" s="32"/>
      <c r="R42" s="32"/>
      <c r="S42" s="32"/>
      <c r="T42" s="32"/>
      <c r="U42" s="32"/>
      <c r="V42" s="32"/>
      <c r="W42" s="32"/>
      <c r="X42" s="32"/>
      <c r="Y42" s="32"/>
      <c r="Z42" s="32"/>
      <c r="AA42" s="32"/>
    </row>
    <row r="43" spans="1:27" ht="12.75" customHeight="1" x14ac:dyDescent="0.25">
      <c r="A43" s="2"/>
      <c r="B43" s="2"/>
      <c r="C43" s="2"/>
      <c r="D43" s="2"/>
      <c r="E43" s="2"/>
      <c r="F43" s="2"/>
      <c r="G43" s="2"/>
      <c r="H43" s="30"/>
      <c r="I43" s="31"/>
      <c r="J43" s="31"/>
      <c r="K43" s="30"/>
      <c r="L43" s="30"/>
      <c r="M43" s="30"/>
      <c r="N43" s="30"/>
      <c r="O43" s="4"/>
      <c r="P43" s="4"/>
      <c r="Q43" s="32"/>
      <c r="R43" s="32"/>
      <c r="S43" s="32"/>
      <c r="T43" s="32"/>
      <c r="U43" s="32"/>
      <c r="V43" s="32"/>
      <c r="W43" s="32"/>
      <c r="X43" s="32"/>
      <c r="Y43" s="32"/>
      <c r="Z43" s="32"/>
      <c r="AA43" s="32"/>
    </row>
    <row r="44" spans="1:27" ht="12.75" customHeight="1" x14ac:dyDescent="0.25">
      <c r="A44" s="2"/>
      <c r="B44" s="2"/>
      <c r="C44" s="2" t="s">
        <v>38</v>
      </c>
      <c r="D44" s="2"/>
      <c r="E44" s="2"/>
      <c r="F44" s="2"/>
      <c r="G44" s="2"/>
      <c r="H44" s="35"/>
      <c r="I44" s="31"/>
      <c r="J44" s="31"/>
      <c r="K44" s="35"/>
      <c r="L44" s="30"/>
      <c r="M44" s="30"/>
      <c r="N44" s="35"/>
      <c r="O44" s="4"/>
      <c r="P44" s="4"/>
      <c r="Q44" s="32"/>
      <c r="R44" s="32"/>
      <c r="S44" s="32"/>
      <c r="T44" s="32"/>
      <c r="U44" s="32"/>
      <c r="V44" s="32"/>
      <c r="W44" s="32"/>
      <c r="X44" s="32"/>
      <c r="Y44" s="32"/>
      <c r="Z44" s="32"/>
      <c r="AA44" s="32"/>
    </row>
    <row r="45" spans="1:27" ht="12.75" customHeight="1" x14ac:dyDescent="0.25">
      <c r="A45" s="2"/>
      <c r="B45" s="2"/>
      <c r="C45" s="2"/>
      <c r="D45" s="2"/>
      <c r="E45" s="2"/>
      <c r="F45" s="2"/>
      <c r="G45" s="2"/>
      <c r="H45" s="30"/>
      <c r="I45" s="31"/>
      <c r="J45" s="31"/>
      <c r="K45" s="30"/>
      <c r="L45" s="30"/>
      <c r="M45" s="30"/>
      <c r="N45" s="30"/>
      <c r="O45" s="4"/>
      <c r="P45" s="4"/>
      <c r="Q45" s="32"/>
      <c r="R45" s="32"/>
      <c r="S45" s="32"/>
      <c r="T45" s="32"/>
      <c r="U45" s="32"/>
      <c r="V45" s="32"/>
      <c r="W45" s="32"/>
      <c r="X45" s="32"/>
      <c r="Y45" s="32"/>
      <c r="Z45" s="32"/>
      <c r="AA45" s="32"/>
    </row>
    <row r="46" spans="1:27" ht="12.75" customHeight="1" x14ac:dyDescent="0.25">
      <c r="A46" s="2"/>
      <c r="B46" s="2"/>
      <c r="C46" s="2" t="s">
        <v>39</v>
      </c>
      <c r="D46" s="2"/>
      <c r="E46" s="2"/>
      <c r="F46" s="2"/>
      <c r="G46" s="33" t="s">
        <v>37</v>
      </c>
      <c r="H46" s="36">
        <f>IF(OR(H42="",H44=""),0,(H367/(H44*H42*10)))</f>
        <v>0</v>
      </c>
      <c r="I46" s="37"/>
      <c r="J46" s="33" t="s">
        <v>37</v>
      </c>
      <c r="K46" s="36">
        <f>IF(OR(K42="",K44=""),0,(K367/(K44*K42*10)))</f>
        <v>0</v>
      </c>
      <c r="L46" s="38"/>
      <c r="M46" s="33" t="s">
        <v>37</v>
      </c>
      <c r="N46" s="36">
        <f>IF(OR(N42="",N44=""),0,(N367/(N44*N42*10)))</f>
        <v>0</v>
      </c>
      <c r="O46" s="4"/>
      <c r="P46" s="4"/>
      <c r="Q46" s="32"/>
      <c r="R46" s="32"/>
      <c r="S46" s="32"/>
      <c r="T46" s="32"/>
      <c r="U46" s="32"/>
      <c r="V46" s="32"/>
      <c r="W46" s="32"/>
      <c r="X46" s="32"/>
      <c r="Y46" s="32"/>
      <c r="Z46" s="32"/>
      <c r="AA46" s="32"/>
    </row>
    <row r="47" spans="1:27" ht="12.75" customHeight="1" x14ac:dyDescent="0.25">
      <c r="A47" s="2"/>
      <c r="B47" s="2"/>
      <c r="C47" s="2"/>
      <c r="D47" s="2"/>
      <c r="E47" s="2"/>
      <c r="F47" s="2"/>
      <c r="G47" s="2"/>
      <c r="H47" s="30"/>
      <c r="I47" s="31"/>
      <c r="J47" s="31"/>
      <c r="K47" s="30"/>
      <c r="L47" s="30"/>
      <c r="M47" s="30"/>
      <c r="N47" s="30"/>
      <c r="O47" s="4"/>
      <c r="P47" s="4"/>
      <c r="Q47" s="32"/>
      <c r="R47" s="32"/>
      <c r="S47" s="32"/>
      <c r="T47" s="32"/>
      <c r="U47" s="32"/>
      <c r="V47" s="32"/>
      <c r="W47" s="32"/>
      <c r="X47" s="32"/>
      <c r="Y47" s="32"/>
      <c r="Z47" s="32"/>
      <c r="AA47" s="32"/>
    </row>
    <row r="48" spans="1:27" ht="12.75" customHeight="1" x14ac:dyDescent="0.25">
      <c r="A48" s="2"/>
      <c r="B48" s="2"/>
      <c r="C48" s="2" t="s">
        <v>40</v>
      </c>
      <c r="D48" s="2"/>
      <c r="E48" s="2"/>
      <c r="F48" s="2"/>
      <c r="G48" s="2"/>
      <c r="H48" s="39"/>
      <c r="I48" s="40"/>
      <c r="J48" s="40"/>
      <c r="K48" s="39"/>
      <c r="L48" s="41"/>
      <c r="M48" s="41"/>
      <c r="N48" s="39"/>
      <c r="O48" s="4"/>
      <c r="P48" s="4"/>
      <c r="Q48" s="32"/>
      <c r="R48" s="32"/>
      <c r="S48" s="32"/>
      <c r="T48" s="32"/>
      <c r="U48" s="32"/>
      <c r="V48" s="32"/>
      <c r="W48" s="32"/>
      <c r="X48" s="32"/>
      <c r="Y48" s="32"/>
      <c r="Z48" s="32"/>
      <c r="AA48" s="32"/>
    </row>
    <row r="49" spans="1:27" ht="12.75" customHeight="1" x14ac:dyDescent="0.25">
      <c r="A49" s="2"/>
      <c r="B49" s="2"/>
      <c r="C49" s="2"/>
      <c r="D49" s="2"/>
      <c r="E49" s="2"/>
      <c r="F49" s="2"/>
      <c r="G49" s="2"/>
      <c r="H49" s="289"/>
      <c r="I49" s="40"/>
      <c r="J49" s="40"/>
      <c r="K49" s="289"/>
      <c r="L49" s="41"/>
      <c r="M49" s="41"/>
      <c r="N49" s="289"/>
      <c r="O49" s="4"/>
      <c r="P49" s="4"/>
      <c r="Q49" s="32"/>
      <c r="R49" s="32"/>
      <c r="S49" s="32"/>
      <c r="T49" s="32"/>
      <c r="U49" s="32"/>
      <c r="V49" s="32"/>
      <c r="W49" s="32"/>
      <c r="X49" s="32"/>
      <c r="Y49" s="32"/>
      <c r="Z49" s="32"/>
      <c r="AA49" s="32"/>
    </row>
    <row r="50" spans="1:27" ht="12.75" customHeight="1" x14ac:dyDescent="0.25">
      <c r="A50" s="2"/>
      <c r="B50" s="2"/>
      <c r="C50" s="2" t="s">
        <v>41</v>
      </c>
      <c r="D50" s="2"/>
      <c r="E50" s="2"/>
      <c r="F50" s="2"/>
      <c r="G50" s="2"/>
      <c r="H50" s="42"/>
      <c r="I50" s="2"/>
      <c r="J50" s="20"/>
      <c r="K50" s="42"/>
      <c r="L50" s="288"/>
      <c r="M50" s="20" t="s">
        <v>37</v>
      </c>
      <c r="N50" s="43"/>
      <c r="O50" s="4"/>
      <c r="P50" s="4"/>
      <c r="Q50" s="32"/>
      <c r="R50" s="32"/>
      <c r="S50" s="32"/>
      <c r="T50" s="32"/>
      <c r="U50" s="32"/>
      <c r="V50" s="32"/>
      <c r="W50" s="32"/>
      <c r="X50" s="32"/>
      <c r="Y50" s="32"/>
      <c r="Z50" s="32"/>
      <c r="AA50" s="32"/>
    </row>
    <row r="51" spans="1:27" ht="12.75" customHeight="1" x14ac:dyDescent="0.25">
      <c r="A51" s="2"/>
      <c r="B51" s="2"/>
      <c r="C51" s="2"/>
      <c r="D51" s="2"/>
      <c r="E51" s="2"/>
      <c r="F51" s="2"/>
      <c r="G51" s="2"/>
      <c r="H51" s="30"/>
      <c r="I51" s="31"/>
      <c r="J51" s="31"/>
      <c r="K51" s="30"/>
      <c r="L51" s="30"/>
      <c r="M51" s="30"/>
      <c r="N51" s="30"/>
      <c r="O51" s="4"/>
      <c r="P51" s="4"/>
      <c r="Q51" s="32"/>
      <c r="R51" s="32"/>
      <c r="S51" s="32"/>
      <c r="T51" s="32"/>
      <c r="U51" s="32"/>
      <c r="V51" s="32"/>
      <c r="W51" s="32"/>
      <c r="X51" s="32"/>
      <c r="Y51" s="32"/>
      <c r="Z51" s="32"/>
      <c r="AA51" s="32"/>
    </row>
    <row r="52" spans="1:27" ht="12.75" hidden="1" customHeight="1" x14ac:dyDescent="0.25">
      <c r="A52" s="2"/>
      <c r="B52" s="2"/>
      <c r="C52" s="2"/>
      <c r="D52" s="2"/>
      <c r="E52" s="2"/>
      <c r="F52" s="2"/>
      <c r="G52" s="2"/>
      <c r="H52" s="30"/>
      <c r="I52" s="31"/>
      <c r="J52" s="31"/>
      <c r="K52" s="30"/>
      <c r="L52" s="30"/>
      <c r="M52" s="30"/>
      <c r="N52" s="30"/>
      <c r="O52" s="4"/>
      <c r="P52" s="4"/>
      <c r="Q52" s="32"/>
      <c r="R52" s="32"/>
      <c r="S52" s="32"/>
      <c r="T52" s="32"/>
      <c r="U52" s="32"/>
      <c r="V52" s="32"/>
      <c r="W52" s="32"/>
      <c r="X52" s="32"/>
      <c r="Y52" s="32"/>
      <c r="Z52" s="32"/>
      <c r="AA52" s="32"/>
    </row>
    <row r="53" spans="1:27" ht="13" x14ac:dyDescent="0.3">
      <c r="A53" s="2"/>
      <c r="B53" s="6" t="s">
        <v>42</v>
      </c>
      <c r="C53" s="2"/>
      <c r="D53" s="2"/>
      <c r="E53" s="2"/>
      <c r="F53" s="2"/>
      <c r="G53" s="2"/>
      <c r="H53" s="2"/>
      <c r="I53" s="2"/>
      <c r="J53" s="2"/>
      <c r="K53" s="2"/>
      <c r="L53" s="2"/>
      <c r="M53" s="2"/>
      <c r="N53" s="2"/>
      <c r="O53" s="4"/>
      <c r="P53" s="4"/>
    </row>
    <row r="54" spans="1:27" ht="13" x14ac:dyDescent="0.3">
      <c r="A54" s="2"/>
      <c r="B54" s="44"/>
      <c r="C54" s="45" t="s">
        <v>43</v>
      </c>
      <c r="D54" s="2"/>
      <c r="E54" s="2"/>
      <c r="F54" s="2"/>
      <c r="G54" s="2"/>
      <c r="H54" s="2"/>
      <c r="I54" s="2"/>
      <c r="J54" s="2"/>
      <c r="K54" s="2"/>
      <c r="L54" s="2"/>
      <c r="M54" s="2"/>
      <c r="N54" s="2"/>
      <c r="O54" s="4"/>
      <c r="P54" s="4"/>
      <c r="Q54" s="46"/>
    </row>
    <row r="55" spans="1:27" hidden="1" x14ac:dyDescent="0.25">
      <c r="A55" s="2"/>
      <c r="B55" s="44"/>
      <c r="D55" s="47" t="s">
        <v>44</v>
      </c>
      <c r="E55" s="2"/>
      <c r="F55" s="2"/>
      <c r="G55" s="2"/>
      <c r="H55" s="43"/>
      <c r="I55" s="48"/>
      <c r="J55" s="49"/>
      <c r="K55" s="43"/>
      <c r="L55" s="48"/>
      <c r="M55" s="50"/>
      <c r="N55" s="51" t="str">
        <f ca="1">IF(AND(CELL("type",H55)="v",CELL("type",K55)="v")=TRUE,IF(H55+K55=0,"",H55+K55),IF(AND(CELL("type",H55)="v",CELL("type",K55)&lt;&gt;"v")=TRUE,H55,IF(AND(CELL("type",H55)&lt;&gt;"v",CELL("type",K55)="v")=TRUE,K55,"")))</f>
        <v/>
      </c>
      <c r="O55" s="4"/>
      <c r="P55" s="4"/>
    </row>
    <row r="56" spans="1:27" hidden="1" x14ac:dyDescent="0.25">
      <c r="H56" s="50"/>
      <c r="I56" s="48"/>
      <c r="J56" s="50"/>
      <c r="K56" s="50"/>
      <c r="L56" s="48"/>
      <c r="M56" s="52"/>
      <c r="N56" s="52"/>
      <c r="O56" s="4"/>
      <c r="P56" s="4"/>
    </row>
    <row r="57" spans="1:27" x14ac:dyDescent="0.25">
      <c r="A57" s="2"/>
      <c r="B57" s="44"/>
      <c r="D57" s="47" t="s">
        <v>45</v>
      </c>
      <c r="E57" s="2"/>
      <c r="F57" s="2"/>
      <c r="G57" s="33" t="s">
        <v>37</v>
      </c>
      <c r="H57" s="34"/>
      <c r="I57" s="53"/>
      <c r="J57" s="54" t="s">
        <v>37</v>
      </c>
      <c r="K57" s="34"/>
      <c r="L57" s="53"/>
      <c r="M57" s="54" t="s">
        <v>37</v>
      </c>
      <c r="N57" s="34"/>
      <c r="O57" s="4"/>
      <c r="P57" s="4"/>
      <c r="Q57" s="55"/>
      <c r="R57" s="55"/>
      <c r="S57" s="55"/>
      <c r="T57" s="55"/>
      <c r="U57" s="55"/>
      <c r="V57" s="55"/>
      <c r="W57" s="55"/>
      <c r="X57" s="55"/>
      <c r="Y57" s="55"/>
      <c r="Z57" s="55"/>
      <c r="AA57" s="55"/>
    </row>
    <row r="58" spans="1:27" x14ac:dyDescent="0.25">
      <c r="B58" s="44"/>
      <c r="H58" s="56"/>
      <c r="I58" s="53"/>
      <c r="J58" s="56"/>
      <c r="K58" s="56"/>
      <c r="L58" s="53"/>
      <c r="M58" s="57"/>
      <c r="N58" s="57"/>
      <c r="O58" s="4"/>
      <c r="P58" s="4"/>
      <c r="Q58" s="55"/>
      <c r="R58" s="55"/>
      <c r="S58" s="55"/>
      <c r="T58" s="55"/>
      <c r="U58" s="55"/>
      <c r="V58" s="55"/>
      <c r="W58" s="55"/>
      <c r="X58" s="55"/>
      <c r="Y58" s="55"/>
      <c r="Z58" s="55"/>
      <c r="AA58" s="55"/>
    </row>
    <row r="59" spans="1:27" ht="13.5" x14ac:dyDescent="0.25">
      <c r="B59" s="44"/>
      <c r="D59" s="47" t="s">
        <v>46</v>
      </c>
      <c r="G59" s="33" t="s">
        <v>37</v>
      </c>
      <c r="H59" s="34"/>
      <c r="I59" s="53"/>
      <c r="J59" s="54" t="s">
        <v>37</v>
      </c>
      <c r="K59" s="34"/>
      <c r="L59" s="53"/>
      <c r="M59" s="54" t="s">
        <v>37</v>
      </c>
      <c r="N59" s="34"/>
      <c r="O59" s="4"/>
      <c r="P59" s="4"/>
      <c r="Q59" s="55"/>
      <c r="R59" s="55"/>
      <c r="S59" s="55"/>
      <c r="T59" s="55"/>
      <c r="U59" s="55"/>
      <c r="V59" s="55"/>
      <c r="W59" s="55"/>
      <c r="X59" s="55"/>
      <c r="Y59" s="55"/>
      <c r="Z59" s="55"/>
      <c r="AA59" s="55"/>
    </row>
    <row r="60" spans="1:27" x14ac:dyDescent="0.25">
      <c r="B60" s="44"/>
      <c r="H60" s="56"/>
      <c r="I60" s="53"/>
      <c r="J60" s="56"/>
      <c r="K60" s="56"/>
      <c r="L60" s="53"/>
      <c r="M60" s="57"/>
      <c r="N60" s="57"/>
      <c r="O60" s="4"/>
      <c r="P60" s="4"/>
      <c r="Q60" s="55"/>
      <c r="R60" s="55"/>
      <c r="S60" s="55"/>
      <c r="T60" s="55"/>
      <c r="U60" s="55"/>
      <c r="V60" s="55"/>
      <c r="W60" s="55"/>
      <c r="X60" s="55"/>
      <c r="Y60" s="55"/>
      <c r="Z60" s="55"/>
      <c r="AA60" s="55"/>
    </row>
    <row r="61" spans="1:27" ht="12.75" hidden="1" customHeight="1" x14ac:dyDescent="0.25">
      <c r="A61" s="2"/>
      <c r="B61" s="44"/>
      <c r="D61" s="47" t="s">
        <v>47</v>
      </c>
      <c r="E61" s="2"/>
      <c r="F61" s="2"/>
      <c r="G61" s="2"/>
      <c r="H61" s="34"/>
      <c r="I61" s="53"/>
      <c r="J61" s="58"/>
      <c r="K61" s="34"/>
      <c r="L61" s="53"/>
      <c r="M61" s="56"/>
      <c r="N61" s="59" t="str">
        <f ca="1">IF(AND(CELL("type",H61)="v",CELL("type",K61)="v")=TRUE,IF(H61+K61=0,"",H61+K61),IF(AND(CELL("type",H61)="v",CELL("type",K61)&lt;&gt;"v")=TRUE,H61,IF(AND(CELL("type",H61)&lt;&gt;"v",CELL("type",K61)="v")=TRUE,K61,"")))</f>
        <v/>
      </c>
      <c r="O61" s="4"/>
      <c r="P61" s="4"/>
      <c r="T61" s="60"/>
    </row>
    <row r="62" spans="1:27" ht="12.75" hidden="1" customHeight="1" x14ac:dyDescent="0.25">
      <c r="B62" s="44"/>
      <c r="H62" s="56"/>
      <c r="I62" s="53"/>
      <c r="J62" s="56"/>
      <c r="K62" s="56"/>
      <c r="L62" s="53"/>
      <c r="M62" s="57"/>
      <c r="N62" s="57"/>
      <c r="O62" s="4"/>
      <c r="P62" s="4"/>
    </row>
    <row r="63" spans="1:27" ht="12.75" hidden="1" customHeight="1" x14ac:dyDescent="0.25">
      <c r="A63" s="2"/>
      <c r="B63" s="44"/>
      <c r="D63" s="61" t="s">
        <v>48</v>
      </c>
      <c r="E63" s="2"/>
      <c r="F63" s="2"/>
      <c r="G63" s="2"/>
      <c r="H63" s="34"/>
      <c r="I63" s="53"/>
      <c r="J63" s="58"/>
      <c r="K63" s="34"/>
      <c r="L63" s="53"/>
      <c r="M63" s="56"/>
      <c r="N63" s="59" t="str">
        <f ca="1">IF(AND(CELL("type",H63)="v",CELL("type",K63)="v")=TRUE,IF(H63+K63=0,"",H63+K63),IF(AND(CELL("type",H63)="v",CELL("type",K63)&lt;&gt;"v")=TRUE,H63,IF(AND(CELL("type",H63)&lt;&gt;"v",CELL("type",K63)="v")=TRUE,K63,"")))</f>
        <v/>
      </c>
      <c r="O63" s="4"/>
      <c r="P63" s="4"/>
    </row>
    <row r="64" spans="1:27" ht="12.75" hidden="1" customHeight="1" x14ac:dyDescent="0.25">
      <c r="B64" s="44"/>
      <c r="H64" s="56"/>
      <c r="I64" s="53"/>
      <c r="J64" s="56"/>
      <c r="K64" s="56"/>
      <c r="L64" s="53"/>
      <c r="M64" s="57"/>
      <c r="N64" s="57"/>
      <c r="O64" s="4"/>
      <c r="P64" s="4"/>
    </row>
    <row r="65" spans="1:27" ht="12.75" hidden="1" customHeight="1" x14ac:dyDescent="0.25">
      <c r="A65" s="2"/>
      <c r="B65" s="44"/>
      <c r="D65" s="47" t="s">
        <v>49</v>
      </c>
      <c r="E65" s="2"/>
      <c r="F65" s="2"/>
      <c r="G65" s="2"/>
      <c r="H65" s="34"/>
      <c r="I65" s="53"/>
      <c r="J65" s="58"/>
      <c r="K65" s="34"/>
      <c r="L65" s="53"/>
      <c r="M65" s="56"/>
      <c r="N65" s="59" t="str">
        <f ca="1">IF(AND(CELL("type",H65)="v",CELL("type",K65)="v")=TRUE,IF(H65+K65=0,"",H65+K65),IF(AND(CELL("type",H65)="v",CELL("type",K65)&lt;&gt;"v")=TRUE,H65,IF(AND(CELL("type",H65)&lt;&gt;"v",CELL("type",K65)="v")=TRUE,K65,"")))</f>
        <v/>
      </c>
      <c r="O65" s="4"/>
      <c r="P65" s="4"/>
    </row>
    <row r="66" spans="1:27" ht="12.75" hidden="1" customHeight="1" x14ac:dyDescent="0.25">
      <c r="B66" s="44"/>
      <c r="H66" s="56"/>
      <c r="I66" s="53"/>
      <c r="J66" s="56"/>
      <c r="K66" s="56"/>
      <c r="L66" s="53"/>
      <c r="M66" s="57"/>
      <c r="N66" s="57"/>
      <c r="O66" s="4"/>
      <c r="P66" s="4"/>
    </row>
    <row r="67" spans="1:27" ht="12.75" hidden="1" customHeight="1" x14ac:dyDescent="0.25">
      <c r="A67" s="2"/>
      <c r="B67" s="44"/>
      <c r="D67" s="47" t="s">
        <v>50</v>
      </c>
      <c r="E67" s="2"/>
      <c r="F67" s="2"/>
      <c r="G67" s="2"/>
      <c r="H67" s="34"/>
      <c r="I67" s="53"/>
      <c r="J67" s="58"/>
      <c r="K67" s="34"/>
      <c r="L67" s="53"/>
      <c r="M67" s="56"/>
      <c r="N67" s="59" t="str">
        <f ca="1">IF(AND(CELL("type",H67)="v",CELL("type",K67)="v")=TRUE,IF(H67+K67=0,"",H67+K67),IF(AND(CELL("type",H67)="v",CELL("type",K67)&lt;&gt;"v")=TRUE,H67,IF(AND(CELL("type",H67)&lt;&gt;"v",CELL("type",K67)="v")=TRUE,K67,"")))</f>
        <v/>
      </c>
      <c r="O67" s="4"/>
      <c r="P67" s="4"/>
    </row>
    <row r="68" spans="1:27" ht="12.75" hidden="1" customHeight="1" x14ac:dyDescent="0.25">
      <c r="B68" s="44"/>
      <c r="H68" s="56"/>
      <c r="I68" s="53"/>
      <c r="J68" s="56"/>
      <c r="K68" s="56"/>
      <c r="L68" s="53"/>
      <c r="M68" s="57"/>
      <c r="N68" s="57"/>
      <c r="O68" s="4"/>
      <c r="P68" s="4"/>
    </row>
    <row r="69" spans="1:27" ht="12.75" hidden="1" customHeight="1" x14ac:dyDescent="0.25">
      <c r="A69" s="2"/>
      <c r="B69" s="44"/>
      <c r="D69" s="47" t="s">
        <v>51</v>
      </c>
      <c r="E69" s="2"/>
      <c r="F69" s="2"/>
      <c r="G69" s="2"/>
      <c r="H69" s="34"/>
      <c r="I69" s="53"/>
      <c r="J69" s="58"/>
      <c r="K69" s="34"/>
      <c r="L69" s="53"/>
      <c r="M69" s="56"/>
      <c r="N69" s="59" t="str">
        <f ca="1">IF(AND(CELL("type",H69)="v",CELL("type",K69)="v")=TRUE,IF(H69+K69=0,"",H69+K69),IF(AND(CELL("type",H69)="v",CELL("type",K69)&lt;&gt;"v")=TRUE,H69,IF(AND(CELL("type",H69)&lt;&gt;"v",CELL("type",K69)="v")=TRUE,K69,"")))</f>
        <v/>
      </c>
      <c r="O69" s="4"/>
      <c r="P69" s="4"/>
    </row>
    <row r="70" spans="1:27" ht="12.75" hidden="1" customHeight="1" x14ac:dyDescent="0.25">
      <c r="B70" s="44"/>
      <c r="H70" s="56"/>
      <c r="I70" s="53"/>
      <c r="J70" s="56"/>
      <c r="K70" s="56"/>
      <c r="L70" s="53"/>
      <c r="M70" s="57"/>
      <c r="N70" s="57"/>
      <c r="O70" s="4"/>
      <c r="P70" s="4"/>
    </row>
    <row r="71" spans="1:27" ht="12.75" hidden="1" customHeight="1" x14ac:dyDescent="0.25">
      <c r="B71" s="44"/>
      <c r="D71" s="62" t="s">
        <v>52</v>
      </c>
      <c r="H71" s="34"/>
      <c r="I71" s="53"/>
      <c r="J71" s="58"/>
      <c r="K71" s="34"/>
      <c r="L71" s="53"/>
      <c r="M71" s="56"/>
      <c r="N71" s="59" t="str">
        <f ca="1">IF(AND(CELL("type",H71)="v",CELL("type",K71)="v")=TRUE,IF(H71+K71=0,"",H71+K71),IF(AND(CELL("type",H71)="v",CELL("type",K71)&lt;&gt;"v")=TRUE,H71,IF(AND(CELL("type",H71)&lt;&gt;"v",CELL("type",K71)="v")=TRUE,K71,"")))</f>
        <v/>
      </c>
      <c r="O71" s="4"/>
      <c r="P71" s="4"/>
      <c r="Q71" s="55"/>
      <c r="S71" s="55"/>
      <c r="T71" s="55"/>
      <c r="U71" s="55"/>
      <c r="V71" s="55"/>
      <c r="W71" s="55"/>
      <c r="X71" s="55"/>
      <c r="Y71" s="55"/>
      <c r="Z71" s="55"/>
      <c r="AA71" s="55"/>
    </row>
    <row r="72" spans="1:27" ht="12.75" hidden="1" customHeight="1" x14ac:dyDescent="0.25">
      <c r="B72" s="44"/>
      <c r="H72" s="56"/>
      <c r="I72" s="53"/>
      <c r="J72" s="56"/>
      <c r="K72" s="56"/>
      <c r="L72" s="53"/>
      <c r="M72" s="57"/>
      <c r="N72" s="57"/>
      <c r="O72" s="4"/>
      <c r="P72" s="4"/>
      <c r="Q72" s="55"/>
      <c r="S72" s="55"/>
      <c r="T72" s="55"/>
      <c r="U72" s="55"/>
      <c r="V72" s="55"/>
      <c r="W72" s="55"/>
      <c r="X72" s="55"/>
      <c r="Y72" s="55"/>
      <c r="Z72" s="55"/>
      <c r="AA72" s="55"/>
    </row>
    <row r="73" spans="1:27" ht="12.75" hidden="1" customHeight="1" x14ac:dyDescent="0.25">
      <c r="A73" s="2"/>
      <c r="B73" s="44"/>
      <c r="D73" s="61" t="s">
        <v>53</v>
      </c>
      <c r="E73" s="2"/>
      <c r="F73" s="2"/>
      <c r="G73" s="2"/>
      <c r="H73" s="34"/>
      <c r="I73" s="53"/>
      <c r="J73" s="58"/>
      <c r="K73" s="34"/>
      <c r="L73" s="53"/>
      <c r="M73" s="56"/>
      <c r="N73" s="59" t="str">
        <f ca="1">IF(AND(CELL("type",H73)="v",CELL("type",K73)="v")=TRUE,IF(H73+K73=0,"",H73+K73),IF(AND(CELL("type",H73)="v",CELL("type",K73)&lt;&gt;"v")=TRUE,H73,IF(AND(CELL("type",H73)&lt;&gt;"v",CELL("type",K73)="v")=TRUE,K73,"")))</f>
        <v/>
      </c>
      <c r="O73" s="4"/>
      <c r="P73" s="4"/>
      <c r="Y73" s="55"/>
      <c r="Z73" s="55"/>
      <c r="AA73" s="55"/>
    </row>
    <row r="74" spans="1:27" ht="12.75" hidden="1" customHeight="1" x14ac:dyDescent="0.25">
      <c r="B74" s="44"/>
      <c r="H74" s="56"/>
      <c r="I74" s="53"/>
      <c r="J74" s="56"/>
      <c r="K74" s="56"/>
      <c r="L74" s="53"/>
      <c r="M74" s="57"/>
      <c r="N74" s="57"/>
      <c r="O74" s="4"/>
      <c r="P74" s="4"/>
      <c r="Y74" s="55"/>
      <c r="Z74" s="55"/>
      <c r="AA74" s="55"/>
    </row>
    <row r="75" spans="1:27" ht="13" thickBot="1" x14ac:dyDescent="0.3">
      <c r="A75" s="2"/>
      <c r="B75" s="33" t="s">
        <v>54</v>
      </c>
      <c r="C75" s="61" t="s">
        <v>55</v>
      </c>
      <c r="D75" s="2"/>
      <c r="E75" s="2"/>
      <c r="F75" s="2"/>
      <c r="G75" s="33" t="s">
        <v>37</v>
      </c>
      <c r="H75" s="34"/>
      <c r="I75" s="63"/>
      <c r="J75" s="54" t="s">
        <v>37</v>
      </c>
      <c r="K75" s="34"/>
      <c r="L75" s="63"/>
      <c r="M75" s="54" t="s">
        <v>37</v>
      </c>
      <c r="N75" s="34"/>
      <c r="O75" s="4"/>
      <c r="P75" s="4"/>
      <c r="Q75" s="310" t="s">
        <v>56</v>
      </c>
      <c r="R75" s="310"/>
      <c r="S75" s="64" t="s">
        <v>32</v>
      </c>
      <c r="T75" s="64"/>
      <c r="U75" s="64" t="s">
        <v>33</v>
      </c>
      <c r="V75" s="64"/>
      <c r="W75" s="64" t="s">
        <v>34</v>
      </c>
    </row>
    <row r="76" spans="1:27" ht="12.75" customHeight="1" x14ac:dyDescent="0.25">
      <c r="H76" s="57"/>
      <c r="I76" s="53"/>
      <c r="J76" s="57"/>
      <c r="K76" s="57"/>
      <c r="L76" s="53"/>
      <c r="M76" s="57"/>
      <c r="N76" s="57"/>
      <c r="O76" s="4"/>
      <c r="P76" s="4"/>
      <c r="Q76" s="324" t="s">
        <v>57</v>
      </c>
      <c r="R76" s="324"/>
      <c r="S76" s="65">
        <v>0.14000000000000001</v>
      </c>
      <c r="T76" s="65"/>
      <c r="U76" s="65">
        <v>0.14000000000000001</v>
      </c>
      <c r="V76" s="65"/>
      <c r="W76" s="65">
        <v>0.14000000000000001</v>
      </c>
    </row>
    <row r="77" spans="1:27" ht="13.5" x14ac:dyDescent="0.25">
      <c r="B77" s="33" t="s">
        <v>58</v>
      </c>
      <c r="C77" s="61" t="s">
        <v>59</v>
      </c>
      <c r="D77" s="2"/>
      <c r="E77" s="2"/>
      <c r="F77" s="2"/>
      <c r="G77" s="2"/>
      <c r="H77" s="56"/>
      <c r="I77" s="53"/>
      <c r="J77" s="56"/>
      <c r="K77" s="56"/>
      <c r="L77" s="53"/>
      <c r="M77" s="57"/>
      <c r="N77" s="57"/>
      <c r="O77" s="4"/>
      <c r="P77" s="4"/>
      <c r="Q77" s="325" t="s">
        <v>60</v>
      </c>
      <c r="R77" s="325"/>
      <c r="S77" s="66">
        <f>IF(ISERROR(ROUNDDOWN(N(H75)*N(S76),0)),0,ROUNDDOWN(N(H75)*N(S76),0))</f>
        <v>0</v>
      </c>
      <c r="T77" s="66"/>
      <c r="U77" s="66">
        <f>IF(ISERROR(ROUNDDOWN(N(K75)*N(U76),0)),0,ROUNDDOWN(N(K75)*N(U76),0))</f>
        <v>0</v>
      </c>
      <c r="V77" s="66"/>
      <c r="W77" s="66">
        <f>IF(ISERROR(ROUNDDOWN(N(N75)*N(W76),0)),0,ROUNDDOWN(N(N75)*N(W76),0))</f>
        <v>0</v>
      </c>
    </row>
    <row r="78" spans="1:27" ht="13" x14ac:dyDescent="0.3">
      <c r="B78" s="33"/>
      <c r="C78" s="61" t="str">
        <f>"(Max. "&amp;TEXT(S76,"0%")&amp;" of A1.1)"</f>
        <v>(Max. 14% of A1.1)</v>
      </c>
      <c r="D78" s="2"/>
      <c r="E78" s="2"/>
      <c r="F78" s="2"/>
      <c r="G78" s="33" t="s">
        <v>37</v>
      </c>
      <c r="H78" s="67"/>
      <c r="I78" s="53"/>
      <c r="J78" s="54" t="s">
        <v>37</v>
      </c>
      <c r="K78" s="67"/>
      <c r="L78" s="53"/>
      <c r="M78" s="54" t="s">
        <v>37</v>
      </c>
      <c r="N78" s="67"/>
      <c r="O78" s="4"/>
      <c r="P78" s="21" t="str">
        <f>IF(OR(S78="No",U78="No",W78="No"),"**","")</f>
        <v/>
      </c>
      <c r="Q78" s="309" t="s">
        <v>61</v>
      </c>
      <c r="R78" s="309"/>
      <c r="S78" s="68" t="str">
        <f>IF(OR(AND(N(H78)=0,N(H75)&gt;0),N(H78)&gt;S77),"No","Yes")</f>
        <v>Yes</v>
      </c>
      <c r="T78" s="68"/>
      <c r="U78" s="68" t="str">
        <f>IF(OR(AND(N(K78)=0,N(K75)&gt;0),N(K78)&gt;U77),"No","Yes")</f>
        <v>Yes</v>
      </c>
      <c r="V78" s="68"/>
      <c r="W78" s="68" t="str">
        <f>IF(OR(AND(N(N78)=0,N(N75)&gt;0),N(N78)&gt;W77),"No","Yes")</f>
        <v>Yes</v>
      </c>
    </row>
    <row r="79" spans="1:27" ht="13" x14ac:dyDescent="0.3">
      <c r="H79" s="57"/>
      <c r="I79" s="53"/>
      <c r="J79" s="57"/>
      <c r="K79" s="57"/>
      <c r="L79" s="53"/>
      <c r="M79" s="57"/>
      <c r="N79" s="57"/>
      <c r="O79" s="4"/>
      <c r="P79" s="4"/>
      <c r="Q79" s="23"/>
      <c r="R79" s="23"/>
      <c r="Z79" s="69" t="str">
        <f>IF(S149="No","The amount entered for 'Soft Cost Contingency' is too high by "&amp;TEXT(N(N149)-N(S148),"$#,##0.00")&amp;".  ","")</f>
        <v/>
      </c>
    </row>
    <row r="80" spans="1:27" ht="13" thickBot="1" x14ac:dyDescent="0.3">
      <c r="B80" s="33" t="s">
        <v>62</v>
      </c>
      <c r="C80" s="70" t="s">
        <v>63</v>
      </c>
      <c r="D80" s="2"/>
      <c r="E80" s="2"/>
      <c r="F80" s="2"/>
      <c r="H80" s="57"/>
      <c r="I80" s="53"/>
      <c r="J80" s="57"/>
      <c r="K80" s="57"/>
      <c r="L80" s="53"/>
      <c r="M80" s="57"/>
      <c r="N80" s="57"/>
      <c r="O80" s="4"/>
      <c r="P80" s="4"/>
      <c r="Q80" s="310" t="s">
        <v>64</v>
      </c>
      <c r="R80" s="310"/>
      <c r="S80" s="71"/>
      <c r="T80" s="71"/>
      <c r="U80" s="71"/>
      <c r="V80" s="71"/>
      <c r="W80" s="71"/>
    </row>
    <row r="81" spans="1:27" x14ac:dyDescent="0.25">
      <c r="B81" s="33"/>
      <c r="C81" s="70"/>
      <c r="D81" s="70" t="s">
        <v>65</v>
      </c>
      <c r="E81" s="2"/>
      <c r="F81" s="2"/>
      <c r="G81" s="33" t="s">
        <v>37</v>
      </c>
      <c r="H81" s="59" t="str">
        <f>IF(SUM(H75:H80)=0,"",SUM(H75:H80))</f>
        <v/>
      </c>
      <c r="I81" s="53"/>
      <c r="J81" s="54" t="s">
        <v>37</v>
      </c>
      <c r="K81" s="59" t="str">
        <f>IF(SUM(K75:K80)=0,"",SUM(K75:K80))</f>
        <v/>
      </c>
      <c r="L81" s="53"/>
      <c r="M81" s="54" t="s">
        <v>37</v>
      </c>
      <c r="N81" s="59" t="str">
        <f>IF(SUM(N75:N80)=0,"",SUM(N75:N80))</f>
        <v/>
      </c>
      <c r="O81" s="4"/>
      <c r="P81" s="4"/>
      <c r="Q81" s="311" t="s">
        <v>66</v>
      </c>
      <c r="R81" s="311"/>
      <c r="S81" s="65" t="str">
        <f>IF($K36=$F613,"TBD",IF(OR($K36="New Construction (w/ or w/o Acquisition)",$K36="Redevelopment (w/ or w/o Acquisition)"),5%,15%))</f>
        <v>TBD</v>
      </c>
      <c r="T81" s="65"/>
      <c r="U81" s="65" t="str">
        <f>IF($K36=$F613,"TBD",IF(OR($K36="New Construction (w/ or w/o Acquisition)",$K36="Redevelopment (w/ or w/o Acquisition)"),5%,15%))</f>
        <v>TBD</v>
      </c>
      <c r="V81" s="65"/>
      <c r="W81" s="65" t="str">
        <f>IF($K36=$F613,"TBD",IF(OR($K36="New Construction (w/ or w/o Acquisition)",$K36="Redevelopment (w/ or w/o Acquisition)"),5%,15%))</f>
        <v>TBD</v>
      </c>
    </row>
    <row r="82" spans="1:27" ht="13" x14ac:dyDescent="0.25">
      <c r="H82" s="57"/>
      <c r="I82" s="53"/>
      <c r="J82" s="57"/>
      <c r="K82" s="57"/>
      <c r="L82" s="53"/>
      <c r="M82" s="57"/>
      <c r="N82" s="57"/>
      <c r="O82" s="4"/>
      <c r="P82" s="4"/>
      <c r="Q82" s="312" t="s">
        <v>67</v>
      </c>
      <c r="R82" s="312"/>
      <c r="S82" s="66" t="str">
        <f>IF(ISERROR(N(H81)*N(S81)),0,IF(K36=F613,"TBD",N(H81)*N(S81)))</f>
        <v>TBD</v>
      </c>
      <c r="T82" s="66"/>
      <c r="U82" s="66" t="str">
        <f>IF(ISERROR(N(K81)*N(U81)),0,IF(K36=F613,"TBD",N(K81)*N(U81)))</f>
        <v>TBD</v>
      </c>
      <c r="V82" s="66"/>
      <c r="W82" s="66" t="str">
        <f>IF(ISERROR(N(N81)*N(W81)),0,IF(K36=F613,"TBD",N(N81)*N(W81)))</f>
        <v>TBD</v>
      </c>
      <c r="Z82" s="72"/>
    </row>
    <row r="83" spans="1:27" ht="14" x14ac:dyDescent="0.3">
      <c r="B83" s="33" t="s">
        <v>68</v>
      </c>
      <c r="C83" s="73" t="s">
        <v>69</v>
      </c>
      <c r="G83" s="33" t="s">
        <v>37</v>
      </c>
      <c r="H83" s="67"/>
      <c r="I83" s="53"/>
      <c r="J83" s="54" t="s">
        <v>37</v>
      </c>
      <c r="K83" s="67"/>
      <c r="L83" s="53"/>
      <c r="M83" s="54" t="s">
        <v>37</v>
      </c>
      <c r="N83" s="67"/>
      <c r="O83" s="4"/>
      <c r="P83" s="74" t="str">
        <f>IF(OR(S83="No",U83="No",W83="No"),"**","")</f>
        <v/>
      </c>
      <c r="Q83" s="309" t="s">
        <v>61</v>
      </c>
      <c r="R83" s="309"/>
      <c r="S83" s="68" t="str">
        <f>IF(S82="TBD","TBD",IF(N(H83)&lt;=S82,"Yes","No"))</f>
        <v>TBD</v>
      </c>
      <c r="T83" s="68"/>
      <c r="U83" s="68" t="str">
        <f>IF(U82="TBD","TBD",IF(N(K83)&lt;=U82,"Yes","No"))</f>
        <v>TBD</v>
      </c>
      <c r="V83" s="68"/>
      <c r="W83" s="68" t="str">
        <f>IF(W82="TBD","TBD",IF(N(N83)&lt;=W82,"Yes","No"))</f>
        <v>TBD</v>
      </c>
    </row>
    <row r="84" spans="1:27" x14ac:dyDescent="0.25">
      <c r="H84" s="57"/>
      <c r="I84" s="57"/>
      <c r="J84" s="57"/>
      <c r="K84" s="57"/>
      <c r="L84" s="57"/>
      <c r="M84" s="57"/>
      <c r="N84" s="57"/>
      <c r="O84" s="4"/>
      <c r="P84" s="4"/>
    </row>
    <row r="85" spans="1:27" ht="3.75" hidden="1" customHeight="1" thickBot="1" x14ac:dyDescent="0.3">
      <c r="D85" s="47"/>
      <c r="E85" s="2"/>
      <c r="F85" s="2"/>
      <c r="G85" s="2"/>
      <c r="H85" s="75"/>
      <c r="I85" s="56"/>
      <c r="J85" s="58"/>
      <c r="K85" s="75"/>
      <c r="L85" s="76"/>
      <c r="M85" s="56"/>
      <c r="N85" s="76"/>
      <c r="O85" s="4"/>
      <c r="P85" s="4"/>
    </row>
    <row r="86" spans="1:27" ht="3.75" hidden="1" customHeight="1" x14ac:dyDescent="0.25">
      <c r="A86" s="1"/>
      <c r="B86" s="1"/>
      <c r="C86" s="1"/>
      <c r="D86" s="1"/>
      <c r="E86" s="1"/>
      <c r="F86" s="1"/>
      <c r="G86" s="1"/>
      <c r="H86" s="77"/>
      <c r="I86" s="77"/>
      <c r="J86" s="77"/>
      <c r="K86" s="77"/>
      <c r="L86" s="77"/>
      <c r="M86" s="77"/>
      <c r="N86" s="77"/>
      <c r="O86" s="78"/>
      <c r="P86" s="78"/>
    </row>
    <row r="87" spans="1:27" ht="12.75" hidden="1" customHeight="1" x14ac:dyDescent="0.3">
      <c r="B87" s="6" t="str">
        <f>B$2</f>
        <v>RFA 2021-211 DEVELOPMENT COST PRO FORMA</v>
      </c>
      <c r="H87" s="56"/>
      <c r="I87" s="56"/>
      <c r="J87" s="56"/>
      <c r="K87" s="56"/>
      <c r="L87" s="57"/>
      <c r="M87" s="57"/>
      <c r="N87" s="57"/>
      <c r="O87" s="4"/>
      <c r="P87" s="5" t="s">
        <v>70</v>
      </c>
    </row>
    <row r="88" spans="1:27" ht="12.75" hidden="1" customHeight="1" x14ac:dyDescent="0.25">
      <c r="H88" s="79"/>
      <c r="I88" s="56"/>
      <c r="J88" s="56"/>
      <c r="K88" s="79"/>
      <c r="L88" s="56"/>
      <c r="M88" s="80"/>
      <c r="N88" s="79">
        <f>N$39</f>
        <v>0</v>
      </c>
      <c r="O88" s="4"/>
      <c r="P88" s="4"/>
    </row>
    <row r="89" spans="1:27" ht="22.4" hidden="1" customHeight="1" x14ac:dyDescent="0.25">
      <c r="H89" s="81"/>
      <c r="I89" s="79"/>
      <c r="J89" s="79"/>
      <c r="K89" s="81"/>
      <c r="L89" s="81"/>
      <c r="M89" s="82"/>
      <c r="N89" s="81" t="str">
        <f>N$40</f>
        <v>Current Application</v>
      </c>
      <c r="O89" s="4"/>
      <c r="P89" s="4"/>
    </row>
    <row r="90" spans="1:27" ht="13" x14ac:dyDescent="0.3">
      <c r="C90" s="45" t="s">
        <v>71</v>
      </c>
      <c r="H90" s="56"/>
      <c r="I90" s="56"/>
      <c r="J90" s="56"/>
      <c r="K90" s="56"/>
      <c r="L90" s="57"/>
      <c r="M90" s="57"/>
      <c r="N90" s="57"/>
      <c r="O90" s="4"/>
      <c r="P90" s="4"/>
      <c r="Q90" s="83" t="s">
        <v>72</v>
      </c>
      <c r="R90" s="55"/>
      <c r="S90" s="55"/>
      <c r="T90" s="55"/>
      <c r="U90" s="55"/>
      <c r="V90" s="55"/>
      <c r="W90" s="55"/>
      <c r="X90" s="55"/>
      <c r="Y90" s="55"/>
      <c r="Z90" s="55"/>
      <c r="AA90" s="55"/>
    </row>
    <row r="91" spans="1:27" ht="12.75" hidden="1" customHeight="1" x14ac:dyDescent="0.3">
      <c r="C91" s="45"/>
      <c r="D91" s="47" t="s">
        <v>73</v>
      </c>
      <c r="H91" s="34"/>
      <c r="I91" s="53"/>
      <c r="J91" s="58"/>
      <c r="K91" s="34"/>
      <c r="L91" s="53"/>
      <c r="M91" s="56"/>
      <c r="N91" s="59" t="str">
        <f ca="1">IF(AND(CELL("type",H91)="v",CELL("type",K91)="v")=TRUE,IF(H91+K91=0,"",H91+K91),IF(AND(CELL("type",H91)="v",CELL("type",K91)&lt;&gt;"v")=TRUE,H91,IF(AND(CELL("type",H91)&lt;&gt;"v",CELL("type",K91)="v")=TRUE,K91,"")))</f>
        <v/>
      </c>
      <c r="O91" s="4"/>
      <c r="P91" s="4"/>
      <c r="Q91" s="55"/>
      <c r="R91" s="55"/>
      <c r="S91" s="55"/>
      <c r="T91" s="55"/>
      <c r="U91" s="55"/>
      <c r="V91" s="55"/>
      <c r="W91" s="55"/>
      <c r="X91" s="55"/>
      <c r="Y91" s="55"/>
      <c r="Z91" s="55"/>
      <c r="AA91" s="55"/>
    </row>
    <row r="92" spans="1:27" ht="12.75" hidden="1" customHeight="1" x14ac:dyDescent="0.3">
      <c r="C92" s="45"/>
      <c r="H92" s="56"/>
      <c r="I92" s="56"/>
      <c r="J92" s="56"/>
      <c r="K92" s="56"/>
      <c r="L92" s="57"/>
      <c r="M92" s="57"/>
      <c r="N92" s="57"/>
      <c r="O92" s="4"/>
      <c r="P92" s="4"/>
    </row>
    <row r="93" spans="1:27" ht="12.75" hidden="1" customHeight="1" x14ac:dyDescent="0.3">
      <c r="C93" s="45"/>
      <c r="D93" s="47" t="s">
        <v>74</v>
      </c>
      <c r="H93" s="34"/>
      <c r="I93" s="53"/>
      <c r="J93" s="58"/>
      <c r="K93" s="34"/>
      <c r="L93" s="53"/>
      <c r="M93" s="56"/>
      <c r="N93" s="59" t="str">
        <f ca="1">IF(AND(CELL("type",H93)="v",CELL("type",K93)="v")=TRUE,IF(H93+K93=0,"",H93+K93),IF(AND(CELL("type",H93)="v",CELL("type",K93)&lt;&gt;"v")=TRUE,H93,IF(AND(CELL("type",H93)&lt;&gt;"v",CELL("type",K93)="v")=TRUE,K93,"")))</f>
        <v/>
      </c>
      <c r="O93" s="4"/>
      <c r="P93" s="4"/>
    </row>
    <row r="94" spans="1:27" ht="12.75" hidden="1" customHeight="1" x14ac:dyDescent="0.3">
      <c r="C94" s="45"/>
      <c r="H94" s="56"/>
      <c r="I94" s="56"/>
      <c r="J94" s="56"/>
      <c r="K94" s="56"/>
      <c r="L94" s="57"/>
      <c r="M94" s="57"/>
      <c r="N94" s="57"/>
      <c r="O94" s="4"/>
      <c r="P94" s="4"/>
      <c r="Q94" s="55" t="s">
        <v>75</v>
      </c>
      <c r="R94" s="55"/>
      <c r="S94" s="55"/>
      <c r="T94" s="55"/>
      <c r="U94" s="55"/>
      <c r="V94" s="55"/>
      <c r="W94" s="55"/>
      <c r="X94" s="55"/>
      <c r="Y94" s="55"/>
      <c r="Z94" s="55"/>
      <c r="AA94" s="55"/>
    </row>
    <row r="95" spans="1:27" ht="12.75" hidden="1" customHeight="1" x14ac:dyDescent="0.25">
      <c r="D95" s="47" t="s">
        <v>76</v>
      </c>
      <c r="E95" s="2"/>
      <c r="F95" s="2"/>
      <c r="G95" s="2"/>
      <c r="H95" s="34"/>
      <c r="I95" s="53"/>
      <c r="J95" s="58"/>
      <c r="K95" s="34"/>
      <c r="L95" s="53"/>
      <c r="M95" s="56"/>
      <c r="N95" s="59" t="str">
        <f ca="1">IF(AND(CELL("type",H95)="v",CELL("type",K95)="v")=TRUE,IF(H95+K95=0,"",H95+K95),IF(AND(CELL("type",H95)="v",CELL("type",K95)&lt;&gt;"v")=TRUE,H95,IF(AND(CELL("type",H95)&lt;&gt;"v",CELL("type",K95)="v")=TRUE,K95,"")))</f>
        <v/>
      </c>
      <c r="O95" s="4"/>
      <c r="P95" s="4"/>
      <c r="Q95" s="55"/>
      <c r="R95" s="55"/>
      <c r="S95" s="55"/>
      <c r="T95" s="55"/>
      <c r="U95" s="55"/>
      <c r="V95" s="55"/>
      <c r="W95" s="55"/>
      <c r="X95" s="55"/>
      <c r="Y95" s="55"/>
      <c r="Z95" s="55"/>
      <c r="AA95" s="55"/>
    </row>
    <row r="96" spans="1:27" ht="12.75" hidden="1" customHeight="1" x14ac:dyDescent="0.25">
      <c r="D96" s="62"/>
      <c r="H96" s="56"/>
      <c r="I96" s="56"/>
      <c r="J96" s="56"/>
      <c r="K96" s="56"/>
      <c r="L96" s="57"/>
      <c r="M96" s="57"/>
      <c r="N96" s="57"/>
      <c r="O96" s="4"/>
      <c r="P96" s="4"/>
    </row>
    <row r="97" spans="4:27" ht="12.75" hidden="1" customHeight="1" x14ac:dyDescent="0.25">
      <c r="D97" s="47" t="s">
        <v>77</v>
      </c>
      <c r="E97" s="2"/>
      <c r="F97" s="2"/>
      <c r="G97" s="2"/>
      <c r="H97" s="34"/>
      <c r="I97" s="53"/>
      <c r="J97" s="58"/>
      <c r="K97" s="34"/>
      <c r="L97" s="53"/>
      <c r="M97" s="56"/>
      <c r="N97" s="59" t="str">
        <f ca="1">IF(AND(CELL("type",H97)="v",CELL("type",K97)="v")=TRUE,IF(H97+K97=0,"",H97+K97),IF(AND(CELL("type",H97)="v",CELL("type",K97)&lt;&gt;"v")=TRUE,H97,IF(AND(CELL("type",H97)&lt;&gt;"v",CELL("type",K97)="v")=TRUE,K97,"")))</f>
        <v/>
      </c>
      <c r="O97" s="4"/>
      <c r="P97" s="4"/>
    </row>
    <row r="98" spans="4:27" ht="12.75" hidden="1" customHeight="1" x14ac:dyDescent="0.25">
      <c r="D98" s="62"/>
      <c r="H98" s="56"/>
      <c r="I98" s="56"/>
      <c r="J98" s="56"/>
      <c r="K98" s="56"/>
      <c r="L98" s="57"/>
      <c r="M98" s="57"/>
      <c r="N98" s="57"/>
      <c r="O98" s="4"/>
      <c r="P98" s="4"/>
    </row>
    <row r="99" spans="4:27" ht="12.75" hidden="1" customHeight="1" x14ac:dyDescent="0.25">
      <c r="D99" s="47" t="s">
        <v>78</v>
      </c>
      <c r="E99" s="2"/>
      <c r="F99" s="2"/>
      <c r="G99" s="2"/>
      <c r="H99" s="34"/>
      <c r="I99" s="53"/>
      <c r="J99" s="58"/>
      <c r="K99" s="34"/>
      <c r="L99" s="53"/>
      <c r="M99" s="56"/>
      <c r="N99" s="59" t="str">
        <f ca="1">IF(AND(CELL("type",H99)="v",CELL("type",K99)="v")=TRUE,IF(H99+K99=0,"",H99+K99),IF(AND(CELL("type",H99)="v",CELL("type",K99)&lt;&gt;"v")=TRUE,H99,IF(AND(CELL("type",H99)&lt;&gt;"v",CELL("type",K99)="v")=TRUE,K99,"")))</f>
        <v/>
      </c>
      <c r="O99" s="4"/>
      <c r="P99" s="4"/>
    </row>
    <row r="100" spans="4:27" ht="12.75" hidden="1" customHeight="1" x14ac:dyDescent="0.25">
      <c r="D100" s="62"/>
      <c r="H100" s="56"/>
      <c r="I100" s="56"/>
      <c r="J100" s="56"/>
      <c r="K100" s="56"/>
      <c r="L100" s="57"/>
      <c r="M100" s="57"/>
      <c r="N100" s="57"/>
      <c r="O100" s="4"/>
      <c r="P100" s="4"/>
    </row>
    <row r="101" spans="4:27" ht="12.75" hidden="1" customHeight="1" x14ac:dyDescent="0.25">
      <c r="D101" s="47" t="s">
        <v>79</v>
      </c>
      <c r="E101" s="2"/>
      <c r="F101" s="2"/>
      <c r="G101" s="2"/>
      <c r="H101" s="34"/>
      <c r="I101" s="53"/>
      <c r="J101" s="58"/>
      <c r="K101" s="34"/>
      <c r="L101" s="53"/>
      <c r="M101" s="56"/>
      <c r="N101" s="59" t="str">
        <f ca="1">IF(AND(CELL("type",H101)="v",CELL("type",K101)="v")=TRUE,IF(H101+K101=0,"",H101+K101),IF(AND(CELL("type",H101)="v",CELL("type",K101)&lt;&gt;"v")=TRUE,H101,IF(AND(CELL("type",H101)&lt;&gt;"v",CELL("type",K101)="v")=TRUE,K101,"")))</f>
        <v/>
      </c>
      <c r="O101" s="4"/>
      <c r="P101" s="4"/>
    </row>
    <row r="102" spans="4:27" ht="12.75" hidden="1" customHeight="1" x14ac:dyDescent="0.25">
      <c r="D102" s="62"/>
      <c r="H102" s="56"/>
      <c r="I102" s="56"/>
      <c r="J102" s="56"/>
      <c r="K102" s="56"/>
      <c r="L102" s="57"/>
      <c r="M102" s="57"/>
      <c r="N102" s="57"/>
      <c r="O102" s="4"/>
      <c r="P102" s="4"/>
    </row>
    <row r="103" spans="4:27" ht="12.75" hidden="1" customHeight="1" x14ac:dyDescent="0.25">
      <c r="D103" s="62" t="s">
        <v>80</v>
      </c>
      <c r="H103" s="34"/>
      <c r="I103" s="53"/>
      <c r="J103" s="58"/>
      <c r="K103" s="34"/>
      <c r="L103" s="53"/>
      <c r="M103" s="76"/>
      <c r="N103" s="59" t="str">
        <f ca="1">IF(AND(CELL("type",H103)="v",CELL("type",K103)="v")=TRUE,IF(H103+K103=0,"",H103+K103),IF(AND(CELL("type",H103)="v",CELL("type",K103)&lt;&gt;"v")=TRUE,H103,IF(AND(CELL("type",H103)&lt;&gt;"v",CELL("type",K103)="v")=TRUE,K103,"")))</f>
        <v/>
      </c>
      <c r="O103" s="4"/>
      <c r="P103" s="4"/>
    </row>
    <row r="104" spans="4:27" ht="12.75" hidden="1" customHeight="1" x14ac:dyDescent="0.25">
      <c r="D104" s="62"/>
      <c r="H104" s="56"/>
      <c r="I104" s="56"/>
      <c r="J104" s="56"/>
      <c r="K104" s="56"/>
      <c r="L104" s="57"/>
      <c r="M104" s="57"/>
      <c r="N104" s="57"/>
      <c r="O104" s="4"/>
      <c r="P104" s="4"/>
      <c r="Q104" s="55" t="s">
        <v>75</v>
      </c>
      <c r="R104" s="55"/>
      <c r="S104" s="55"/>
      <c r="T104" s="55"/>
      <c r="U104" s="55"/>
      <c r="V104" s="55"/>
      <c r="W104" s="55"/>
      <c r="X104" s="55"/>
      <c r="Y104" s="55"/>
      <c r="Z104" s="55"/>
      <c r="AA104" s="55"/>
    </row>
    <row r="105" spans="4:27" ht="12.75" hidden="1" customHeight="1" x14ac:dyDescent="0.25">
      <c r="D105" s="44" t="s">
        <v>81</v>
      </c>
      <c r="E105" s="2"/>
      <c r="F105" s="2"/>
      <c r="G105" s="2"/>
      <c r="H105" s="34"/>
      <c r="I105" s="53"/>
      <c r="J105" s="58"/>
      <c r="K105" s="34"/>
      <c r="L105" s="53"/>
      <c r="M105" s="76"/>
      <c r="N105" s="59" t="str">
        <f ca="1">IF(AND(CELL("type",H105)="v",CELL("type",K105)="v")=TRUE,IF(H105+K105=0,"",H105+K105),IF(AND(CELL("type",H105)="v",CELL("type",K105)&lt;&gt;"v")=TRUE,H105,IF(AND(CELL("type",H105)&lt;&gt;"v",CELL("type",K105)="v")=TRUE,K105,"")))</f>
        <v/>
      </c>
      <c r="O105" s="4"/>
      <c r="P105" s="4"/>
      <c r="Q105" s="55"/>
      <c r="R105" s="55"/>
      <c r="S105" s="55"/>
      <c r="T105" s="55"/>
      <c r="U105" s="55"/>
      <c r="V105" s="55"/>
      <c r="W105" s="55"/>
      <c r="X105" s="55"/>
      <c r="Y105" s="55"/>
      <c r="Z105" s="55"/>
      <c r="AA105" s="55"/>
    </row>
    <row r="106" spans="4:27" ht="12.75" hidden="1" customHeight="1" x14ac:dyDescent="0.25">
      <c r="D106" s="62"/>
      <c r="H106" s="56"/>
      <c r="I106" s="56"/>
      <c r="J106" s="56"/>
      <c r="K106" s="56"/>
      <c r="L106" s="57"/>
      <c r="M106" s="57"/>
      <c r="N106" s="57"/>
      <c r="O106" s="4"/>
      <c r="P106" s="4"/>
      <c r="Q106" s="55" t="s">
        <v>82</v>
      </c>
      <c r="R106" s="55"/>
      <c r="S106" s="55"/>
      <c r="T106" s="55"/>
      <c r="U106" s="55"/>
      <c r="V106" s="55"/>
      <c r="W106" s="55"/>
      <c r="X106" s="55"/>
      <c r="Y106" s="55"/>
      <c r="Z106" s="55"/>
      <c r="AA106" s="55"/>
    </row>
    <row r="107" spans="4:27" ht="12.75" hidden="1" customHeight="1" x14ac:dyDescent="0.25">
      <c r="D107" s="44" t="s">
        <v>83</v>
      </c>
      <c r="E107" s="2"/>
      <c r="F107" s="2"/>
      <c r="G107" s="2"/>
      <c r="H107" s="34"/>
      <c r="I107" s="53"/>
      <c r="J107" s="58"/>
      <c r="K107" s="34"/>
      <c r="L107" s="53"/>
      <c r="M107" s="76"/>
      <c r="N107" s="59" t="str">
        <f ca="1">IF(AND(CELL("type",H107)="v",CELL("type",K107)="v")=TRUE,IF(H107+K107=0,"",H107+K107),IF(AND(CELL("type",H107)="v",CELL("type",K107)&lt;&gt;"v")=TRUE,H107,IF(AND(CELL("type",H107)&lt;&gt;"v",CELL("type",K107)="v")=TRUE,K107,"")))</f>
        <v/>
      </c>
      <c r="O107" s="4"/>
      <c r="P107" s="4"/>
      <c r="Q107" s="55"/>
      <c r="R107" s="55"/>
      <c r="S107" s="55"/>
      <c r="T107" s="55"/>
      <c r="U107" s="55"/>
      <c r="V107" s="55"/>
      <c r="W107" s="55"/>
      <c r="X107" s="55"/>
      <c r="Y107" s="55"/>
      <c r="Z107" s="55"/>
      <c r="AA107" s="55"/>
    </row>
    <row r="108" spans="4:27" ht="12.75" hidden="1" customHeight="1" x14ac:dyDescent="0.25">
      <c r="D108" s="62"/>
      <c r="H108" s="56"/>
      <c r="I108" s="56"/>
      <c r="J108" s="56"/>
      <c r="K108" s="56"/>
      <c r="L108" s="57"/>
      <c r="M108" s="57"/>
      <c r="N108" s="57"/>
      <c r="O108" s="4"/>
      <c r="P108" s="4"/>
    </row>
    <row r="109" spans="4:27" ht="13.5" hidden="1" customHeight="1" x14ac:dyDescent="0.25">
      <c r="D109" s="44" t="s">
        <v>84</v>
      </c>
      <c r="E109" s="2"/>
      <c r="F109" s="2"/>
      <c r="G109" s="2"/>
      <c r="H109" s="84"/>
      <c r="I109" s="53"/>
      <c r="J109" s="58"/>
      <c r="K109" s="34"/>
      <c r="L109" s="53"/>
      <c r="M109" s="76"/>
      <c r="N109" s="59" t="str">
        <f ca="1">IF(AND(CELL("type",H109)="v",CELL("type",K109)="v")=TRUE,IF(H109+K109=0,"",H109+K109),IF(AND(CELL("type",H109)="v",CELL("type",K109)&lt;&gt;"v")=TRUE,H109,IF(AND(CELL("type",H109)&lt;&gt;"v",CELL("type",K109)="v")=TRUE,K109,"")))</f>
        <v/>
      </c>
      <c r="O109" s="4"/>
      <c r="P109" s="4"/>
    </row>
    <row r="110" spans="4:27" ht="12.75" hidden="1" customHeight="1" x14ac:dyDescent="0.25">
      <c r="D110" s="62"/>
      <c r="H110" s="56"/>
      <c r="I110" s="56"/>
      <c r="J110" s="56"/>
      <c r="K110" s="56"/>
      <c r="L110" s="57"/>
      <c r="M110" s="57"/>
      <c r="N110" s="57"/>
      <c r="O110" s="4"/>
      <c r="P110" s="4"/>
      <c r="Q110" s="55" t="s">
        <v>85</v>
      </c>
      <c r="R110" s="55"/>
      <c r="S110" s="55"/>
      <c r="T110" s="55"/>
      <c r="U110" s="55"/>
      <c r="V110" s="55"/>
      <c r="W110" s="55"/>
      <c r="X110" s="55"/>
      <c r="Y110" s="55"/>
      <c r="Z110" s="55"/>
      <c r="AA110" s="55"/>
    </row>
    <row r="111" spans="4:27" ht="13.5" hidden="1" customHeight="1" x14ac:dyDescent="0.25">
      <c r="D111" s="44" t="s">
        <v>86</v>
      </c>
      <c r="E111" s="2"/>
      <c r="F111" s="2"/>
      <c r="G111" s="2"/>
      <c r="H111" s="34"/>
      <c r="I111" s="53"/>
      <c r="J111" s="58"/>
      <c r="K111" s="34"/>
      <c r="L111" s="53"/>
      <c r="M111" s="76"/>
      <c r="N111" s="59" t="str">
        <f ca="1">IF(AND(CELL("type",H111)="v",CELL("type",K111)="v")=TRUE,IF(H111+K111=0,"",H111+K111),IF(AND(CELL("type",H111)="v",CELL("type",K111)&lt;&gt;"v")=TRUE,H111,IF(AND(CELL("type",H111)&lt;&gt;"v",CELL("type",K111)="v")=TRUE,K111,"")))</f>
        <v/>
      </c>
      <c r="O111" s="4"/>
      <c r="P111" s="4"/>
      <c r="Q111" s="55"/>
      <c r="R111" s="55"/>
      <c r="S111" s="55"/>
      <c r="T111" s="55"/>
      <c r="U111" s="55"/>
      <c r="V111" s="55"/>
      <c r="W111" s="55"/>
      <c r="X111" s="55"/>
      <c r="Y111" s="55"/>
      <c r="Z111" s="55"/>
      <c r="AA111" s="55"/>
    </row>
    <row r="112" spans="4:27" ht="12.75" hidden="1" customHeight="1" x14ac:dyDescent="0.25">
      <c r="D112" s="62"/>
      <c r="H112" s="56"/>
      <c r="I112" s="56"/>
      <c r="J112" s="56"/>
      <c r="K112" s="56"/>
      <c r="L112" s="57"/>
      <c r="M112" s="57"/>
      <c r="N112" s="57"/>
      <c r="O112" s="4"/>
      <c r="P112" s="4"/>
    </row>
    <row r="113" spans="4:27" ht="13.5" hidden="1" customHeight="1" x14ac:dyDescent="0.25">
      <c r="D113" s="44" t="s">
        <v>87</v>
      </c>
      <c r="E113" s="2"/>
      <c r="F113" s="2"/>
      <c r="G113" s="2"/>
      <c r="H113" s="84"/>
      <c r="I113" s="53"/>
      <c r="J113" s="58"/>
      <c r="K113" s="34"/>
      <c r="L113" s="53"/>
      <c r="M113" s="76"/>
      <c r="N113" s="59" t="str">
        <f ca="1">IF(AND(CELL("type",H113)="v",CELL("type",K113)="v")=TRUE,IF(H113+K113=0,"",H113+K113),IF(AND(CELL("type",H113)="v",CELL("type",K113)&lt;&gt;"v")=TRUE,H113,IF(AND(CELL("type",H113)&lt;&gt;"v",CELL("type",K113)="v")=TRUE,K113,"")))</f>
        <v/>
      </c>
      <c r="O113" s="4"/>
      <c r="P113" s="4"/>
    </row>
    <row r="114" spans="4:27" ht="12.75" hidden="1" customHeight="1" x14ac:dyDescent="0.25">
      <c r="D114" s="62"/>
      <c r="H114" s="56"/>
      <c r="I114" s="56"/>
      <c r="J114" s="56"/>
      <c r="K114" s="56"/>
      <c r="L114" s="57"/>
      <c r="M114" s="57"/>
      <c r="N114" s="57"/>
      <c r="O114" s="4"/>
      <c r="P114" s="4"/>
      <c r="Q114" s="55" t="s">
        <v>85</v>
      </c>
      <c r="R114" s="55"/>
      <c r="S114" s="55"/>
      <c r="T114" s="55"/>
      <c r="U114" s="55"/>
      <c r="V114" s="55"/>
      <c r="W114" s="55"/>
      <c r="X114" s="55"/>
      <c r="Y114" s="55"/>
      <c r="Z114" s="55"/>
      <c r="AA114" s="55"/>
    </row>
    <row r="115" spans="4:27" ht="12.75" hidden="1" customHeight="1" x14ac:dyDescent="0.25">
      <c r="D115" s="44" t="s">
        <v>88</v>
      </c>
      <c r="E115" s="2"/>
      <c r="F115" s="2"/>
      <c r="G115" s="2"/>
      <c r="H115" s="34"/>
      <c r="I115" s="53"/>
      <c r="J115" s="58"/>
      <c r="K115" s="34"/>
      <c r="L115" s="53"/>
      <c r="M115" s="76"/>
      <c r="N115" s="59" t="str">
        <f ca="1">IF(AND(CELL("type",H115)="v",CELL("type",K115)="v")=TRUE,IF(H115+K115=0,"",H115+K115),IF(AND(CELL("type",H115)="v",CELL("type",K115)&lt;&gt;"v")=TRUE,H115,IF(AND(CELL("type",H115)&lt;&gt;"v",CELL("type",K115)="v")=TRUE,K115,"")))</f>
        <v/>
      </c>
      <c r="O115" s="4"/>
      <c r="P115" s="4"/>
      <c r="Q115" s="55"/>
      <c r="R115" s="55"/>
      <c r="S115" s="55"/>
      <c r="T115" s="55"/>
      <c r="U115" s="55"/>
      <c r="V115" s="55"/>
      <c r="W115" s="55"/>
      <c r="X115" s="55"/>
      <c r="Y115" s="55"/>
      <c r="Z115" s="55"/>
      <c r="AA115" s="55"/>
    </row>
    <row r="116" spans="4:27" ht="12.75" hidden="1" customHeight="1" x14ac:dyDescent="0.25">
      <c r="D116" s="62"/>
      <c r="H116" s="57"/>
      <c r="I116" s="57"/>
      <c r="J116" s="57"/>
      <c r="K116" s="57"/>
      <c r="L116" s="57"/>
      <c r="M116" s="57"/>
      <c r="N116" s="57"/>
      <c r="O116" s="4"/>
      <c r="P116" s="4"/>
    </row>
    <row r="117" spans="4:27" ht="12.75" hidden="1" customHeight="1" x14ac:dyDescent="0.25">
      <c r="D117" s="44" t="s">
        <v>89</v>
      </c>
      <c r="E117" s="2"/>
      <c r="H117" s="57"/>
      <c r="I117" s="57"/>
      <c r="J117" s="57"/>
      <c r="K117" s="57"/>
      <c r="L117" s="57"/>
      <c r="M117" s="57"/>
      <c r="N117" s="57"/>
      <c r="O117" s="4"/>
      <c r="P117" s="4"/>
    </row>
    <row r="118" spans="4:27" ht="12.75" hidden="1" customHeight="1" x14ac:dyDescent="0.25">
      <c r="D118" s="44"/>
      <c r="E118" s="2" t="s">
        <v>90</v>
      </c>
      <c r="H118" s="34"/>
      <c r="I118" s="53"/>
      <c r="J118" s="58"/>
      <c r="K118" s="34"/>
      <c r="L118" s="53"/>
      <c r="M118" s="76"/>
      <c r="N118" s="59" t="str">
        <f ca="1">IF(AND(CELL("type",H118)="v",CELL("type",K118)="v")=TRUE,IF(H118+K118=0,"",H118+K118),IF(AND(CELL("type",H118)="v",CELL("type",K118)&lt;&gt;"v")=TRUE,H118,IF(AND(CELL("type",H118)&lt;&gt;"v",CELL("type",K118)="v")=TRUE,K118,"")))</f>
        <v/>
      </c>
      <c r="O118" s="4"/>
      <c r="P118" s="4"/>
    </row>
    <row r="119" spans="4:27" ht="12.75" hidden="1" customHeight="1" x14ac:dyDescent="0.25">
      <c r="D119" s="62"/>
      <c r="H119" s="57"/>
      <c r="I119" s="57"/>
      <c r="J119" s="57"/>
      <c r="K119" s="57"/>
      <c r="L119" s="57"/>
      <c r="M119" s="57"/>
      <c r="N119" s="57"/>
      <c r="O119" s="4"/>
      <c r="P119" s="4"/>
      <c r="Q119" s="55" t="s">
        <v>91</v>
      </c>
      <c r="R119" s="55"/>
      <c r="S119" s="55"/>
      <c r="T119" s="55"/>
      <c r="U119" s="55"/>
      <c r="V119" s="55"/>
      <c r="W119" s="55"/>
      <c r="X119" s="55"/>
      <c r="Y119" s="55"/>
      <c r="Z119" s="55"/>
      <c r="AA119" s="55"/>
    </row>
    <row r="120" spans="4:27" ht="12.75" hidden="1" customHeight="1" x14ac:dyDescent="0.25">
      <c r="D120" s="70" t="s">
        <v>92</v>
      </c>
      <c r="E120" s="2"/>
      <c r="F120" s="2"/>
      <c r="G120" s="2"/>
      <c r="H120" s="34"/>
      <c r="I120" s="53"/>
      <c r="J120" s="58"/>
      <c r="K120" s="34"/>
      <c r="L120" s="53"/>
      <c r="M120" s="76"/>
      <c r="N120" s="59" t="str">
        <f ca="1">IF(AND(CELL("type",H120)="v",CELL("type",K120)="v")=TRUE,IF(H120+K120=0,"",H120+K120),IF(AND(CELL("type",H120)="v",CELL("type",K120)&lt;&gt;"v")=TRUE,H120,IF(AND(CELL("type",H120)&lt;&gt;"v",CELL("type",K120)="v")=TRUE,K120,"")))</f>
        <v/>
      </c>
      <c r="O120" s="4"/>
      <c r="P120" s="4"/>
      <c r="Q120" s="55"/>
      <c r="R120" s="55"/>
      <c r="S120" s="55"/>
      <c r="T120" s="55"/>
      <c r="U120" s="55"/>
      <c r="V120" s="55"/>
      <c r="W120" s="55"/>
      <c r="X120" s="55"/>
      <c r="Y120" s="55"/>
      <c r="Z120" s="55"/>
      <c r="AA120" s="55"/>
    </row>
    <row r="121" spans="4:27" ht="12.75" hidden="1" customHeight="1" x14ac:dyDescent="0.25">
      <c r="D121" s="85"/>
      <c r="E121" s="86"/>
      <c r="F121" s="86"/>
      <c r="G121" s="86"/>
      <c r="H121" s="79"/>
      <c r="I121" s="79"/>
      <c r="J121" s="79"/>
      <c r="K121" s="79"/>
      <c r="L121" s="79"/>
      <c r="M121" s="57"/>
      <c r="N121" s="57"/>
      <c r="O121" s="4"/>
      <c r="P121" s="4"/>
      <c r="Q121" s="55" t="s">
        <v>93</v>
      </c>
      <c r="R121" s="55"/>
      <c r="S121" s="55"/>
      <c r="T121" s="55"/>
      <c r="U121" s="55"/>
      <c r="V121" s="55"/>
      <c r="W121" s="55"/>
      <c r="X121" s="55"/>
      <c r="Y121" s="55"/>
      <c r="Z121" s="55"/>
      <c r="AA121" s="55"/>
    </row>
    <row r="122" spans="4:27" ht="12.75" hidden="1" customHeight="1" x14ac:dyDescent="0.25">
      <c r="D122" s="44" t="s">
        <v>94</v>
      </c>
      <c r="E122" s="2"/>
      <c r="F122" s="2"/>
      <c r="G122" s="2"/>
      <c r="H122" s="34"/>
      <c r="I122" s="53"/>
      <c r="J122" s="58"/>
      <c r="K122" s="34"/>
      <c r="L122" s="53"/>
      <c r="M122" s="76"/>
      <c r="N122" s="59" t="str">
        <f ca="1">IF(AND(CELL("type",H122)="v",CELL("type",K122)="v")=TRUE,IF(H122+K122=0,"",H122+K122),IF(AND(CELL("type",H122)="v",CELL("type",K122)&lt;&gt;"v")=TRUE,H122,IF(AND(CELL("type",H122)&lt;&gt;"v",CELL("type",K122)="v")=TRUE,K122,"")))</f>
        <v/>
      </c>
      <c r="O122" s="4"/>
      <c r="P122" s="4"/>
      <c r="Q122" s="55"/>
      <c r="R122" s="55"/>
      <c r="S122" s="55"/>
      <c r="T122" s="55"/>
      <c r="U122" s="55"/>
      <c r="V122" s="55"/>
      <c r="W122" s="55"/>
      <c r="X122" s="55"/>
      <c r="Y122" s="55"/>
      <c r="Z122" s="55"/>
      <c r="AA122" s="55"/>
    </row>
    <row r="123" spans="4:27" ht="12.75" hidden="1" customHeight="1" x14ac:dyDescent="0.25">
      <c r="D123" s="62"/>
      <c r="H123" s="56"/>
      <c r="I123" s="56"/>
      <c r="J123" s="56"/>
      <c r="K123" s="56"/>
      <c r="L123" s="57"/>
      <c r="M123" s="57"/>
      <c r="N123" s="57"/>
      <c r="O123" s="4"/>
      <c r="P123" s="4"/>
    </row>
    <row r="124" spans="4:27" ht="12.75" hidden="1" customHeight="1" x14ac:dyDescent="0.25">
      <c r="D124" s="44" t="s">
        <v>95</v>
      </c>
      <c r="E124" s="2"/>
      <c r="F124" s="2"/>
      <c r="G124" s="2"/>
      <c r="H124" s="34"/>
      <c r="I124" s="53"/>
      <c r="J124" s="58"/>
      <c r="K124" s="34"/>
      <c r="L124" s="53"/>
      <c r="M124" s="76"/>
      <c r="N124" s="59" t="str">
        <f ca="1">IF(AND(CELL("type",H124)="v",CELL("type",K124)="v")=TRUE,IF(H124+K124=0,"",H124+K124),IF(AND(CELL("type",H124)="v",CELL("type",K124)&lt;&gt;"v")=TRUE,H124,IF(AND(CELL("type",H124)&lt;&gt;"v",CELL("type",K124)="v")=TRUE,K124,"")))</f>
        <v/>
      </c>
      <c r="O124" s="4"/>
      <c r="P124" s="4"/>
    </row>
    <row r="125" spans="4:27" ht="12.75" hidden="1" customHeight="1" x14ac:dyDescent="0.25">
      <c r="D125" s="85"/>
      <c r="E125" s="86"/>
      <c r="F125" s="86"/>
      <c r="G125" s="86"/>
      <c r="H125" s="79"/>
      <c r="I125" s="79"/>
      <c r="J125" s="79"/>
      <c r="K125" s="79"/>
      <c r="L125" s="79"/>
      <c r="M125" s="57"/>
      <c r="N125" s="57"/>
      <c r="O125" s="4"/>
      <c r="P125" s="4"/>
      <c r="Q125" s="55" t="s">
        <v>96</v>
      </c>
      <c r="R125" s="55"/>
      <c r="S125" s="55"/>
      <c r="T125" s="55"/>
      <c r="U125" s="55"/>
      <c r="V125" s="55"/>
      <c r="W125" s="55"/>
      <c r="X125" s="55"/>
      <c r="Y125" s="55"/>
      <c r="Z125" s="55"/>
      <c r="AA125" s="55"/>
    </row>
    <row r="126" spans="4:27" ht="12.75" hidden="1" customHeight="1" x14ac:dyDescent="0.25">
      <c r="D126" s="44" t="s">
        <v>97</v>
      </c>
      <c r="E126" s="2"/>
      <c r="F126" s="2"/>
      <c r="G126" s="2"/>
      <c r="H126" s="34"/>
      <c r="I126" s="53"/>
      <c r="J126" s="58"/>
      <c r="K126" s="34"/>
      <c r="L126" s="53"/>
      <c r="M126" s="76"/>
      <c r="N126" s="59" t="str">
        <f ca="1">IF(AND(CELL("type",H126)="v",CELL("type",K126)="v")=TRUE,IF(H126+K126=0,"",H126+K126),IF(AND(CELL("type",H126)="v",CELL("type",K126)&lt;&gt;"v")=TRUE,H126,IF(AND(CELL("type",H126)&lt;&gt;"v",CELL("type",K126)="v")=TRUE,K126,"")))</f>
        <v/>
      </c>
      <c r="O126" s="4"/>
      <c r="P126" s="4"/>
      <c r="Q126" s="55"/>
      <c r="R126" s="55"/>
      <c r="S126" s="55"/>
      <c r="T126" s="55"/>
      <c r="U126" s="55"/>
      <c r="V126" s="55"/>
      <c r="W126" s="55"/>
      <c r="X126" s="55"/>
      <c r="Y126" s="55"/>
      <c r="Z126" s="55"/>
      <c r="AA126" s="55"/>
    </row>
    <row r="127" spans="4:27" ht="12.75" hidden="1" customHeight="1" x14ac:dyDescent="0.25">
      <c r="D127" s="62"/>
      <c r="H127" s="56"/>
      <c r="I127" s="56"/>
      <c r="J127" s="56"/>
      <c r="K127" s="56"/>
      <c r="L127" s="57"/>
      <c r="M127" s="57"/>
      <c r="N127" s="57"/>
      <c r="O127" s="4"/>
      <c r="P127" s="4"/>
      <c r="Q127" s="55" t="s">
        <v>98</v>
      </c>
      <c r="R127" s="55"/>
      <c r="S127" s="55"/>
      <c r="T127" s="55"/>
      <c r="U127" s="55"/>
      <c r="V127" s="55"/>
      <c r="W127" s="55"/>
      <c r="X127" s="55"/>
      <c r="Y127" s="55"/>
      <c r="Z127" s="55"/>
      <c r="AA127" s="55"/>
    </row>
    <row r="128" spans="4:27" ht="12.75" hidden="1" customHeight="1" x14ac:dyDescent="0.25">
      <c r="D128" s="44" t="s">
        <v>99</v>
      </c>
      <c r="E128" s="2"/>
      <c r="F128" s="2"/>
      <c r="G128" s="2"/>
      <c r="H128" s="34"/>
      <c r="I128" s="53"/>
      <c r="J128" s="58"/>
      <c r="K128" s="34"/>
      <c r="L128" s="53"/>
      <c r="M128" s="76"/>
      <c r="N128" s="59" t="str">
        <f ca="1">IF(AND(CELL("type",H128)="v",CELL("type",K128)="v")=TRUE,IF(H128+K128=0,"",H128+K128),IF(AND(CELL("type",H128)="v",CELL("type",K128)&lt;&gt;"v")=TRUE,H128,IF(AND(CELL("type",H128)&lt;&gt;"v",CELL("type",K128)="v")=TRUE,K128,"")))</f>
        <v/>
      </c>
      <c r="O128" s="4"/>
      <c r="P128" s="4"/>
      <c r="Q128" s="55"/>
      <c r="R128" s="55"/>
      <c r="S128" s="55"/>
      <c r="T128" s="55"/>
      <c r="U128" s="55"/>
      <c r="V128" s="55"/>
      <c r="W128" s="55"/>
      <c r="X128" s="55"/>
      <c r="Y128" s="55"/>
      <c r="Z128" s="55"/>
      <c r="AA128" s="55"/>
    </row>
    <row r="129" spans="4:30" ht="12.75" hidden="1" customHeight="1" x14ac:dyDescent="0.25">
      <c r="D129" s="62"/>
      <c r="H129" s="56"/>
      <c r="I129" s="56"/>
      <c r="J129" s="56"/>
      <c r="K129" s="56"/>
      <c r="L129" s="57"/>
      <c r="M129" s="57"/>
      <c r="N129" s="57"/>
      <c r="O129" s="4"/>
      <c r="P129" s="4"/>
      <c r="Q129" s="55" t="s">
        <v>85</v>
      </c>
      <c r="R129" s="55"/>
      <c r="S129" s="55"/>
      <c r="T129" s="55"/>
      <c r="U129" s="55"/>
      <c r="V129" s="55"/>
      <c r="W129" s="55"/>
      <c r="X129" s="55"/>
      <c r="Y129" s="55"/>
      <c r="Z129" s="55"/>
      <c r="AA129" s="55"/>
    </row>
    <row r="130" spans="4:30" ht="12.75" hidden="1" customHeight="1" x14ac:dyDescent="0.25">
      <c r="D130" s="44" t="s">
        <v>100</v>
      </c>
      <c r="E130" s="2"/>
      <c r="F130" s="2"/>
      <c r="G130" s="2"/>
      <c r="H130" s="34"/>
      <c r="I130" s="53"/>
      <c r="J130" s="58"/>
      <c r="K130" s="34"/>
      <c r="L130" s="53"/>
      <c r="M130" s="76"/>
      <c r="N130" s="59" t="str">
        <f ca="1">IF(AND(CELL("type",H130)="v",CELL("type",K130)="v")=TRUE,IF(H130+K130=0,"",H130+K130),IF(AND(CELL("type",H130)="v",CELL("type",K130)&lt;&gt;"v")=TRUE,H130,IF(AND(CELL("type",H130)&lt;&gt;"v",CELL("type",K130)="v")=TRUE,K130,"")))</f>
        <v/>
      </c>
      <c r="O130" s="4"/>
      <c r="P130" s="4"/>
      <c r="Q130" s="55"/>
      <c r="R130" s="55"/>
      <c r="S130" s="55"/>
      <c r="T130" s="55"/>
      <c r="U130" s="55"/>
      <c r="V130" s="55"/>
      <c r="W130" s="55"/>
      <c r="X130" s="55"/>
      <c r="Y130" s="55"/>
      <c r="Z130" s="55"/>
      <c r="AA130" s="55"/>
    </row>
    <row r="131" spans="4:30" ht="12.75" hidden="1" customHeight="1" x14ac:dyDescent="0.25">
      <c r="D131" s="62"/>
      <c r="H131" s="56"/>
      <c r="I131" s="56"/>
      <c r="J131" s="56"/>
      <c r="K131" s="56"/>
      <c r="L131" s="57"/>
      <c r="M131" s="57"/>
      <c r="N131" s="57"/>
      <c r="O131" s="4"/>
      <c r="P131" s="4"/>
      <c r="Q131" s="55" t="s">
        <v>101</v>
      </c>
      <c r="R131" s="55"/>
      <c r="S131" s="55"/>
      <c r="T131" s="55"/>
      <c r="U131" s="55"/>
      <c r="V131" s="55"/>
      <c r="W131" s="55"/>
      <c r="X131" s="55"/>
      <c r="Y131" s="55"/>
      <c r="Z131" s="55"/>
      <c r="AA131" s="55"/>
      <c r="AB131" s="87"/>
      <c r="AC131" s="87"/>
      <c r="AD131" s="87"/>
    </row>
    <row r="132" spans="4:30" ht="12.75" hidden="1" customHeight="1" x14ac:dyDescent="0.25">
      <c r="D132" s="44" t="s">
        <v>102</v>
      </c>
      <c r="E132" s="2"/>
      <c r="F132" s="2"/>
      <c r="G132" s="2"/>
      <c r="H132" s="34"/>
      <c r="I132" s="53"/>
      <c r="J132" s="58"/>
      <c r="K132" s="34"/>
      <c r="L132" s="53"/>
      <c r="M132" s="76"/>
      <c r="N132" s="59" t="str">
        <f ca="1">IF(AND(CELL("type",H132)="v",CELL("type",K132)="v")=TRUE,IF(H132+K132=0,"",H132+K132),IF(AND(CELL("type",H132)="v",CELL("type",K132)&lt;&gt;"v")=TRUE,H132,IF(AND(CELL("type",H132)&lt;&gt;"v",CELL("type",K132)="v")=TRUE,K132,"")))</f>
        <v/>
      </c>
      <c r="O132" s="4"/>
      <c r="P132" s="4"/>
      <c r="Q132" s="55"/>
      <c r="R132" s="55"/>
      <c r="S132" s="55"/>
      <c r="T132" s="55"/>
      <c r="U132" s="55"/>
      <c r="V132" s="55"/>
      <c r="W132" s="55"/>
      <c r="X132" s="55"/>
      <c r="Y132" s="55"/>
      <c r="Z132" s="55"/>
      <c r="AA132" s="55"/>
      <c r="AB132" s="87"/>
      <c r="AC132" s="87"/>
      <c r="AD132" s="87"/>
    </row>
    <row r="133" spans="4:30" ht="12.75" hidden="1" customHeight="1" x14ac:dyDescent="0.25">
      <c r="D133" s="62"/>
      <c r="H133" s="56"/>
      <c r="I133" s="56"/>
      <c r="J133" s="56"/>
      <c r="K133" s="56"/>
      <c r="L133" s="57"/>
      <c r="M133" s="57"/>
      <c r="N133" s="57"/>
      <c r="O133" s="4"/>
      <c r="P133" s="4"/>
      <c r="Q133" s="88" t="s">
        <v>103</v>
      </c>
      <c r="R133" s="88"/>
      <c r="S133" s="88"/>
      <c r="T133" s="88"/>
      <c r="U133" s="88"/>
      <c r="V133" s="88"/>
      <c r="W133" s="88"/>
      <c r="X133" s="88"/>
      <c r="Y133" s="88"/>
      <c r="Z133" s="88"/>
      <c r="AA133" s="88"/>
      <c r="AB133" s="88"/>
      <c r="AC133" s="88"/>
      <c r="AD133" s="88"/>
    </row>
    <row r="134" spans="4:30" ht="12.75" hidden="1" customHeight="1" x14ac:dyDescent="0.25">
      <c r="D134" s="44" t="s">
        <v>104</v>
      </c>
      <c r="E134" s="2"/>
      <c r="F134" s="2"/>
      <c r="G134" s="2"/>
      <c r="H134" s="34"/>
      <c r="I134" s="53"/>
      <c r="J134" s="58"/>
      <c r="K134" s="34"/>
      <c r="L134" s="53"/>
      <c r="M134" s="76"/>
      <c r="N134" s="59" t="str">
        <f ca="1">IF(AND(CELL("type",H134)="v",CELL("type",K134)="v")=TRUE,IF(H134+K134=0,"",H134+K134),IF(AND(CELL("type",H134)="v",CELL("type",K134)&lt;&gt;"v")=TRUE,H134,IF(AND(CELL("type",H134)&lt;&gt;"v",CELL("type",K134)="v")=TRUE,K134,"")))</f>
        <v/>
      </c>
      <c r="O134" s="4"/>
      <c r="P134" s="4"/>
      <c r="Q134" s="88"/>
      <c r="R134" s="88"/>
      <c r="S134" s="88"/>
      <c r="T134" s="88"/>
      <c r="U134" s="88"/>
      <c r="V134" s="88"/>
      <c r="W134" s="88"/>
      <c r="X134" s="88"/>
      <c r="Y134" s="88"/>
      <c r="Z134" s="88"/>
      <c r="AA134" s="88"/>
      <c r="AB134" s="88"/>
      <c r="AC134" s="88"/>
      <c r="AD134" s="88"/>
    </row>
    <row r="135" spans="4:30" ht="12.75" hidden="1" customHeight="1" x14ac:dyDescent="0.25">
      <c r="D135" s="62"/>
      <c r="H135" s="56"/>
      <c r="I135" s="56"/>
      <c r="J135" s="56"/>
      <c r="K135" s="56"/>
      <c r="L135" s="57"/>
      <c r="M135" s="57"/>
      <c r="N135" s="57"/>
      <c r="O135" s="4"/>
      <c r="P135" s="4"/>
      <c r="Q135" s="55" t="s">
        <v>105</v>
      </c>
      <c r="R135" s="55"/>
      <c r="S135" s="55"/>
      <c r="T135" s="55"/>
      <c r="U135" s="55"/>
      <c r="V135" s="55"/>
      <c r="W135" s="55"/>
      <c r="X135" s="55"/>
      <c r="Y135" s="55"/>
      <c r="Z135" s="55"/>
      <c r="AA135" s="55"/>
      <c r="AB135" s="87"/>
      <c r="AC135" s="87"/>
      <c r="AD135" s="87"/>
    </row>
    <row r="136" spans="4:30" ht="12.75" hidden="1" customHeight="1" x14ac:dyDescent="0.25">
      <c r="D136" s="44" t="s">
        <v>106</v>
      </c>
      <c r="E136" s="2"/>
      <c r="F136" s="2"/>
      <c r="G136" s="2"/>
      <c r="H136" s="34"/>
      <c r="I136" s="53"/>
      <c r="J136" s="58"/>
      <c r="K136" s="34"/>
      <c r="L136" s="53"/>
      <c r="M136" s="76"/>
      <c r="N136" s="59" t="str">
        <f ca="1">IF(AND(CELL("type",H136)="v",CELL("type",K136)="v")=TRUE,IF(H136+K136=0,"",H136+K136),IF(AND(CELL("type",H136)="v",CELL("type",K136)&lt;&gt;"v")=TRUE,H136,IF(AND(CELL("type",H136)&lt;&gt;"v",CELL("type",K136)="v")=TRUE,K136,"")))</f>
        <v/>
      </c>
      <c r="O136" s="4"/>
      <c r="P136" s="4"/>
      <c r="Q136" s="55"/>
      <c r="R136" s="55"/>
      <c r="S136" s="55"/>
      <c r="T136" s="55"/>
      <c r="U136" s="55"/>
      <c r="V136" s="55"/>
      <c r="W136" s="55"/>
      <c r="X136" s="55"/>
      <c r="Y136" s="55"/>
      <c r="Z136" s="55"/>
      <c r="AA136" s="55"/>
      <c r="AB136" s="87"/>
      <c r="AC136" s="87"/>
      <c r="AD136" s="87"/>
    </row>
    <row r="137" spans="4:30" ht="12.75" hidden="1" customHeight="1" x14ac:dyDescent="0.25">
      <c r="D137" s="62"/>
      <c r="H137" s="56"/>
      <c r="I137" s="56"/>
      <c r="J137" s="56"/>
      <c r="K137" s="56"/>
      <c r="L137" s="57"/>
      <c r="M137" s="57"/>
      <c r="N137" s="57"/>
      <c r="O137" s="4"/>
      <c r="P137" s="4"/>
      <c r="Q137" s="55" t="s">
        <v>107</v>
      </c>
      <c r="R137" s="55"/>
      <c r="S137" s="55"/>
      <c r="T137" s="55"/>
      <c r="U137" s="55"/>
      <c r="V137" s="55"/>
      <c r="W137" s="55"/>
      <c r="X137" s="55"/>
      <c r="Y137" s="55"/>
      <c r="Z137" s="55"/>
      <c r="AA137" s="55"/>
      <c r="AB137" s="89"/>
      <c r="AC137" s="89"/>
      <c r="AD137" s="89"/>
    </row>
    <row r="138" spans="4:30" x14ac:dyDescent="0.25">
      <c r="D138" s="62" t="s">
        <v>108</v>
      </c>
      <c r="G138" s="33" t="s">
        <v>37</v>
      </c>
      <c r="H138" s="34"/>
      <c r="I138" s="53"/>
      <c r="J138" s="33" t="s">
        <v>37</v>
      </c>
      <c r="K138" s="34"/>
      <c r="L138" s="53"/>
      <c r="M138" s="33" t="s">
        <v>37</v>
      </c>
      <c r="N138" s="34"/>
      <c r="O138" s="4"/>
      <c r="P138" s="4"/>
      <c r="Q138" s="55"/>
      <c r="R138" s="55"/>
      <c r="S138" s="55"/>
      <c r="T138" s="55"/>
      <c r="U138" s="55"/>
      <c r="V138" s="55"/>
      <c r="W138" s="55"/>
      <c r="X138" s="55"/>
      <c r="Y138" s="55"/>
      <c r="Z138" s="55"/>
      <c r="AA138" s="55"/>
      <c r="AB138" s="87"/>
      <c r="AC138" s="87"/>
      <c r="AD138" s="87"/>
    </row>
    <row r="139" spans="4:30" ht="12.75" hidden="1" customHeight="1" x14ac:dyDescent="0.25">
      <c r="D139" s="62"/>
      <c r="H139" s="56"/>
      <c r="I139" s="56"/>
      <c r="J139" s="56"/>
      <c r="K139" s="56"/>
      <c r="L139" s="57"/>
      <c r="M139" s="57"/>
      <c r="N139" s="57"/>
      <c r="O139" s="4"/>
      <c r="P139" s="4"/>
      <c r="Q139" s="55" t="s">
        <v>109</v>
      </c>
      <c r="R139" s="55"/>
      <c r="S139" s="55"/>
      <c r="T139" s="55"/>
      <c r="U139" s="55"/>
      <c r="V139" s="55"/>
      <c r="W139" s="55"/>
      <c r="X139" s="55"/>
      <c r="Y139" s="55"/>
      <c r="Z139" s="55"/>
      <c r="AA139" s="55"/>
    </row>
    <row r="140" spans="4:30" ht="12.75" hidden="1" customHeight="1" x14ac:dyDescent="0.25">
      <c r="D140" s="44" t="s">
        <v>110</v>
      </c>
      <c r="E140" s="2"/>
      <c r="F140" s="2"/>
      <c r="G140" s="2"/>
      <c r="H140" s="34"/>
      <c r="I140" s="53"/>
      <c r="J140" s="58"/>
      <c r="K140" s="34"/>
      <c r="L140" s="53"/>
      <c r="M140" s="76"/>
      <c r="N140" s="59" t="str">
        <f ca="1">IF(AND(CELL("type",H140)="v",CELL("type",K140)="v")=TRUE,IF(H140+K140=0,"",H140+K140),IF(AND(CELL("type",H140)="v",CELL("type",K140)&lt;&gt;"v")=TRUE,H140,IF(AND(CELL("type",H140)&lt;&gt;"v",CELL("type",K140)="v")=TRUE,K140,"")))</f>
        <v/>
      </c>
      <c r="O140" s="4"/>
      <c r="P140" s="4"/>
      <c r="Q140" s="55"/>
      <c r="R140" s="55"/>
      <c r="S140" s="55"/>
      <c r="T140" s="55"/>
      <c r="U140" s="55"/>
      <c r="V140" s="55"/>
      <c r="W140" s="55"/>
      <c r="X140" s="55"/>
      <c r="Y140" s="55"/>
      <c r="Z140" s="55"/>
      <c r="AA140" s="55"/>
    </row>
    <row r="141" spans="4:30" ht="12.75" hidden="1" customHeight="1" x14ac:dyDescent="0.25">
      <c r="D141" s="62"/>
      <c r="H141" s="56"/>
      <c r="I141" s="56"/>
      <c r="J141" s="56"/>
      <c r="K141" s="56"/>
      <c r="L141" s="57"/>
      <c r="M141" s="57"/>
      <c r="N141" s="57"/>
      <c r="O141" s="4"/>
      <c r="P141" s="4"/>
    </row>
    <row r="142" spans="4:30" ht="12.75" hidden="1" customHeight="1" x14ac:dyDescent="0.25">
      <c r="D142" s="44" t="s">
        <v>111</v>
      </c>
      <c r="E142" s="2"/>
      <c r="F142" s="2"/>
      <c r="G142" s="2"/>
      <c r="H142" s="34"/>
      <c r="I142" s="53"/>
      <c r="J142" s="58"/>
      <c r="K142" s="34"/>
      <c r="L142" s="53"/>
      <c r="M142" s="76"/>
      <c r="N142" s="59" t="str">
        <f ca="1">IF(AND(CELL("type",H142)="v",CELL("type",K142)="v")=TRUE,IF(H142+K142=0,"",H142+K142),IF(AND(CELL("type",H142)="v",CELL("type",K142)&lt;&gt;"v")=TRUE,H142,IF(AND(CELL("type",H142)&lt;&gt;"v",CELL("type",K142)="v")=TRUE,K142,"")))</f>
        <v/>
      </c>
      <c r="O142" s="4"/>
      <c r="P142" s="4"/>
    </row>
    <row r="143" spans="4:30" ht="12.75" hidden="1" customHeight="1" x14ac:dyDescent="0.25">
      <c r="D143" s="62"/>
      <c r="H143" s="56"/>
      <c r="I143" s="56"/>
      <c r="J143" s="56"/>
      <c r="K143" s="56"/>
      <c r="L143" s="57"/>
      <c r="M143" s="57"/>
      <c r="N143" s="57"/>
      <c r="O143" s="4"/>
      <c r="P143" s="4"/>
      <c r="Q143" s="55" t="s">
        <v>112</v>
      </c>
      <c r="R143" s="55"/>
      <c r="S143" s="55"/>
      <c r="T143" s="55"/>
      <c r="U143" s="55"/>
      <c r="V143" s="55"/>
      <c r="W143" s="55"/>
      <c r="X143" s="55"/>
      <c r="Y143" s="55"/>
      <c r="Z143" s="55"/>
      <c r="AA143" s="55"/>
    </row>
    <row r="144" spans="4:30" ht="12.75" hidden="1" customHeight="1" x14ac:dyDescent="0.25">
      <c r="D144" s="70" t="s">
        <v>53</v>
      </c>
      <c r="E144" s="2"/>
      <c r="F144" s="2"/>
      <c r="G144" s="2"/>
      <c r="H144" s="34"/>
      <c r="I144" s="53"/>
      <c r="J144" s="58"/>
      <c r="K144" s="34"/>
      <c r="L144" s="53"/>
      <c r="M144" s="76"/>
      <c r="N144" s="59" t="str">
        <f ca="1">IF(AND(CELL("type",H144)="v",CELL("type",K144)="v")=TRUE,IF(H144+K144=0,"",H144+K144),IF(AND(CELL("type",H144)="v",CELL("type",K144)&lt;&gt;"v")=TRUE,H144,IF(AND(CELL("type",H144)&lt;&gt;"v",CELL("type",K144)="v")=TRUE,K144,"")))</f>
        <v/>
      </c>
      <c r="O144" s="4"/>
      <c r="P144" s="4"/>
      <c r="Q144" s="55"/>
      <c r="R144" s="55"/>
      <c r="S144" s="55"/>
      <c r="T144" s="55"/>
      <c r="U144" s="55"/>
      <c r="V144" s="55"/>
      <c r="W144" s="55"/>
      <c r="X144" s="55"/>
      <c r="Y144" s="55"/>
      <c r="Z144" s="55"/>
      <c r="AA144" s="55"/>
    </row>
    <row r="145" spans="1:23" ht="12.75" customHeight="1" x14ac:dyDescent="0.25">
      <c r="H145" s="57"/>
      <c r="I145" s="57"/>
      <c r="J145" s="57"/>
      <c r="K145" s="57"/>
      <c r="L145" s="57"/>
      <c r="M145" s="57"/>
      <c r="N145" s="57"/>
      <c r="O145" s="4"/>
      <c r="P145" s="4"/>
      <c r="S145" s="27"/>
      <c r="T145" s="27"/>
      <c r="U145" s="27"/>
      <c r="V145" s="27"/>
      <c r="W145" s="29"/>
    </row>
    <row r="146" spans="1:23" ht="13" thickBot="1" x14ac:dyDescent="0.3">
      <c r="B146" s="33" t="s">
        <v>113</v>
      </c>
      <c r="C146" s="61" t="s">
        <v>114</v>
      </c>
      <c r="D146" s="2"/>
      <c r="E146" s="2"/>
      <c r="F146" s="2"/>
      <c r="H146" s="57"/>
      <c r="I146" s="57"/>
      <c r="J146" s="57"/>
      <c r="K146" s="57"/>
      <c r="L146" s="57"/>
      <c r="M146" s="57"/>
      <c r="N146" s="57"/>
      <c r="O146" s="4"/>
      <c r="P146" s="4"/>
      <c r="Q146" s="310" t="s">
        <v>115</v>
      </c>
      <c r="R146" s="310"/>
      <c r="S146" s="64" t="s">
        <v>32</v>
      </c>
      <c r="T146" s="64"/>
      <c r="U146" s="64" t="s">
        <v>33</v>
      </c>
      <c r="V146" s="64"/>
      <c r="W146" s="64" t="s">
        <v>34</v>
      </c>
    </row>
    <row r="147" spans="1:23" ht="12.75" customHeight="1" x14ac:dyDescent="0.25">
      <c r="D147" s="61" t="s">
        <v>116</v>
      </c>
      <c r="G147" s="33" t="s">
        <v>37</v>
      </c>
      <c r="H147" s="67"/>
      <c r="I147" s="53"/>
      <c r="J147" s="33" t="s">
        <v>37</v>
      </c>
      <c r="K147" s="67"/>
      <c r="L147" s="53"/>
      <c r="M147" s="33" t="s">
        <v>37</v>
      </c>
      <c r="N147" s="67"/>
      <c r="O147" s="4"/>
      <c r="P147" s="4"/>
      <c r="Q147" s="311" t="s">
        <v>117</v>
      </c>
      <c r="R147" s="311"/>
      <c r="S147" s="65">
        <v>0.05</v>
      </c>
      <c r="T147" s="90"/>
      <c r="U147" s="65">
        <v>0.05</v>
      </c>
      <c r="V147" s="68"/>
      <c r="W147" s="65">
        <v>0.05</v>
      </c>
    </row>
    <row r="148" spans="1:23" ht="12.75" customHeight="1" x14ac:dyDescent="0.25">
      <c r="H148" s="57"/>
      <c r="I148" s="57"/>
      <c r="J148" s="57"/>
      <c r="K148" s="57"/>
      <c r="L148" s="57"/>
      <c r="M148" s="57"/>
      <c r="N148" s="57"/>
      <c r="O148" s="4"/>
      <c r="P148" s="4"/>
      <c r="Q148" s="312" t="s">
        <v>118</v>
      </c>
      <c r="R148" s="312"/>
      <c r="S148" s="66">
        <f>IF(ISERROR(N(H147)*N(S147)),0,N(H147)*N(S147))</f>
        <v>0</v>
      </c>
      <c r="T148" s="91"/>
      <c r="U148" s="66">
        <f>IF(ISERROR(N(K147)*N(U147)),0,N(K147)*N(U147))</f>
        <v>0</v>
      </c>
      <c r="V148" s="66"/>
      <c r="W148" s="66">
        <f>IF(ISERROR(N(N147)*N(W147)),0,N(N147)*N(W147))</f>
        <v>0</v>
      </c>
    </row>
    <row r="149" spans="1:23" ht="12.75" customHeight="1" x14ac:dyDescent="0.3">
      <c r="B149" s="92" t="s">
        <v>119</v>
      </c>
      <c r="C149" s="73" t="s">
        <v>120</v>
      </c>
      <c r="G149" s="33" t="s">
        <v>37</v>
      </c>
      <c r="H149" s="34"/>
      <c r="I149" s="53"/>
      <c r="J149" s="54" t="s">
        <v>37</v>
      </c>
      <c r="K149" s="34"/>
      <c r="L149" s="53"/>
      <c r="M149" s="54" t="s">
        <v>37</v>
      </c>
      <c r="N149" s="34"/>
      <c r="O149" s="4"/>
      <c r="P149" s="21" t="str">
        <f>IF(OR(S149="No",U149="No",W149="No"),"**","")</f>
        <v/>
      </c>
      <c r="Q149" s="329" t="s">
        <v>61</v>
      </c>
      <c r="R149" s="329"/>
      <c r="S149" s="68" t="str">
        <f>IF(N(N149)&lt;=S148,"Yes","No")</f>
        <v>Yes</v>
      </c>
      <c r="U149" s="68" t="str">
        <f>IF(N(K149)&lt;=U148,"Yes","No")</f>
        <v>Yes</v>
      </c>
      <c r="V149" s="68"/>
      <c r="W149" s="68" t="str">
        <f>IF(N(N149)&lt;=W148,"Yes","No")</f>
        <v>Yes</v>
      </c>
    </row>
    <row r="150" spans="1:23" ht="12.75" customHeight="1" thickBot="1" x14ac:dyDescent="0.3"/>
    <row r="151" spans="1:23" ht="3.75" hidden="1" customHeight="1" thickBot="1" x14ac:dyDescent="0.35">
      <c r="Q151" s="69"/>
    </row>
    <row r="152" spans="1:23" ht="3.75" customHeight="1" x14ac:dyDescent="0.25">
      <c r="A152" s="1"/>
      <c r="B152" s="1"/>
      <c r="C152" s="1"/>
      <c r="D152" s="1"/>
      <c r="E152" s="1"/>
      <c r="F152" s="1"/>
      <c r="G152" s="1"/>
      <c r="H152" s="1"/>
      <c r="I152" s="1"/>
      <c r="J152" s="1"/>
      <c r="K152" s="1"/>
      <c r="L152" s="1"/>
      <c r="M152" s="1"/>
      <c r="N152" s="1"/>
      <c r="O152" s="1"/>
      <c r="P152" s="1"/>
    </row>
    <row r="153" spans="1:23" ht="13" x14ac:dyDescent="0.3">
      <c r="B153" s="6" t="str">
        <f>B$2</f>
        <v>RFA 2021-211 DEVELOPMENT COST PRO FORMA</v>
      </c>
      <c r="H153" s="2"/>
      <c r="I153" s="2"/>
      <c r="J153" s="2"/>
      <c r="K153" s="2"/>
      <c r="O153" s="4"/>
      <c r="P153" s="5" t="s">
        <v>479</v>
      </c>
    </row>
    <row r="154" spans="1:23" ht="5.25" customHeight="1" x14ac:dyDescent="0.25">
      <c r="H154" s="27"/>
      <c r="I154" s="2"/>
      <c r="J154" s="2"/>
      <c r="K154" s="27"/>
      <c r="L154" s="2"/>
      <c r="M154" s="28"/>
      <c r="N154" s="27"/>
      <c r="O154" s="4"/>
      <c r="P154" s="4"/>
    </row>
    <row r="155" spans="1:23" ht="20" customHeight="1" x14ac:dyDescent="0.25">
      <c r="H155" s="30" t="str">
        <f>H$40</f>
        <v>Original Application</v>
      </c>
      <c r="I155" s="27"/>
      <c r="J155" s="27"/>
      <c r="K155" s="30" t="str">
        <f>K$40</f>
        <v>Approved CUR</v>
      </c>
      <c r="L155" s="93"/>
      <c r="M155" s="94"/>
      <c r="N155" s="30" t="str">
        <f>N$40</f>
        <v>Current Application</v>
      </c>
      <c r="O155" s="4"/>
      <c r="P155" s="4"/>
    </row>
    <row r="156" spans="1:23" ht="13" hidden="1" x14ac:dyDescent="0.3">
      <c r="C156" s="45" t="s">
        <v>121</v>
      </c>
      <c r="O156" s="4"/>
      <c r="P156" s="4"/>
    </row>
    <row r="157" spans="1:23" ht="13" hidden="1" x14ac:dyDescent="0.3">
      <c r="C157" s="45"/>
      <c r="D157" s="62" t="s">
        <v>122</v>
      </c>
      <c r="E157" s="62"/>
      <c r="O157" s="4"/>
      <c r="P157" s="4"/>
    </row>
    <row r="158" spans="1:23" ht="13" hidden="1" x14ac:dyDescent="0.3">
      <c r="C158" s="45"/>
      <c r="D158" s="62"/>
      <c r="E158" s="62" t="s">
        <v>123</v>
      </c>
      <c r="H158" s="43"/>
      <c r="I158" s="48"/>
      <c r="J158" s="49"/>
      <c r="K158" s="43"/>
      <c r="L158" s="48"/>
      <c r="M158" s="50"/>
      <c r="N158" s="51" t="str">
        <f ca="1">IF(AND(CELL("type",H158)="v",CELL("type",K158)="v")=TRUE,IF(H158+K158=0,"",H158+K158),IF(AND(CELL("type",H158)="v",CELL("type",K158)&lt;&gt;"v")=TRUE,H158,IF(AND(CELL("type",H158)&lt;&gt;"v",CELL("type",K158)="v")=TRUE,K158,"")))</f>
        <v/>
      </c>
      <c r="O158" s="4"/>
      <c r="P158" s="4"/>
    </row>
    <row r="159" spans="1:23" ht="13" hidden="1" x14ac:dyDescent="0.3">
      <c r="C159" s="45"/>
      <c r="D159" s="62"/>
      <c r="E159" s="62"/>
      <c r="H159" s="52"/>
      <c r="I159" s="52"/>
      <c r="J159" s="52"/>
      <c r="K159" s="52"/>
      <c r="L159" s="52"/>
      <c r="M159" s="52"/>
      <c r="N159" s="52"/>
      <c r="O159" s="4"/>
      <c r="P159" s="4"/>
    </row>
    <row r="160" spans="1:23" hidden="1" x14ac:dyDescent="0.25">
      <c r="D160" s="62" t="s">
        <v>124</v>
      </c>
      <c r="E160" s="62"/>
      <c r="H160" s="52"/>
      <c r="I160" s="52"/>
      <c r="J160" s="52"/>
      <c r="K160" s="52"/>
      <c r="L160" s="52"/>
      <c r="M160" s="52"/>
      <c r="N160" s="52"/>
      <c r="O160" s="4"/>
      <c r="P160" s="4"/>
    </row>
    <row r="161" spans="4:27" hidden="1" x14ac:dyDescent="0.25">
      <c r="D161" s="62"/>
      <c r="E161" s="62" t="s">
        <v>125</v>
      </c>
      <c r="H161" s="43"/>
      <c r="I161" s="48"/>
      <c r="J161" s="49"/>
      <c r="K161" s="43"/>
      <c r="L161" s="48"/>
      <c r="M161" s="50"/>
      <c r="N161" s="51" t="str">
        <f ca="1">IF(AND(CELL("type",H161)="v",CELL("type",K161)="v")=TRUE,IF(H161+K161=0,"",H161+K161),IF(AND(CELL("type",H161)="v",CELL("type",K161)&lt;&gt;"v")=TRUE,H161,IF(AND(CELL("type",H161)&lt;&gt;"v",CELL("type",K161)="v")=TRUE,K161,"")))</f>
        <v/>
      </c>
      <c r="O161" s="4"/>
      <c r="P161" s="4"/>
    </row>
    <row r="162" spans="4:27" hidden="1" x14ac:dyDescent="0.25">
      <c r="D162" s="62"/>
      <c r="E162" s="62"/>
      <c r="H162" s="52"/>
      <c r="I162" s="52"/>
      <c r="J162" s="52"/>
      <c r="K162" s="52"/>
      <c r="L162" s="52"/>
      <c r="M162" s="52"/>
      <c r="N162" s="52"/>
      <c r="O162" s="4"/>
      <c r="P162" s="4"/>
    </row>
    <row r="163" spans="4:27" hidden="1" x14ac:dyDescent="0.25">
      <c r="D163" s="62" t="s">
        <v>126</v>
      </c>
      <c r="E163" s="62"/>
      <c r="H163" s="43"/>
      <c r="I163" s="48"/>
      <c r="J163" s="49"/>
      <c r="K163" s="43"/>
      <c r="L163" s="48"/>
      <c r="M163" s="50"/>
      <c r="N163" s="51" t="str">
        <f ca="1">IF(AND(CELL("type",H163)="v",CELL("type",K163)="v")=TRUE,IF(H163+K163=0,"",H163+K163),IF(AND(CELL("type",H163)="v",CELL("type",K163)&lt;&gt;"v")=TRUE,H163,IF(AND(CELL("type",H163)&lt;&gt;"v",CELL("type",K163)="v")=TRUE,K163,"")))</f>
        <v/>
      </c>
      <c r="O163" s="4"/>
      <c r="P163" s="4"/>
    </row>
    <row r="164" spans="4:27" hidden="1" x14ac:dyDescent="0.25">
      <c r="D164" s="62"/>
      <c r="E164" s="62"/>
      <c r="H164" s="52"/>
      <c r="I164" s="52"/>
      <c r="J164" s="52"/>
      <c r="K164" s="52"/>
      <c r="L164" s="52"/>
      <c r="M164" s="52"/>
      <c r="O164" s="4"/>
      <c r="P164" s="4"/>
    </row>
    <row r="165" spans="4:27" hidden="1" x14ac:dyDescent="0.25">
      <c r="D165" s="62" t="s">
        <v>127</v>
      </c>
      <c r="E165" s="62"/>
      <c r="H165" s="52"/>
      <c r="I165" s="52"/>
      <c r="J165" s="52"/>
      <c r="K165" s="52"/>
      <c r="L165" s="52"/>
      <c r="M165" s="52"/>
      <c r="N165" s="52"/>
      <c r="O165" s="4"/>
      <c r="P165" s="4"/>
    </row>
    <row r="166" spans="4:27" ht="12.75" hidden="1" customHeight="1" x14ac:dyDescent="0.25">
      <c r="D166" s="62"/>
      <c r="E166" s="62" t="s">
        <v>128</v>
      </c>
      <c r="H166" s="43"/>
      <c r="I166" s="48"/>
      <c r="J166" s="49"/>
      <c r="K166" s="43"/>
      <c r="L166" s="48"/>
      <c r="M166" s="50"/>
      <c r="N166" s="51" t="str">
        <f ca="1">IF(AND(CELL("type",H166)="v",CELL("type",K166)="v")=TRUE,IF(H166+K166=0,"",H166+K166),IF(AND(CELL("type",H166)="v",CELL("type",K166)&lt;&gt;"v")=TRUE,H166,IF(AND(CELL("type",H166)&lt;&gt;"v",CELL("type",K166)="v")=TRUE,K166,"")))</f>
        <v/>
      </c>
      <c r="O166" s="4"/>
      <c r="P166" s="4"/>
      <c r="Q166" s="330" t="s">
        <v>129</v>
      </c>
      <c r="R166" s="330"/>
      <c r="S166" s="330"/>
      <c r="T166" s="330"/>
      <c r="U166" s="330"/>
      <c r="V166" s="330"/>
      <c r="W166" s="330"/>
      <c r="X166" s="330"/>
      <c r="Y166" s="330"/>
      <c r="Z166" s="330"/>
      <c r="AA166" s="330"/>
    </row>
    <row r="167" spans="4:27" hidden="1" x14ac:dyDescent="0.25">
      <c r="D167" s="62"/>
      <c r="E167" s="62"/>
      <c r="H167" s="52"/>
      <c r="I167" s="52"/>
      <c r="J167" s="52"/>
      <c r="K167" s="52"/>
      <c r="L167" s="52"/>
      <c r="M167" s="52"/>
      <c r="O167" s="4"/>
      <c r="P167" s="4"/>
      <c r="Q167" s="330"/>
      <c r="R167" s="330"/>
      <c r="S167" s="330"/>
      <c r="T167" s="330"/>
      <c r="U167" s="330"/>
      <c r="V167" s="330"/>
      <c r="W167" s="330"/>
      <c r="X167" s="330"/>
      <c r="Y167" s="330"/>
      <c r="Z167" s="330"/>
      <c r="AA167" s="330"/>
    </row>
    <row r="168" spans="4:27" hidden="1" x14ac:dyDescent="0.25">
      <c r="D168" s="62" t="s">
        <v>130</v>
      </c>
      <c r="E168" s="62"/>
      <c r="H168" s="52"/>
      <c r="I168" s="52"/>
      <c r="J168" s="52"/>
      <c r="K168" s="52"/>
      <c r="L168" s="52"/>
      <c r="M168" s="52"/>
      <c r="N168" s="52"/>
      <c r="O168" s="4"/>
      <c r="P168" s="4"/>
      <c r="Q168" s="330" t="s">
        <v>85</v>
      </c>
      <c r="R168" s="330"/>
      <c r="S168" s="330"/>
      <c r="T168" s="330"/>
      <c r="U168" s="330"/>
      <c r="V168" s="330"/>
      <c r="W168" s="330"/>
      <c r="X168" s="330"/>
      <c r="Y168" s="330"/>
      <c r="Z168" s="330"/>
      <c r="AA168" s="330"/>
    </row>
    <row r="169" spans="4:27" hidden="1" x14ac:dyDescent="0.25">
      <c r="D169" s="62"/>
      <c r="E169" s="62" t="s">
        <v>123</v>
      </c>
      <c r="H169" s="43"/>
      <c r="I169" s="48"/>
      <c r="J169" s="49"/>
      <c r="K169" s="43"/>
      <c r="L169" s="48"/>
      <c r="M169" s="50"/>
      <c r="N169" s="51" t="str">
        <f ca="1">IF(AND(CELL("type",H169)="v",CELL("type",K169)="v")=TRUE,IF(H169+K169=0,"",H169+K169),IF(AND(CELL("type",H169)="v",CELL("type",K169)&lt;&gt;"v")=TRUE,H169,IF(AND(CELL("type",H169)&lt;&gt;"v",CELL("type",K169)="v")=TRUE,K169,"")))</f>
        <v/>
      </c>
      <c r="O169" s="4"/>
      <c r="P169" s="4"/>
      <c r="Q169" s="330"/>
      <c r="R169" s="330"/>
      <c r="S169" s="330"/>
      <c r="T169" s="330"/>
      <c r="U169" s="330"/>
      <c r="V169" s="330"/>
      <c r="W169" s="330"/>
      <c r="X169" s="330"/>
      <c r="Y169" s="330"/>
      <c r="Z169" s="330"/>
      <c r="AA169" s="330"/>
    </row>
    <row r="170" spans="4:27" hidden="1" x14ac:dyDescent="0.25">
      <c r="D170" s="62"/>
      <c r="E170" s="62"/>
      <c r="H170" s="52"/>
      <c r="I170" s="52"/>
      <c r="J170" s="52"/>
      <c r="K170" s="52"/>
      <c r="L170" s="52"/>
      <c r="M170" s="52"/>
      <c r="N170" s="52"/>
      <c r="O170" s="4"/>
      <c r="P170" s="4"/>
    </row>
    <row r="171" spans="4:27" hidden="1" x14ac:dyDescent="0.25">
      <c r="D171" s="62" t="s">
        <v>131</v>
      </c>
      <c r="E171" s="62"/>
      <c r="H171" s="52"/>
      <c r="I171" s="52"/>
      <c r="J171" s="52"/>
      <c r="K171" s="52"/>
      <c r="L171" s="52"/>
      <c r="M171" s="52"/>
      <c r="N171" s="52"/>
      <c r="O171" s="4"/>
      <c r="P171" s="4"/>
    </row>
    <row r="172" spans="4:27" hidden="1" x14ac:dyDescent="0.25">
      <c r="D172" s="62"/>
      <c r="E172" s="62" t="s">
        <v>125</v>
      </c>
      <c r="H172" s="95"/>
      <c r="I172" s="48"/>
      <c r="J172" s="49"/>
      <c r="K172" s="43"/>
      <c r="L172" s="48"/>
      <c r="M172" s="50"/>
      <c r="N172" s="51" t="str">
        <f ca="1">IF(AND(CELL("type",H172)="v",CELL("type",K172)="v")=TRUE,IF(H172+K172=0,"",H172+K172),IF(AND(CELL("type",H172)="v",CELL("type",K172)&lt;&gt;"v")=TRUE,H172,IF(AND(CELL("type",H172)&lt;&gt;"v",CELL("type",K172)="v")=TRUE,K172,"")))</f>
        <v/>
      </c>
      <c r="O172" s="4"/>
      <c r="P172" s="4"/>
    </row>
    <row r="173" spans="4:27" ht="12.75" hidden="1" customHeight="1" x14ac:dyDescent="0.25">
      <c r="D173" s="62"/>
      <c r="E173" s="62"/>
      <c r="H173" s="52"/>
      <c r="I173" s="52"/>
      <c r="J173" s="52"/>
      <c r="K173" s="52"/>
      <c r="L173" s="52"/>
      <c r="M173" s="52"/>
      <c r="N173" s="52"/>
      <c r="O173" s="4"/>
      <c r="P173" s="4"/>
    </row>
    <row r="174" spans="4:27" hidden="1" x14ac:dyDescent="0.25">
      <c r="D174" s="62" t="s">
        <v>132</v>
      </c>
      <c r="E174" s="62"/>
      <c r="H174" s="43"/>
      <c r="I174" s="48"/>
      <c r="J174" s="49"/>
      <c r="K174" s="43"/>
      <c r="L174" s="48"/>
      <c r="M174" s="50"/>
      <c r="N174" s="51" t="str">
        <f ca="1">IF(AND(CELL("type",H174)="v",CELL("type",K174)="v")=TRUE,IF(H174+K174=0,"",H174+K174),IF(AND(CELL("type",H174)="v",CELL("type",K174)&lt;&gt;"v")=TRUE,H174,IF(AND(CELL("type",H174)&lt;&gt;"v",CELL("type",K174)="v")=TRUE,K174,"")))</f>
        <v/>
      </c>
      <c r="O174" s="4"/>
      <c r="P174" s="4"/>
      <c r="Q174" s="330" t="s">
        <v>85</v>
      </c>
      <c r="R174" s="330"/>
      <c r="S174" s="330"/>
      <c r="T174" s="330"/>
      <c r="U174" s="330"/>
      <c r="V174" s="330"/>
      <c r="W174" s="330"/>
      <c r="X174" s="330"/>
      <c r="Y174" s="330"/>
      <c r="Z174" s="330"/>
      <c r="AA174" s="330"/>
    </row>
    <row r="175" spans="4:27" hidden="1" x14ac:dyDescent="0.25">
      <c r="D175" s="62"/>
      <c r="E175" s="62"/>
      <c r="H175" s="52"/>
      <c r="I175" s="52"/>
      <c r="J175" s="52"/>
      <c r="K175" s="52"/>
      <c r="L175" s="52"/>
      <c r="M175" s="52"/>
      <c r="N175" s="52"/>
      <c r="O175" s="4"/>
      <c r="P175" s="4"/>
      <c r="Q175" s="330"/>
      <c r="R175" s="330"/>
      <c r="S175" s="330"/>
      <c r="T175" s="330"/>
      <c r="U175" s="330"/>
      <c r="V175" s="330"/>
      <c r="W175" s="330"/>
      <c r="X175" s="330"/>
      <c r="Y175" s="330"/>
      <c r="Z175" s="330"/>
      <c r="AA175" s="330"/>
    </row>
    <row r="176" spans="4:27" hidden="1" x14ac:dyDescent="0.25">
      <c r="D176" s="62" t="s">
        <v>133</v>
      </c>
      <c r="E176" s="62"/>
      <c r="H176" s="52"/>
      <c r="I176" s="52"/>
      <c r="J176" s="52"/>
      <c r="K176" s="52"/>
      <c r="L176" s="52"/>
      <c r="M176" s="52"/>
      <c r="N176" s="52"/>
      <c r="O176" s="4"/>
      <c r="P176" s="4"/>
    </row>
    <row r="177" spans="2:27" hidden="1" x14ac:dyDescent="0.25">
      <c r="D177" s="62"/>
      <c r="E177" s="62" t="s">
        <v>123</v>
      </c>
      <c r="H177" s="43"/>
      <c r="I177" s="48"/>
      <c r="J177" s="49"/>
      <c r="K177" s="43"/>
      <c r="L177" s="48"/>
      <c r="M177" s="50"/>
      <c r="N177" s="51" t="str">
        <f ca="1">IF(AND(CELL("type",H177)="v",CELL("type",K177)="v")=TRUE,IF(H177+K177=0,"",H177+K177),IF(AND(CELL("type",H177)="v",CELL("type",K177)&lt;&gt;"v")=TRUE,H177,IF(AND(CELL("type",H177)&lt;&gt;"v",CELL("type",K177)="v")=TRUE,K177,"")))</f>
        <v/>
      </c>
      <c r="O177" s="4"/>
      <c r="P177" s="4"/>
    </row>
    <row r="178" spans="2:27" hidden="1" x14ac:dyDescent="0.25">
      <c r="D178" s="62"/>
      <c r="E178" s="62"/>
      <c r="H178" s="52"/>
      <c r="I178" s="52"/>
      <c r="J178" s="52"/>
      <c r="K178" s="52"/>
      <c r="L178" s="52"/>
      <c r="M178" s="52"/>
      <c r="N178" s="52"/>
      <c r="O178" s="4"/>
      <c r="P178" s="4"/>
    </row>
    <row r="179" spans="2:27" hidden="1" x14ac:dyDescent="0.25">
      <c r="D179" s="62" t="s">
        <v>134</v>
      </c>
      <c r="E179" s="62"/>
      <c r="H179" s="43"/>
      <c r="I179" s="48"/>
      <c r="J179" s="49"/>
      <c r="K179" s="43"/>
      <c r="L179" s="48"/>
      <c r="M179" s="50"/>
      <c r="N179" s="51" t="str">
        <f ca="1">IF(AND(CELL("type",H179)="v",CELL("type",K179)="v")=TRUE,IF(H179+K179=0,"",H179+K179),IF(AND(CELL("type",H179)="v",CELL("type",K179)&lt;&gt;"v")=TRUE,H179,IF(AND(CELL("type",H179)&lt;&gt;"v",CELL("type",K179)="v")=TRUE,K179,"")))</f>
        <v/>
      </c>
      <c r="O179" s="4"/>
      <c r="P179" s="4"/>
    </row>
    <row r="180" spans="2:27" hidden="1" x14ac:dyDescent="0.25">
      <c r="D180" s="62"/>
      <c r="E180" s="62"/>
      <c r="H180" s="52"/>
      <c r="I180" s="52"/>
      <c r="J180" s="52"/>
      <c r="K180" s="52"/>
      <c r="L180" s="52"/>
      <c r="M180" s="52"/>
      <c r="N180" s="52"/>
      <c r="O180" s="4"/>
      <c r="P180" s="4"/>
    </row>
    <row r="181" spans="2:27" ht="12.75" hidden="1" customHeight="1" x14ac:dyDescent="0.25">
      <c r="D181" s="61" t="s">
        <v>53</v>
      </c>
      <c r="E181" s="44"/>
      <c r="F181" s="2"/>
      <c r="G181" s="2"/>
      <c r="H181" s="43"/>
      <c r="I181" s="48"/>
      <c r="J181" s="49"/>
      <c r="K181" s="43"/>
      <c r="L181" s="48"/>
      <c r="M181" s="50"/>
      <c r="N181" s="51" t="str">
        <f ca="1">IF(AND(CELL("type",H181)="v",CELL("type",K181)="v")=TRUE,IF(H181+K181=0,"",H181+K181),IF(AND(CELL("type",H181)="v",CELL("type",K181)&lt;&gt;"v")=TRUE,H181,IF(AND(CELL("type",H181)&lt;&gt;"v",CELL("type",K181)="v")=TRUE,K181,"")))</f>
        <v/>
      </c>
      <c r="O181" s="4"/>
      <c r="P181" s="4"/>
      <c r="Q181" s="96" t="s">
        <v>135</v>
      </c>
      <c r="R181" s="96"/>
      <c r="S181" s="96"/>
      <c r="T181" s="96"/>
      <c r="U181" s="96"/>
      <c r="V181" s="96"/>
      <c r="W181" s="96"/>
      <c r="X181" s="96"/>
      <c r="Y181" s="96"/>
      <c r="Z181" s="96"/>
      <c r="AA181" s="96"/>
    </row>
    <row r="182" spans="2:27" x14ac:dyDescent="0.25">
      <c r="H182" s="52"/>
      <c r="I182" s="52"/>
      <c r="J182" s="52"/>
      <c r="K182" s="52"/>
      <c r="L182" s="52"/>
      <c r="M182" s="52"/>
      <c r="N182" s="52"/>
      <c r="O182" s="4"/>
      <c r="P182" s="4"/>
      <c r="Q182" s="96"/>
      <c r="R182" s="96"/>
      <c r="S182" s="96"/>
      <c r="T182" s="96"/>
      <c r="U182" s="96"/>
      <c r="V182" s="96"/>
      <c r="W182" s="96"/>
      <c r="X182" s="96"/>
      <c r="Y182" s="96"/>
      <c r="Z182" s="96"/>
      <c r="AA182" s="96"/>
    </row>
    <row r="183" spans="2:27" x14ac:dyDescent="0.25">
      <c r="B183" s="33" t="s">
        <v>136</v>
      </c>
      <c r="C183" s="61" t="s">
        <v>137</v>
      </c>
      <c r="G183" s="33" t="s">
        <v>37</v>
      </c>
      <c r="H183" s="43"/>
      <c r="I183" s="48"/>
      <c r="J183" s="97" t="s">
        <v>37</v>
      </c>
      <c r="K183" s="43"/>
      <c r="L183" s="48"/>
      <c r="M183" s="33" t="s">
        <v>37</v>
      </c>
      <c r="N183" s="43"/>
      <c r="O183" s="4"/>
      <c r="P183" s="4"/>
      <c r="Q183" s="98"/>
      <c r="R183" s="98"/>
      <c r="S183" s="98"/>
      <c r="T183" s="98"/>
      <c r="U183" s="98"/>
      <c r="V183" s="98"/>
      <c r="W183" s="98"/>
      <c r="X183" s="98"/>
      <c r="Y183" s="98"/>
      <c r="Z183" s="98"/>
      <c r="AA183" s="98"/>
    </row>
    <row r="184" spans="2:27" x14ac:dyDescent="0.25">
      <c r="H184" s="52"/>
      <c r="I184" s="52"/>
      <c r="J184" s="52"/>
      <c r="K184" s="52"/>
      <c r="L184" s="52"/>
      <c r="M184" s="52"/>
      <c r="N184" s="52"/>
      <c r="O184" s="4"/>
      <c r="P184" s="4"/>
      <c r="Q184" s="98"/>
      <c r="R184" s="98"/>
      <c r="S184" s="98"/>
      <c r="T184" s="98"/>
      <c r="U184" s="98"/>
      <c r="V184" s="98"/>
      <c r="W184" s="98"/>
      <c r="X184" s="98"/>
      <c r="Y184" s="98"/>
      <c r="Z184" s="98"/>
      <c r="AA184" s="98"/>
    </row>
    <row r="185" spans="2:27" ht="13" hidden="1" x14ac:dyDescent="0.3">
      <c r="B185" s="33"/>
      <c r="C185" s="99" t="s">
        <v>138</v>
      </c>
      <c r="D185" s="44"/>
      <c r="E185" s="44"/>
      <c r="F185" s="44"/>
      <c r="G185" s="44"/>
      <c r="H185" s="49"/>
      <c r="I185" s="49"/>
      <c r="J185" s="49"/>
      <c r="K185" s="49"/>
      <c r="L185" s="49"/>
      <c r="M185" s="49"/>
      <c r="N185" s="49"/>
      <c r="O185" s="4"/>
      <c r="P185" s="4"/>
      <c r="Q185" s="98"/>
      <c r="R185" s="98"/>
      <c r="S185" s="98"/>
      <c r="T185" s="98"/>
      <c r="U185" s="98"/>
      <c r="V185" s="98"/>
      <c r="W185" s="98"/>
      <c r="X185" s="98"/>
      <c r="Y185" s="98"/>
      <c r="Z185" s="98"/>
      <c r="AA185" s="98"/>
    </row>
    <row r="186" spans="2:27" ht="12.75" hidden="1" customHeight="1" x14ac:dyDescent="0.3">
      <c r="B186" s="44"/>
      <c r="C186" s="99" t="s">
        <v>139</v>
      </c>
      <c r="D186" s="70"/>
      <c r="E186" s="6"/>
      <c r="F186" s="6"/>
      <c r="G186" s="2"/>
      <c r="H186" s="49"/>
      <c r="I186" s="50"/>
      <c r="J186" s="49"/>
      <c r="K186" s="49"/>
      <c r="L186" s="100"/>
      <c r="M186" s="100"/>
      <c r="N186" s="100"/>
      <c r="O186" s="4"/>
      <c r="P186" s="4"/>
      <c r="Q186" s="96"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86" s="96"/>
      <c r="S186" s="96"/>
      <c r="T186" s="96"/>
      <c r="U186" s="96"/>
      <c r="V186" s="96"/>
      <c r="W186" s="96"/>
      <c r="X186" s="96"/>
      <c r="Y186" s="96"/>
      <c r="Z186" s="96"/>
      <c r="AA186" s="96"/>
    </row>
    <row r="187" spans="2:27" ht="12.75" hidden="1" customHeight="1" x14ac:dyDescent="0.25">
      <c r="B187" s="2"/>
      <c r="C187" s="101"/>
      <c r="D187" s="44" t="s">
        <v>140</v>
      </c>
      <c r="E187" s="2"/>
      <c r="F187" s="2"/>
      <c r="G187" s="33" t="s">
        <v>37</v>
      </c>
      <c r="H187" s="43"/>
      <c r="I187" s="48"/>
      <c r="J187" s="33" t="s">
        <v>37</v>
      </c>
      <c r="K187" s="43"/>
      <c r="L187" s="48"/>
      <c r="M187" s="33" t="s">
        <v>37</v>
      </c>
      <c r="N187" s="43"/>
      <c r="O187" s="4"/>
      <c r="P187" s="4"/>
      <c r="Q187" s="96"/>
      <c r="R187" s="96"/>
      <c r="S187" s="96"/>
      <c r="T187" s="96"/>
      <c r="U187" s="96"/>
      <c r="V187" s="96"/>
      <c r="W187" s="96"/>
      <c r="X187" s="96"/>
      <c r="Y187" s="96"/>
      <c r="Z187" s="96"/>
      <c r="AA187" s="96"/>
    </row>
    <row r="188" spans="2:27" ht="12.75" hidden="1" customHeight="1" x14ac:dyDescent="0.25">
      <c r="C188" s="101"/>
      <c r="D188" s="44"/>
      <c r="E188" s="2"/>
      <c r="F188" s="2"/>
      <c r="G188" s="2"/>
      <c r="H188" s="102"/>
      <c r="I188" s="50"/>
      <c r="J188" s="49"/>
      <c r="K188" s="102"/>
      <c r="L188" s="100"/>
      <c r="M188" s="100"/>
      <c r="N188" s="100"/>
      <c r="O188" s="4"/>
      <c r="P188" s="4"/>
      <c r="Q188" s="103" t="s">
        <v>141</v>
      </c>
      <c r="R188" s="103"/>
      <c r="S188" s="103"/>
      <c r="T188" s="103"/>
      <c r="U188" s="103"/>
      <c r="V188" s="103"/>
      <c r="W188" s="103"/>
      <c r="X188" s="103"/>
      <c r="Y188" s="103"/>
      <c r="Z188" s="103"/>
      <c r="AA188" s="103"/>
    </row>
    <row r="189" spans="2:27" hidden="1" x14ac:dyDescent="0.25">
      <c r="B189" s="33"/>
      <c r="C189" s="70"/>
      <c r="D189" s="70" t="s">
        <v>53</v>
      </c>
      <c r="E189" s="104"/>
      <c r="F189" s="104"/>
      <c r="G189" s="33"/>
      <c r="H189" s="43"/>
      <c r="I189" s="48"/>
      <c r="J189" s="49"/>
      <c r="K189" s="43"/>
      <c r="L189" s="48"/>
      <c r="M189" s="97"/>
      <c r="N189" s="105"/>
      <c r="O189" s="4"/>
      <c r="P189" s="4"/>
      <c r="Q189" s="103"/>
      <c r="R189" s="103"/>
      <c r="S189" s="103"/>
      <c r="T189" s="103"/>
      <c r="U189" s="103"/>
      <c r="V189" s="103"/>
      <c r="W189" s="103"/>
      <c r="X189" s="103"/>
      <c r="Y189" s="103"/>
      <c r="Z189" s="103"/>
      <c r="AA189" s="103"/>
    </row>
    <row r="190" spans="2:27" hidden="1" x14ac:dyDescent="0.25">
      <c r="B190" s="101"/>
      <c r="C190" s="2"/>
      <c r="D190" s="44"/>
      <c r="E190" s="2"/>
      <c r="F190" s="2"/>
      <c r="G190" s="104"/>
      <c r="H190" s="106"/>
      <c r="I190" s="107"/>
      <c r="J190" s="108"/>
      <c r="K190" s="106"/>
      <c r="L190" s="109"/>
      <c r="M190" s="109"/>
      <c r="N190" s="109"/>
      <c r="O190" s="4"/>
      <c r="P190" s="4"/>
      <c r="Q190" s="103"/>
      <c r="R190" s="103"/>
      <c r="S190" s="103"/>
      <c r="T190" s="103"/>
      <c r="U190" s="103"/>
      <c r="V190" s="103"/>
      <c r="W190" s="103"/>
      <c r="X190" s="103"/>
      <c r="Y190" s="103"/>
      <c r="Z190" s="103"/>
      <c r="AA190" s="103"/>
    </row>
    <row r="191" spans="2:27" ht="12.75" customHeight="1" x14ac:dyDescent="0.25">
      <c r="B191" s="33" t="s">
        <v>142</v>
      </c>
      <c r="C191" s="70" t="s">
        <v>143</v>
      </c>
      <c r="D191" s="44"/>
      <c r="E191" s="2"/>
      <c r="F191" s="2"/>
      <c r="G191" s="104"/>
      <c r="H191" s="106"/>
      <c r="I191" s="107"/>
      <c r="J191" s="108"/>
      <c r="K191" s="106"/>
      <c r="L191" s="109"/>
      <c r="M191" s="109"/>
      <c r="N191" s="109"/>
      <c r="O191" s="4"/>
      <c r="P191" s="4"/>
      <c r="Q191" s="96"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91" s="110"/>
      <c r="S191" s="96"/>
      <c r="T191" s="96"/>
      <c r="U191" s="96"/>
      <c r="V191" s="96"/>
      <c r="W191" s="96"/>
      <c r="X191" s="96"/>
      <c r="Y191" s="96"/>
      <c r="Z191" s="96"/>
      <c r="AA191" s="96"/>
    </row>
    <row r="192" spans="2:27" x14ac:dyDescent="0.25">
      <c r="B192" s="33"/>
      <c r="C192" s="70" t="s">
        <v>139</v>
      </c>
      <c r="D192" s="44"/>
      <c r="E192" s="2"/>
      <c r="F192" s="2"/>
      <c r="G192" s="33" t="s">
        <v>37</v>
      </c>
      <c r="H192" s="43"/>
      <c r="I192" s="48"/>
      <c r="J192" s="97" t="s">
        <v>37</v>
      </c>
      <c r="K192" s="43"/>
      <c r="L192" s="48"/>
      <c r="M192" s="33" t="s">
        <v>37</v>
      </c>
      <c r="N192" s="43"/>
      <c r="O192" s="4"/>
      <c r="P192" s="4"/>
      <c r="Q192" s="96"/>
      <c r="R192" s="96"/>
      <c r="S192" s="96"/>
      <c r="T192" s="96"/>
      <c r="U192" s="96"/>
      <c r="V192" s="96"/>
      <c r="W192" s="96"/>
      <c r="X192" s="96"/>
      <c r="Y192" s="96"/>
      <c r="Z192" s="96"/>
      <c r="AA192" s="96"/>
    </row>
    <row r="193" spans="2:40" x14ac:dyDescent="0.25">
      <c r="B193" s="101"/>
      <c r="C193" s="2"/>
      <c r="D193" s="44"/>
      <c r="E193" s="2"/>
      <c r="F193" s="2"/>
      <c r="G193" s="104"/>
      <c r="H193" s="106"/>
      <c r="I193" s="107"/>
      <c r="J193" s="108"/>
      <c r="K193" s="106"/>
      <c r="L193" s="109"/>
      <c r="M193" s="109"/>
      <c r="N193" s="109"/>
      <c r="O193" s="4"/>
      <c r="P193" s="4"/>
    </row>
    <row r="194" spans="2:40" ht="13" x14ac:dyDescent="0.3">
      <c r="B194" s="33" t="s">
        <v>144</v>
      </c>
      <c r="C194" s="70" t="s">
        <v>145</v>
      </c>
      <c r="D194" s="70"/>
      <c r="E194" s="6"/>
      <c r="F194" s="6"/>
      <c r="G194" s="33" t="s">
        <v>37</v>
      </c>
      <c r="H194" s="111" t="str">
        <f>IF(N(H81)=0,"",H81+H83+H147+H149+H183+H192)</f>
        <v/>
      </c>
      <c r="I194" s="48"/>
      <c r="J194" s="33" t="s">
        <v>37</v>
      </c>
      <c r="K194" s="111" t="str">
        <f>IF(N(K81)=0,"",K81+K83+K147+K149+K183+K192)</f>
        <v/>
      </c>
      <c r="L194" s="48"/>
      <c r="M194" s="33" t="s">
        <v>37</v>
      </c>
      <c r="N194" s="111" t="str">
        <f>IF(N(N81)=0,"",N81+N83+N147+N149+N183+N192)</f>
        <v/>
      </c>
      <c r="O194" s="4"/>
      <c r="P194" s="4"/>
    </row>
    <row r="195" spans="2:40" ht="13" thickBot="1" x14ac:dyDescent="0.3">
      <c r="B195" s="20"/>
      <c r="C195" s="2"/>
      <c r="D195" s="44" t="s">
        <v>146</v>
      </c>
      <c r="E195" s="2"/>
      <c r="F195" s="2"/>
      <c r="G195" s="2"/>
      <c r="H195" s="100"/>
      <c r="I195" s="50"/>
      <c r="J195" s="100"/>
      <c r="K195" s="100"/>
      <c r="L195" s="100"/>
      <c r="M195" s="100"/>
      <c r="N195" s="100"/>
      <c r="O195" s="4"/>
      <c r="P195" s="4"/>
      <c r="Q195" s="112" t="s">
        <v>147</v>
      </c>
      <c r="R195" s="112"/>
      <c r="S195" s="64" t="s">
        <v>32</v>
      </c>
      <c r="T195" s="64"/>
      <c r="U195" s="64" t="s">
        <v>33</v>
      </c>
      <c r="V195" s="64"/>
      <c r="W195" s="64" t="s">
        <v>34</v>
      </c>
    </row>
    <row r="196" spans="2:40" ht="13" x14ac:dyDescent="0.3">
      <c r="B196" s="113"/>
      <c r="C196" s="114"/>
      <c r="D196" s="104"/>
      <c r="E196" s="104"/>
      <c r="F196" s="104"/>
      <c r="G196" s="104"/>
      <c r="H196" s="106"/>
      <c r="I196" s="107"/>
      <c r="J196" s="108"/>
      <c r="K196" s="106"/>
      <c r="L196" s="109"/>
      <c r="M196" s="109"/>
      <c r="N196" s="109"/>
      <c r="O196" s="4"/>
      <c r="P196" s="4"/>
      <c r="Q196" s="324" t="s">
        <v>148</v>
      </c>
      <c r="R196" s="324"/>
      <c r="S196" s="115" t="str">
        <f>IF(OR(S199=E613,S199=""),"(select below)",S199)</f>
        <v>(select below)</v>
      </c>
      <c r="U196" s="115" t="str">
        <f>IF(OR(U199=G613,U199=""),"(select below)",U199)</f>
        <v>(please select %)</v>
      </c>
      <c r="W196" s="115" t="str">
        <f>IF(OR(W199=I613,W199=""),"(select below)",W199)</f>
        <v>(please select %)</v>
      </c>
    </row>
    <row r="197" spans="2:40" ht="14" x14ac:dyDescent="0.3">
      <c r="C197" s="45" t="s">
        <v>149</v>
      </c>
      <c r="D197" s="70"/>
      <c r="E197" s="2"/>
      <c r="F197" s="2"/>
      <c r="G197" s="104"/>
      <c r="H197" s="106"/>
      <c r="I197" s="107"/>
      <c r="J197" s="108"/>
      <c r="K197" s="106"/>
      <c r="L197" s="109"/>
      <c r="M197" s="109"/>
      <c r="N197" s="109"/>
      <c r="O197" s="4"/>
      <c r="P197" s="4"/>
      <c r="Q197" s="325" t="s">
        <v>150</v>
      </c>
      <c r="R197" s="325"/>
      <c r="S197" s="116">
        <f>ROUNDDOWN(N(H192)*IF(N(S$196)=21%,16%,N(S$196)),0)</f>
        <v>0</v>
      </c>
      <c r="U197" s="116">
        <f>ROUNDDOWN(N(K192)*IF(N(U$196)=21%,16%,N(U$196)),0)</f>
        <v>0</v>
      </c>
      <c r="W197" s="116">
        <f>ROUNDDOWN(N(N192)*IF(N(W$196)=21%,16%,N(W$196)),0)</f>
        <v>0</v>
      </c>
    </row>
    <row r="198" spans="2:40" ht="13" x14ac:dyDescent="0.3">
      <c r="B198" s="117"/>
      <c r="C198" s="101"/>
      <c r="D198" s="44" t="s">
        <v>151</v>
      </c>
      <c r="E198" s="44"/>
      <c r="F198" s="44"/>
      <c r="G198" s="104"/>
      <c r="H198" s="43"/>
      <c r="I198" s="48"/>
      <c r="J198" s="49"/>
      <c r="K198" s="43"/>
      <c r="L198" s="48"/>
      <c r="M198" s="50"/>
      <c r="N198" s="43"/>
      <c r="O198" s="4"/>
      <c r="P198" s="21" t="str">
        <f>IF(OR(S198="No",U198="No",W198="No"),"**","")</f>
        <v/>
      </c>
      <c r="Q198" s="326" t="s">
        <v>152</v>
      </c>
      <c r="R198" s="326"/>
      <c r="S198" s="118" t="str">
        <f>IF(AND(N(H192)&gt;0,N(H198)=0,N(H206)=0),"No",IF(N(H198)&gt;ROUNDDOWN(N(H192)*IF(N(S$196)=21%,16%,N(S$196)),0),"No","Yes"))</f>
        <v>Yes</v>
      </c>
      <c r="T198" s="119"/>
      <c r="U198" s="118" t="str">
        <f>IF(AND(N(K192)&gt;0,N(K198)=0,N(K206)=0),"No",IF(N(K198)&gt;ROUNDDOWN(N(K192)*IF(N(U$196)=21%,16%,N(U$196)),0),"No","Yes"))</f>
        <v>Yes</v>
      </c>
      <c r="V198" s="119"/>
      <c r="W198" s="118" t="str">
        <f>IF(AND(N(N192)&gt;0,N(N198)=0,N(N206)=0),"No",IF(N(N198)&gt;ROUNDDOWN(N(N192)*IF(N(W$196)=21%,16%,N(W$196)),0),"No","Yes"))</f>
        <v>Yes</v>
      </c>
      <c r="AD198" s="327" t="str">
        <f>IF(S206="No",IF(AND(N(N194)&gt;0,N(N206)=0),"A Developer fee must be entered.  If it is not, the RFA requires the scorer to add the maximum Developer Fee ("&amp;TEXT(S205,"$#,##0.00")&amp;").",IF(AND(N(N206)&gt;S205,S198="No",S201="No"),"The amount entered for 'Total Developer Fee' is too high by "&amp;TEXT(N(N206)-S205,"$#,##0.00")&amp;".",IF(AND(S198="No",S201="Yes"),"The amount entered for 'Developer Fee on Acquisition Costs' is too high by "&amp;TEXT(N198-S197,"$#,##0.00")&amp;".",IF(AND(S198="Yes",S201="No"),"The amount entered for 'Developer Fee on Non-Acquisition Costs' is too high by "&amp;TEXT(N201-S200,"$#,##0.00")&amp;".","")))),"")</f>
        <v/>
      </c>
      <c r="AE198" s="327"/>
      <c r="AF198" s="327"/>
      <c r="AG198" s="327"/>
      <c r="AH198" s="327"/>
      <c r="AI198" s="327"/>
      <c r="AJ198" s="327"/>
      <c r="AK198" s="327"/>
      <c r="AL198" s="327"/>
      <c r="AM198" s="327"/>
      <c r="AN198" s="327"/>
    </row>
    <row r="199" spans="2:40" ht="13" x14ac:dyDescent="0.3">
      <c r="B199" s="117"/>
      <c r="C199" s="101"/>
      <c r="D199" s="44"/>
      <c r="E199" s="44"/>
      <c r="F199" s="44"/>
      <c r="G199" s="104"/>
      <c r="H199" s="288"/>
      <c r="I199" s="48"/>
      <c r="J199" s="49"/>
      <c r="K199" s="288"/>
      <c r="L199" s="48"/>
      <c r="M199" s="50"/>
      <c r="N199" s="100"/>
      <c r="O199" s="4"/>
      <c r="P199" s="21"/>
      <c r="Q199" s="328" t="s">
        <v>153</v>
      </c>
      <c r="R199" s="328"/>
      <c r="S199" s="294" t="s">
        <v>312</v>
      </c>
      <c r="U199" s="115" t="str">
        <f>Developer_fee_Percentage_dropdown</f>
        <v>(please select %)</v>
      </c>
      <c r="W199" s="115" t="str">
        <f>Developer_fee_Percentage_dropdown</f>
        <v>(please select %)</v>
      </c>
      <c r="AD199" s="327"/>
      <c r="AE199" s="327"/>
      <c r="AF199" s="327"/>
      <c r="AG199" s="327"/>
      <c r="AH199" s="327"/>
      <c r="AI199" s="327"/>
      <c r="AJ199" s="327"/>
      <c r="AK199" s="327"/>
      <c r="AL199" s="327"/>
      <c r="AM199" s="327"/>
      <c r="AN199" s="327"/>
    </row>
    <row r="200" spans="2:40" ht="13" x14ac:dyDescent="0.3">
      <c r="B200" s="117"/>
      <c r="C200" s="101"/>
      <c r="D200" s="44"/>
      <c r="E200" s="44"/>
      <c r="F200" s="44"/>
      <c r="G200" s="104"/>
      <c r="H200" s="106"/>
      <c r="I200" s="107"/>
      <c r="J200" s="108"/>
      <c r="K200" s="106"/>
      <c r="L200" s="109"/>
      <c r="M200" s="109"/>
      <c r="N200" s="109"/>
      <c r="O200" s="4"/>
      <c r="P200" s="4"/>
      <c r="Q200" s="325" t="s">
        <v>154</v>
      </c>
      <c r="R200" s="325"/>
      <c r="S200" s="120">
        <f>ROUNDDOWN((N(H194)-N(H192))*IF(N(S$199)=21%,16%,N(S$199)),0)</f>
        <v>0</v>
      </c>
      <c r="U200" s="116">
        <f>ROUNDDOWN((N(K194)-N(K192))*IF(N(U$199)=21%,16%,N(U$199)),0)</f>
        <v>0</v>
      </c>
      <c r="W200" s="116">
        <f>ROUNDDOWN((N(N194)-N(N192))*IF(N(W$199)=21%,16%,N(W$199)),0)</f>
        <v>0</v>
      </c>
      <c r="X200" s="60"/>
      <c r="AD200" s="327"/>
      <c r="AE200" s="327"/>
      <c r="AF200" s="327"/>
      <c r="AG200" s="327"/>
      <c r="AH200" s="327"/>
      <c r="AI200" s="327"/>
      <c r="AJ200" s="327"/>
      <c r="AK200" s="327"/>
      <c r="AL200" s="327"/>
      <c r="AM200" s="327"/>
      <c r="AN200" s="327"/>
    </row>
    <row r="201" spans="2:40" ht="13" x14ac:dyDescent="0.3">
      <c r="B201" s="117"/>
      <c r="C201" s="101"/>
      <c r="D201" s="44" t="s">
        <v>155</v>
      </c>
      <c r="E201" s="44"/>
      <c r="F201" s="44"/>
      <c r="G201" s="33" t="s">
        <v>37</v>
      </c>
      <c r="H201" s="43"/>
      <c r="I201" s="48"/>
      <c r="J201" s="33" t="s">
        <v>37</v>
      </c>
      <c r="K201" s="43"/>
      <c r="L201" s="48"/>
      <c r="M201" s="33" t="s">
        <v>37</v>
      </c>
      <c r="N201" s="43"/>
      <c r="O201" s="4"/>
      <c r="P201" s="21" t="str">
        <f>IF(OR(S201="No",U201="No",W201="No"),"**","")</f>
        <v/>
      </c>
      <c r="Q201" s="326" t="s">
        <v>156</v>
      </c>
      <c r="R201" s="326"/>
      <c r="S201" s="118" t="str">
        <f>IF(OR(N(H201)&gt;ROUNDDOWN((N(H194)-N(H192))*IF(N(S$199)=21%,16%,N(S$199)),0),AND(N(H194)-N(H192)&gt;0,N(H201)=0,N(H206)=0)),"No","Yes")</f>
        <v>Yes</v>
      </c>
      <c r="T201" s="119"/>
      <c r="U201" s="118" t="str">
        <f>IF(OR(N(K201)&gt;ROUNDDOWN((N(K194)-N(K192))*IF(N(U$199)=21%,16%,N(U$199)),0),AND(N(K194)-N(K192)&gt;0,N(K201)=0,N(K206)=0)),"No","Yes")</f>
        <v>Yes</v>
      </c>
      <c r="V201" s="119"/>
      <c r="W201" s="118" t="str">
        <f>IF(OR(N(N201)&gt;ROUNDDOWN((N(N194)-N(N192))*IF(N(W$199)=21%,16%,N(W$199)),0),AND(N(N194)-N(N192)&gt;0,N(N201)=0,N(N206)=0)),"No","Yes")</f>
        <v>Yes</v>
      </c>
    </row>
    <row r="202" spans="2:40" ht="13" x14ac:dyDescent="0.3">
      <c r="B202" s="117"/>
      <c r="C202" s="101"/>
      <c r="D202" s="44"/>
      <c r="E202" s="44"/>
      <c r="F202" s="44"/>
      <c r="G202" s="104"/>
      <c r="H202" s="121"/>
      <c r="I202" s="122"/>
      <c r="J202" s="100"/>
      <c r="K202" s="121"/>
      <c r="L202" s="100"/>
      <c r="M202" s="50"/>
      <c r="N202" s="100"/>
      <c r="O202" s="4"/>
      <c r="P202" s="4"/>
    </row>
    <row r="203" spans="2:40" ht="12.75" customHeight="1" x14ac:dyDescent="0.3">
      <c r="B203" s="117"/>
      <c r="C203" s="101"/>
      <c r="D203" s="44" t="s">
        <v>157</v>
      </c>
      <c r="E203" s="44"/>
      <c r="F203" s="44"/>
      <c r="G203" s="104"/>
      <c r="H203" s="121"/>
      <c r="I203" s="122"/>
      <c r="J203" s="100"/>
      <c r="K203" s="121"/>
      <c r="L203" s="100"/>
      <c r="M203" s="50"/>
      <c r="N203" s="100"/>
      <c r="O203" s="4"/>
      <c r="P203" s="4"/>
      <c r="R203" s="55"/>
      <c r="S203" s="55"/>
      <c r="T203" s="55"/>
      <c r="U203" s="55"/>
      <c r="V203" s="55"/>
      <c r="W203" s="55"/>
      <c r="X203" s="55"/>
      <c r="Y203" s="55"/>
      <c r="Z203" s="55"/>
      <c r="AA203" s="55"/>
    </row>
    <row r="204" spans="2:40" ht="12.75" customHeight="1" x14ac:dyDescent="0.3">
      <c r="B204" s="117"/>
      <c r="C204" s="101"/>
      <c r="D204" s="10" t="s">
        <v>158</v>
      </c>
      <c r="E204" s="44"/>
      <c r="F204" s="44"/>
      <c r="G204" s="104"/>
      <c r="H204" s="123" t="str">
        <f>IF(S199=21%,ROUNDDOWN(5%*N(H194),0),"")</f>
        <v/>
      </c>
      <c r="I204" s="122"/>
      <c r="J204" s="100"/>
      <c r="K204" s="123" t="str">
        <f>IF(U199=21%,ROUNDDOWN(5%*N(K194),0),"")</f>
        <v/>
      </c>
      <c r="L204" s="100"/>
      <c r="M204" s="50"/>
      <c r="N204" s="124" t="str">
        <f>IF(W199=21%,ROUNDDOWN(5%*N(N194),0),"")</f>
        <v/>
      </c>
      <c r="O204" s="4"/>
      <c r="P204" s="4"/>
      <c r="Q204" s="125" t="s">
        <v>159</v>
      </c>
      <c r="R204" s="55"/>
      <c r="S204" s="55"/>
      <c r="T204" s="55"/>
      <c r="U204" s="55"/>
      <c r="V204" s="55"/>
      <c r="W204" s="55"/>
      <c r="X204" s="55"/>
      <c r="Y204" s="55"/>
      <c r="Z204" s="55"/>
      <c r="AA204" s="55"/>
    </row>
    <row r="205" spans="2:40" ht="13" x14ac:dyDescent="0.3">
      <c r="B205" s="117"/>
      <c r="C205" s="101"/>
      <c r="D205" s="44"/>
      <c r="E205" s="44"/>
      <c r="F205" s="44"/>
      <c r="G205" s="104"/>
      <c r="H205" s="121"/>
      <c r="I205" s="122"/>
      <c r="J205" s="100"/>
      <c r="K205" s="121"/>
      <c r="L205" s="100"/>
      <c r="M205" s="50"/>
      <c r="N205" s="100"/>
      <c r="O205" s="4"/>
      <c r="P205" s="4"/>
      <c r="R205" s="126" t="s">
        <v>160</v>
      </c>
      <c r="S205" s="116">
        <f>S197+S200+N(H204)</f>
        <v>0</v>
      </c>
      <c r="U205" s="116">
        <f>U197+U200+N(K204)</f>
        <v>0</v>
      </c>
      <c r="W205" s="116">
        <f>W197+W200+N(N204)</f>
        <v>0</v>
      </c>
    </row>
    <row r="206" spans="2:40" ht="13.5" thickBot="1" x14ac:dyDescent="0.35">
      <c r="B206" s="33" t="s">
        <v>161</v>
      </c>
      <c r="C206" s="70" t="s">
        <v>162</v>
      </c>
      <c r="D206" s="70"/>
      <c r="E206" s="44"/>
      <c r="F206" s="44"/>
      <c r="G206" s="33" t="s">
        <v>37</v>
      </c>
      <c r="H206" s="51" t="str">
        <f>IF(SUM(H198:H205)=0,"",SUM(H198:H205))</f>
        <v/>
      </c>
      <c r="I206" s="122"/>
      <c r="J206" s="97" t="s">
        <v>37</v>
      </c>
      <c r="K206" s="51" t="str">
        <f>IF(SUM(K198:K205)=0,"",SUM(K198:K205))</f>
        <v/>
      </c>
      <c r="L206" s="48"/>
      <c r="M206" s="97" t="s">
        <v>37</v>
      </c>
      <c r="N206" s="51" t="str">
        <f>IF(SUM(N198:N205)=0,"",SUM(N198:N205))</f>
        <v/>
      </c>
      <c r="O206" s="4"/>
      <c r="P206" s="21" t="str">
        <f>IF(OR(S206="No",U206="No",W206="No"),"**","")</f>
        <v/>
      </c>
      <c r="Q206" s="127"/>
      <c r="R206" s="128" t="s">
        <v>163</v>
      </c>
      <c r="S206" s="129" t="str">
        <f>IF(OR(AND(N(H206)=0,N(H194)&gt;0),N(H206)&gt;S205,S198="No",S201="No"),"No","Yes")</f>
        <v>Yes</v>
      </c>
      <c r="T206" s="127"/>
      <c r="U206" s="129" t="str">
        <f>IF(OR(AND(N(K206)=0,N(K194)&gt;0),N(K206)&gt;U205,U198="No",U201="No"),"No","Yes")</f>
        <v>Yes</v>
      </c>
      <c r="V206" s="127"/>
      <c r="W206" s="129" t="str">
        <f>IF(OR(AND(N(N206)=0,N(N194)&gt;0),N(N206)&gt;W205,W198="No",W201="No"),"No","Yes")</f>
        <v>Yes</v>
      </c>
    </row>
    <row r="207" spans="2:40" ht="13" thickTop="1" x14ac:dyDescent="0.25">
      <c r="B207" s="62"/>
      <c r="C207" s="62"/>
      <c r="D207" s="62"/>
      <c r="E207" s="62"/>
      <c r="F207" s="62"/>
      <c r="O207" s="4"/>
      <c r="P207" s="4"/>
      <c r="Y207" s="130"/>
    </row>
    <row r="208" spans="2:40" ht="14" x14ac:dyDescent="0.3">
      <c r="B208" s="92" t="s">
        <v>164</v>
      </c>
      <c r="C208" s="73" t="s">
        <v>165</v>
      </c>
      <c r="G208" s="33" t="s">
        <v>37</v>
      </c>
      <c r="H208" s="123" t="str">
        <f>IF(S203=21%,ROUNDDOWN(5%*N(H198),0),"")</f>
        <v/>
      </c>
      <c r="I208" s="48"/>
      <c r="J208" s="33" t="s">
        <v>37</v>
      </c>
      <c r="K208" s="43"/>
      <c r="L208" s="48"/>
      <c r="M208" s="33" t="s">
        <v>37</v>
      </c>
      <c r="N208" s="131" t="str">
        <f ca="1">IF(K212=0,0,IF(K208="","",K208))</f>
        <v/>
      </c>
      <c r="O208" s="4"/>
      <c r="P208" s="23"/>
      <c r="Q208" s="290"/>
      <c r="R208" s="132"/>
      <c r="Y208" s="130"/>
    </row>
    <row r="209" spans="1:30" x14ac:dyDescent="0.25">
      <c r="B209" s="20"/>
      <c r="C209" s="2"/>
      <c r="D209" s="70"/>
      <c r="E209" s="2"/>
      <c r="F209" s="2"/>
      <c r="G209" s="2"/>
      <c r="H209" s="133"/>
      <c r="I209" s="50"/>
      <c r="J209" s="49"/>
      <c r="K209" s="49"/>
      <c r="L209" s="100"/>
      <c r="M209" s="100"/>
      <c r="N209" s="100"/>
      <c r="O209" s="4"/>
      <c r="P209" s="4"/>
    </row>
    <row r="210" spans="1:30" ht="12.75" customHeight="1" x14ac:dyDescent="0.25">
      <c r="B210" s="33" t="s">
        <v>166</v>
      </c>
      <c r="C210" s="70" t="s">
        <v>167</v>
      </c>
      <c r="D210" s="70"/>
      <c r="E210" s="2"/>
      <c r="F210" s="2"/>
      <c r="G210" s="33" t="s">
        <v>37</v>
      </c>
      <c r="H210" s="43"/>
      <c r="I210" s="48"/>
      <c r="J210" s="33" t="s">
        <v>37</v>
      </c>
      <c r="K210" s="43"/>
      <c r="L210" s="48"/>
      <c r="M210" s="97" t="s">
        <v>37</v>
      </c>
      <c r="N210" s="43"/>
      <c r="O210" s="4"/>
      <c r="P210" s="4"/>
      <c r="Q210" s="351" t="str">
        <f>"The amount to be recognized for the "&amp;IF(N(N192)&gt;0,"allocation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210" s="351"/>
      <c r="S210" s="351"/>
      <c r="T210" s="351"/>
      <c r="U210" s="351"/>
      <c r="V210" s="351"/>
      <c r="W210" s="351"/>
      <c r="X210" s="351"/>
      <c r="Y210" s="351"/>
      <c r="Z210" s="351"/>
      <c r="AA210" s="351"/>
      <c r="AB210" s="351"/>
      <c r="AC210" s="351"/>
      <c r="AD210" s="351"/>
    </row>
    <row r="211" spans="1:30" x14ac:dyDescent="0.25">
      <c r="B211" s="20"/>
      <c r="C211" s="2"/>
      <c r="D211" s="134"/>
      <c r="E211" s="2"/>
      <c r="F211" s="2"/>
      <c r="G211" s="2"/>
      <c r="H211" s="100"/>
      <c r="I211" s="50"/>
      <c r="J211" s="100"/>
      <c r="K211" s="100"/>
      <c r="L211" s="100"/>
      <c r="M211" s="100"/>
      <c r="N211" s="100"/>
      <c r="O211" s="4"/>
      <c r="P211" s="4"/>
      <c r="Q211" s="352"/>
      <c r="R211" s="352"/>
      <c r="S211" s="352"/>
      <c r="T211" s="352"/>
      <c r="U211" s="352"/>
      <c r="V211" s="352"/>
      <c r="W211" s="352"/>
      <c r="X211" s="352"/>
      <c r="Y211" s="352"/>
      <c r="Z211" s="352"/>
      <c r="AA211" s="352"/>
      <c r="AB211" s="352"/>
      <c r="AC211" s="352"/>
      <c r="AD211" s="352"/>
    </row>
    <row r="212" spans="1:30" ht="14" x14ac:dyDescent="0.3">
      <c r="B212" s="33" t="s">
        <v>168</v>
      </c>
      <c r="C212" s="70" t="s">
        <v>169</v>
      </c>
      <c r="D212" s="70"/>
      <c r="E212" s="2"/>
      <c r="F212" s="2"/>
      <c r="G212" s="33" t="s">
        <v>37</v>
      </c>
      <c r="H212" s="51" t="str">
        <f ca="1">IF(IF(CELL("type",H194)="v",H194,0)+IF(CELL("type",H206)="v",H206,0)+IF(CELL("type",H208)="v",H208,0)+IF(CELL("type",H210)="v",H210,0)=0,"",IF(CELL("type",H194)="v",H194,0)+IF(CELL("type",H206)="v",H206,0)+IF(CELL("type",H208)="v",H208,0)+IF(CELL("type",H210)="v",H210,0))</f>
        <v/>
      </c>
      <c r="I212" s="48"/>
      <c r="J212" s="97" t="s">
        <v>37</v>
      </c>
      <c r="K212" s="51" t="str">
        <f ca="1">IF(IF(CELL("type",K194)="v",K194,0)+IF(CELL("type",K206)="v",K206,0)+IF(CELL("type",K208)="v",K208,0)+IF(CELL("type",K210)="v",K210,0)=0,"",IF(CELL("type",K194)="v",K194,0)+IF(CELL("type",K206)="v",K206,0)+IF(CELL("type",K208)="v",K208,0)+IF(CELL("type",K210)="v",K210,0))</f>
        <v/>
      </c>
      <c r="L212" s="48"/>
      <c r="M212" s="97" t="s">
        <v>37</v>
      </c>
      <c r="N212" s="51" t="str">
        <f ca="1">IF(IF(CELL("type",N194)="v",N194,0)+IF(CELL("type",N206)="v",N206,0)+IF(CELL("type",N208)="v",N208,0)+IF(CELL("type",N210)="v",N210,0)=0,"",IF(CELL("type",N194)="v",N194,0)+IF(CELL("type",N206)="v",N206,0)+IF(CELL("type",N208)="v",N208,0)+IF(CELL("type",N210)="v",N210,0))</f>
        <v/>
      </c>
      <c r="O212" s="4"/>
      <c r="P212" s="4"/>
      <c r="Q212" s="46" t="str">
        <f ca="1">IF(AND(K$36=F$613,N(N212)&gt;0),"Please select the appropriate Development Category from the drop-down menu at the top of the Development Cost Pro Forma.","")</f>
        <v/>
      </c>
    </row>
    <row r="213" spans="1:30" x14ac:dyDescent="0.25">
      <c r="B213" s="2"/>
      <c r="C213" s="2"/>
      <c r="D213" s="2" t="s">
        <v>170</v>
      </c>
      <c r="E213" s="2"/>
      <c r="F213" s="2"/>
      <c r="G213" s="2"/>
      <c r="H213" s="2"/>
      <c r="I213" s="2"/>
      <c r="J213" s="2"/>
      <c r="K213" s="2"/>
      <c r="L213" s="2"/>
      <c r="M213" s="2"/>
      <c r="N213" s="2"/>
      <c r="O213" s="4"/>
      <c r="P213" s="4"/>
    </row>
    <row r="214" spans="1:30" ht="3.75" customHeight="1" thickBot="1" x14ac:dyDescent="0.3">
      <c r="B214" s="2"/>
      <c r="C214" s="2"/>
      <c r="D214" s="2"/>
      <c r="E214" s="2"/>
      <c r="F214" s="2"/>
      <c r="G214" s="2"/>
      <c r="H214" s="2"/>
      <c r="I214" s="2"/>
      <c r="J214" s="2"/>
      <c r="K214" s="2"/>
      <c r="L214" s="2"/>
      <c r="M214" s="2"/>
      <c r="N214" s="2"/>
      <c r="O214" s="4"/>
      <c r="P214" s="4"/>
    </row>
    <row r="215" spans="1:30" ht="3.75" hidden="1" customHeight="1" x14ac:dyDescent="0.25">
      <c r="A215" s="1"/>
      <c r="B215" s="1"/>
      <c r="C215" s="1"/>
      <c r="D215" s="1"/>
      <c r="E215" s="1"/>
      <c r="F215" s="1"/>
      <c r="G215" s="1"/>
      <c r="H215" s="1"/>
      <c r="I215" s="1"/>
      <c r="J215" s="1"/>
      <c r="K215" s="1"/>
      <c r="L215" s="1"/>
      <c r="M215" s="1"/>
      <c r="N215" s="1"/>
      <c r="O215" s="78"/>
      <c r="P215" s="78"/>
    </row>
    <row r="216" spans="1:30" ht="13.5" hidden="1" thickBot="1" x14ac:dyDescent="0.35">
      <c r="B216" s="6" t="str">
        <f>B$2</f>
        <v>RFA 2021-211 DEVELOPMENT COST PRO FORMA</v>
      </c>
      <c r="O216" s="4"/>
      <c r="P216" s="5" t="s">
        <v>171</v>
      </c>
    </row>
    <row r="217" spans="1:30" ht="13" hidden="1" thickBot="1" x14ac:dyDescent="0.3">
      <c r="O217" s="4"/>
      <c r="P217" s="4"/>
    </row>
    <row r="218" spans="1:30" ht="13.5" hidden="1" thickBot="1" x14ac:dyDescent="0.35">
      <c r="B218" s="6" t="s">
        <v>172</v>
      </c>
      <c r="C218" s="2"/>
      <c r="D218" s="2"/>
      <c r="E218" s="2"/>
      <c r="F218" s="2"/>
      <c r="G218" s="2"/>
      <c r="H218" s="2"/>
      <c r="I218" s="2"/>
      <c r="J218" s="2"/>
      <c r="K218" s="2"/>
      <c r="L218" s="2"/>
      <c r="M218" s="2"/>
      <c r="N218" s="2"/>
      <c r="O218" s="135"/>
      <c r="P218" s="4"/>
    </row>
    <row r="219" spans="1:30" ht="13.5" hidden="1" thickBot="1" x14ac:dyDescent="0.35">
      <c r="B219" s="6"/>
      <c r="C219" s="2"/>
      <c r="D219" s="2"/>
      <c r="E219" s="2"/>
      <c r="F219" s="2"/>
      <c r="G219" s="2"/>
      <c r="H219" s="2"/>
      <c r="I219" s="2"/>
      <c r="J219" s="2"/>
      <c r="K219" s="2"/>
      <c r="L219" s="2"/>
      <c r="M219" s="2"/>
      <c r="N219" s="2"/>
      <c r="O219" s="135"/>
      <c r="P219" s="4"/>
    </row>
    <row r="220" spans="1:30" ht="13.5" hidden="1" thickBot="1" x14ac:dyDescent="0.35">
      <c r="B220" s="6" t="s">
        <v>173</v>
      </c>
      <c r="C220" s="2"/>
      <c r="D220" s="2"/>
      <c r="E220" s="2"/>
      <c r="F220" s="2"/>
      <c r="G220" s="2"/>
      <c r="H220" s="2"/>
      <c r="I220" s="2"/>
      <c r="J220" s="2"/>
      <c r="K220" s="2"/>
      <c r="L220" s="2"/>
      <c r="M220" s="2"/>
      <c r="N220" s="2"/>
      <c r="O220" s="135"/>
      <c r="P220" s="4"/>
    </row>
    <row r="221" spans="1:30" ht="13.5" hidden="1" thickBot="1" x14ac:dyDescent="0.35">
      <c r="B221" s="6" t="s">
        <v>174</v>
      </c>
      <c r="C221" s="2"/>
      <c r="D221" s="2"/>
      <c r="E221" s="2"/>
      <c r="F221" s="2"/>
      <c r="G221" s="2"/>
      <c r="H221" s="2"/>
      <c r="I221" s="2"/>
      <c r="J221" s="2"/>
      <c r="K221" s="2"/>
      <c r="L221" s="2"/>
      <c r="M221" s="2"/>
      <c r="N221" s="2"/>
      <c r="O221" s="135"/>
      <c r="P221" s="4"/>
    </row>
    <row r="222" spans="1:30" ht="13" hidden="1" thickBot="1" x14ac:dyDescent="0.3">
      <c r="B222" s="2"/>
      <c r="C222" s="2"/>
      <c r="D222" s="2"/>
      <c r="E222" s="2"/>
      <c r="F222" s="2"/>
      <c r="G222" s="2"/>
      <c r="H222" s="2"/>
      <c r="I222" s="2"/>
      <c r="J222" s="2"/>
      <c r="K222" s="2"/>
      <c r="L222" s="2"/>
      <c r="M222" s="2"/>
      <c r="N222" s="2"/>
      <c r="O222" s="135"/>
      <c r="P222" s="4"/>
    </row>
    <row r="223" spans="1:30" ht="13.5" hidden="1" thickBot="1" x14ac:dyDescent="0.35">
      <c r="B223" s="6" t="s">
        <v>42</v>
      </c>
      <c r="C223" s="2"/>
      <c r="D223" s="2"/>
      <c r="E223" s="2"/>
      <c r="F223" s="2"/>
      <c r="G223" s="2"/>
      <c r="H223" s="2"/>
      <c r="I223" s="2"/>
      <c r="J223" s="2"/>
      <c r="K223" s="2"/>
      <c r="L223" s="2"/>
      <c r="M223" s="2"/>
      <c r="N223" s="2"/>
      <c r="O223" s="135"/>
      <c r="P223" s="4"/>
    </row>
    <row r="224" spans="1:30" ht="13" hidden="1" thickBot="1" x14ac:dyDescent="0.3">
      <c r="B224" s="2"/>
      <c r="C224" s="2"/>
      <c r="D224" s="2"/>
      <c r="E224" s="2"/>
      <c r="F224" s="2"/>
      <c r="G224" s="2"/>
      <c r="H224" s="2"/>
      <c r="I224" s="2"/>
      <c r="J224" s="2"/>
      <c r="K224" s="2"/>
      <c r="L224" s="2"/>
      <c r="M224" s="2"/>
      <c r="N224" s="2"/>
      <c r="O224" s="135"/>
      <c r="P224" s="4"/>
    </row>
    <row r="225" spans="3:16" ht="13.5" hidden="1" thickBot="1" x14ac:dyDescent="0.35">
      <c r="C225" s="136" t="s">
        <v>175</v>
      </c>
      <c r="D225" s="6"/>
      <c r="E225" s="6"/>
      <c r="F225" s="6"/>
      <c r="G225" s="2"/>
      <c r="H225" s="2"/>
      <c r="I225" s="2"/>
      <c r="J225" s="2"/>
      <c r="K225" s="2"/>
      <c r="L225" s="2"/>
      <c r="M225" s="2"/>
      <c r="N225" s="2"/>
      <c r="O225" s="135"/>
      <c r="P225" s="4"/>
    </row>
    <row r="226" spans="3:16" ht="13" hidden="1" thickBot="1" x14ac:dyDescent="0.3">
      <c r="C226" s="137" t="s">
        <v>176</v>
      </c>
      <c r="D226" s="2"/>
      <c r="E226" s="2"/>
      <c r="F226" s="2"/>
      <c r="G226" s="2"/>
      <c r="H226" s="2"/>
      <c r="I226" s="2"/>
      <c r="J226" s="2"/>
      <c r="K226" s="2"/>
      <c r="L226" s="2"/>
      <c r="M226" s="2"/>
      <c r="N226" s="2"/>
      <c r="O226" s="135"/>
      <c r="P226" s="4"/>
    </row>
    <row r="227" spans="3:16" ht="13.5" hidden="1" thickBot="1" x14ac:dyDescent="0.35">
      <c r="C227" s="138"/>
      <c r="D227" s="2"/>
      <c r="E227" s="2"/>
      <c r="F227" s="2"/>
      <c r="G227" s="2"/>
      <c r="H227" s="2"/>
      <c r="I227" s="2"/>
      <c r="J227" s="2"/>
      <c r="K227" s="2"/>
      <c r="L227" s="2"/>
      <c r="M227" s="2"/>
      <c r="N227" s="2"/>
      <c r="O227" s="135"/>
      <c r="P227" s="4"/>
    </row>
    <row r="228" spans="3:16" ht="13.5" hidden="1" thickBot="1" x14ac:dyDescent="0.3">
      <c r="D228" s="2" t="s">
        <v>177</v>
      </c>
      <c r="E228" s="2"/>
      <c r="F228" s="331"/>
      <c r="G228" s="353"/>
      <c r="H228" s="353"/>
      <c r="I228" s="353"/>
      <c r="J228" s="353"/>
      <c r="K228" s="353"/>
      <c r="L228" s="353"/>
      <c r="M228" s="353"/>
      <c r="N228" s="353"/>
      <c r="O228" s="354"/>
      <c r="P228" s="21" t="str">
        <f ca="1">IF(AND(F228="",N63&lt;&gt;""),"**","")</f>
        <v/>
      </c>
    </row>
    <row r="229" spans="3:16" ht="13" hidden="1" thickBot="1" x14ac:dyDescent="0.3">
      <c r="D229" s="2"/>
      <c r="E229" s="2"/>
      <c r="F229" s="355"/>
      <c r="G229" s="356"/>
      <c r="H229" s="356"/>
      <c r="I229" s="356"/>
      <c r="J229" s="356"/>
      <c r="K229" s="356"/>
      <c r="L229" s="356"/>
      <c r="M229" s="356"/>
      <c r="N229" s="356"/>
      <c r="O229" s="357"/>
      <c r="P229" s="4"/>
    </row>
    <row r="230" spans="3:16" ht="13" hidden="1" thickBot="1" x14ac:dyDescent="0.3">
      <c r="D230" s="2"/>
      <c r="E230" s="2"/>
      <c r="F230" s="358"/>
      <c r="G230" s="359"/>
      <c r="H230" s="359"/>
      <c r="I230" s="359"/>
      <c r="J230" s="359"/>
      <c r="K230" s="359"/>
      <c r="L230" s="359"/>
      <c r="M230" s="359"/>
      <c r="N230" s="359"/>
      <c r="O230" s="360"/>
      <c r="P230" s="4"/>
    </row>
    <row r="231" spans="3:16" ht="13" hidden="1" thickBot="1" x14ac:dyDescent="0.3">
      <c r="D231" s="2"/>
      <c r="E231" s="2"/>
      <c r="F231" s="2"/>
      <c r="G231" s="2"/>
      <c r="H231" s="2"/>
      <c r="I231" s="2"/>
      <c r="J231" s="2"/>
      <c r="K231" s="2"/>
      <c r="L231" s="2"/>
      <c r="M231" s="2"/>
      <c r="N231" s="2"/>
      <c r="O231" s="135"/>
      <c r="P231" s="4"/>
    </row>
    <row r="232" spans="3:16" ht="13.5" hidden="1" thickBot="1" x14ac:dyDescent="0.3">
      <c r="D232" s="2" t="s">
        <v>178</v>
      </c>
      <c r="E232" s="2"/>
      <c r="F232" s="331"/>
      <c r="G232" s="353"/>
      <c r="H232" s="353"/>
      <c r="I232" s="353"/>
      <c r="J232" s="353"/>
      <c r="K232" s="353"/>
      <c r="L232" s="353"/>
      <c r="M232" s="353"/>
      <c r="N232" s="353"/>
      <c r="O232" s="354"/>
      <c r="P232" s="21" t="str">
        <f ca="1">IF(AND(F232="",N73&lt;&gt;""),"**","")</f>
        <v/>
      </c>
    </row>
    <row r="233" spans="3:16" ht="13" hidden="1" thickBot="1" x14ac:dyDescent="0.3">
      <c r="C233" s="2"/>
      <c r="D233" s="2"/>
      <c r="E233" s="2"/>
      <c r="F233" s="355"/>
      <c r="G233" s="356"/>
      <c r="H233" s="356"/>
      <c r="I233" s="356"/>
      <c r="J233" s="356"/>
      <c r="K233" s="356"/>
      <c r="L233" s="356"/>
      <c r="M233" s="356"/>
      <c r="N233" s="356"/>
      <c r="O233" s="357"/>
      <c r="P233" s="4"/>
    </row>
    <row r="234" spans="3:16" ht="13" hidden="1" thickBot="1" x14ac:dyDescent="0.3">
      <c r="C234" s="2"/>
      <c r="D234" s="2"/>
      <c r="E234" s="2"/>
      <c r="F234" s="358"/>
      <c r="G234" s="359"/>
      <c r="H234" s="359"/>
      <c r="I234" s="359"/>
      <c r="J234" s="359"/>
      <c r="K234" s="359"/>
      <c r="L234" s="359"/>
      <c r="M234" s="359"/>
      <c r="N234" s="359"/>
      <c r="O234" s="360"/>
      <c r="P234" s="4"/>
    </row>
    <row r="235" spans="3:16" ht="13" hidden="1" thickBot="1" x14ac:dyDescent="0.3">
      <c r="C235" s="2"/>
      <c r="D235" s="2"/>
      <c r="E235" s="2"/>
      <c r="F235" s="2"/>
      <c r="G235" s="2"/>
      <c r="H235" s="2"/>
      <c r="I235" s="2"/>
      <c r="J235" s="2"/>
      <c r="K235" s="2"/>
      <c r="L235" s="2"/>
      <c r="M235" s="2"/>
      <c r="N235" s="2"/>
      <c r="O235" s="135"/>
      <c r="P235" s="4"/>
    </row>
    <row r="236" spans="3:16" ht="13.5" hidden="1" thickBot="1" x14ac:dyDescent="0.35">
      <c r="C236" s="136" t="s">
        <v>71</v>
      </c>
      <c r="D236" s="6"/>
      <c r="E236" s="6"/>
      <c r="F236" s="6"/>
      <c r="G236" s="2"/>
      <c r="H236" s="2"/>
      <c r="I236" s="2"/>
      <c r="J236" s="2"/>
      <c r="K236" s="2"/>
      <c r="L236" s="2"/>
      <c r="M236" s="2"/>
      <c r="N236" s="2"/>
      <c r="O236" s="135"/>
      <c r="P236" s="4"/>
    </row>
    <row r="237" spans="3:16" ht="13" hidden="1" thickBot="1" x14ac:dyDescent="0.3">
      <c r="C237" s="137" t="s">
        <v>179</v>
      </c>
      <c r="D237" s="2"/>
      <c r="E237" s="2"/>
      <c r="F237" s="2"/>
      <c r="G237" s="2"/>
      <c r="H237" s="2"/>
      <c r="I237" s="2"/>
      <c r="J237" s="2"/>
      <c r="K237" s="2"/>
      <c r="L237" s="2"/>
      <c r="M237" s="2"/>
      <c r="N237" s="2"/>
      <c r="O237" s="135"/>
      <c r="P237" s="4"/>
    </row>
    <row r="238" spans="3:16" ht="13.5" hidden="1" thickBot="1" x14ac:dyDescent="0.35">
      <c r="C238" s="99"/>
      <c r="D238" s="2"/>
      <c r="E238" s="2"/>
      <c r="F238" s="2"/>
      <c r="G238" s="2"/>
      <c r="H238" s="2"/>
      <c r="I238" s="2"/>
      <c r="J238" s="2"/>
      <c r="K238" s="2"/>
      <c r="L238" s="2"/>
      <c r="M238" s="2"/>
      <c r="N238" s="2"/>
      <c r="O238" s="135"/>
      <c r="P238" s="4"/>
    </row>
    <row r="239" spans="3:16" ht="12.65" hidden="1" customHeight="1" x14ac:dyDescent="0.25">
      <c r="D239" s="2" t="s">
        <v>180</v>
      </c>
      <c r="E239" s="2"/>
      <c r="F239" s="331"/>
      <c r="G239" s="332"/>
      <c r="H239" s="332"/>
      <c r="I239" s="332"/>
      <c r="J239" s="332"/>
      <c r="K239" s="332"/>
      <c r="L239" s="332"/>
      <c r="M239" s="332"/>
      <c r="N239" s="332"/>
      <c r="O239" s="333"/>
      <c r="P239" s="21" t="str">
        <f ca="1">IF(AND(F239="",N120&lt;&gt;""),"**","")</f>
        <v/>
      </c>
    </row>
    <row r="240" spans="3:16" ht="13" hidden="1" thickBot="1" x14ac:dyDescent="0.3">
      <c r="D240" s="2"/>
      <c r="E240" s="2"/>
      <c r="F240" s="334"/>
      <c r="G240" s="335"/>
      <c r="H240" s="335"/>
      <c r="I240" s="335"/>
      <c r="J240" s="335"/>
      <c r="K240" s="335"/>
      <c r="L240" s="335"/>
      <c r="M240" s="335"/>
      <c r="N240" s="335"/>
      <c r="O240" s="336"/>
      <c r="P240" s="4"/>
    </row>
    <row r="241" spans="3:16" ht="13" hidden="1" thickBot="1" x14ac:dyDescent="0.3">
      <c r="D241" s="2"/>
      <c r="E241" s="2"/>
      <c r="F241" s="334"/>
      <c r="G241" s="335"/>
      <c r="H241" s="335"/>
      <c r="I241" s="335"/>
      <c r="J241" s="335"/>
      <c r="K241" s="335"/>
      <c r="L241" s="335"/>
      <c r="M241" s="335"/>
      <c r="N241" s="335"/>
      <c r="O241" s="336"/>
      <c r="P241" s="4"/>
    </row>
    <row r="242" spans="3:16" ht="13" hidden="1" thickBot="1" x14ac:dyDescent="0.3">
      <c r="D242" s="2"/>
      <c r="E242" s="2"/>
      <c r="F242" s="334"/>
      <c r="G242" s="335"/>
      <c r="H242" s="335"/>
      <c r="I242" s="335"/>
      <c r="J242" s="335"/>
      <c r="K242" s="335"/>
      <c r="L242" s="335"/>
      <c r="M242" s="335"/>
      <c r="N242" s="335"/>
      <c r="O242" s="336"/>
      <c r="P242" s="4"/>
    </row>
    <row r="243" spans="3:16" ht="13" hidden="1" thickBot="1" x14ac:dyDescent="0.3">
      <c r="D243" s="2"/>
      <c r="E243" s="2"/>
      <c r="F243" s="337"/>
      <c r="G243" s="338"/>
      <c r="H243" s="338"/>
      <c r="I243" s="338"/>
      <c r="J243" s="338"/>
      <c r="K243" s="338"/>
      <c r="L243" s="338"/>
      <c r="M243" s="338"/>
      <c r="N243" s="338"/>
      <c r="O243" s="339"/>
      <c r="P243" s="4"/>
    </row>
    <row r="244" spans="3:16" ht="13" hidden="1" thickBot="1" x14ac:dyDescent="0.3">
      <c r="D244" s="2"/>
      <c r="E244" s="2"/>
      <c r="F244" s="2"/>
      <c r="G244" s="2"/>
      <c r="H244" s="2"/>
      <c r="I244" s="2"/>
      <c r="J244" s="2"/>
      <c r="K244" s="2"/>
      <c r="L244" s="2"/>
      <c r="M244" s="2"/>
      <c r="N244" s="2"/>
      <c r="O244" s="135"/>
      <c r="P244" s="4"/>
    </row>
    <row r="245" spans="3:16" ht="12.65" hidden="1" customHeight="1" x14ac:dyDescent="0.25">
      <c r="D245" s="2" t="s">
        <v>178</v>
      </c>
      <c r="E245" s="2"/>
      <c r="F245" s="331"/>
      <c r="G245" s="332"/>
      <c r="H245" s="332"/>
      <c r="I245" s="332"/>
      <c r="J245" s="332"/>
      <c r="K245" s="332"/>
      <c r="L245" s="332"/>
      <c r="M245" s="332"/>
      <c r="N245" s="332"/>
      <c r="O245" s="333"/>
      <c r="P245" s="21" t="str">
        <f ca="1">IF(AND(F245="",N144&lt;&gt;""),"**","")</f>
        <v/>
      </c>
    </row>
    <row r="246" spans="3:16" ht="13" hidden="1" thickBot="1" x14ac:dyDescent="0.3">
      <c r="C246" s="2"/>
      <c r="D246" s="2"/>
      <c r="E246" s="2"/>
      <c r="F246" s="334"/>
      <c r="G246" s="335"/>
      <c r="H246" s="335"/>
      <c r="I246" s="335"/>
      <c r="J246" s="335"/>
      <c r="K246" s="335"/>
      <c r="L246" s="335"/>
      <c r="M246" s="335"/>
      <c r="N246" s="335"/>
      <c r="O246" s="336"/>
      <c r="P246" s="4"/>
    </row>
    <row r="247" spans="3:16" ht="13" hidden="1" thickBot="1" x14ac:dyDescent="0.3">
      <c r="C247" s="2"/>
      <c r="D247" s="2"/>
      <c r="E247" s="2"/>
      <c r="F247" s="334"/>
      <c r="G247" s="335"/>
      <c r="H247" s="335"/>
      <c r="I247" s="335"/>
      <c r="J247" s="335"/>
      <c r="K247" s="335"/>
      <c r="L247" s="335"/>
      <c r="M247" s="335"/>
      <c r="N247" s="335"/>
      <c r="O247" s="336"/>
      <c r="P247" s="4"/>
    </row>
    <row r="248" spans="3:16" ht="13" hidden="1" thickBot="1" x14ac:dyDescent="0.3">
      <c r="C248" s="2"/>
      <c r="D248" s="2"/>
      <c r="E248" s="2"/>
      <c r="F248" s="334"/>
      <c r="G248" s="335"/>
      <c r="H248" s="335"/>
      <c r="I248" s="335"/>
      <c r="J248" s="335"/>
      <c r="K248" s="335"/>
      <c r="L248" s="335"/>
      <c r="M248" s="335"/>
      <c r="N248" s="335"/>
      <c r="O248" s="336"/>
      <c r="P248" s="4"/>
    </row>
    <row r="249" spans="3:16" ht="13" hidden="1" thickBot="1" x14ac:dyDescent="0.3">
      <c r="C249" s="2"/>
      <c r="D249" s="2"/>
      <c r="E249" s="2"/>
      <c r="F249" s="337"/>
      <c r="G249" s="338"/>
      <c r="H249" s="338"/>
      <c r="I249" s="338"/>
      <c r="J249" s="338"/>
      <c r="K249" s="338"/>
      <c r="L249" s="338"/>
      <c r="M249" s="338"/>
      <c r="N249" s="338"/>
      <c r="O249" s="339"/>
      <c r="P249" s="4"/>
    </row>
    <row r="250" spans="3:16" ht="13" hidden="1" thickBot="1" x14ac:dyDescent="0.3">
      <c r="O250" s="4"/>
      <c r="P250" s="4"/>
    </row>
    <row r="251" spans="3:16" ht="13.5" hidden="1" thickBot="1" x14ac:dyDescent="0.35">
      <c r="C251" s="136" t="s">
        <v>181</v>
      </c>
      <c r="D251" s="6"/>
      <c r="E251" s="6"/>
      <c r="F251" s="6"/>
      <c r="G251" s="2"/>
      <c r="H251" s="2"/>
      <c r="I251" s="2"/>
      <c r="J251" s="2"/>
      <c r="K251" s="2"/>
      <c r="L251" s="2"/>
      <c r="M251" s="2"/>
      <c r="N251" s="2"/>
      <c r="O251" s="135"/>
      <c r="P251" s="4"/>
    </row>
    <row r="252" spans="3:16" ht="13" hidden="1" thickBot="1" x14ac:dyDescent="0.3">
      <c r="C252" s="137" t="s">
        <v>182</v>
      </c>
      <c r="D252" s="2"/>
      <c r="E252" s="2"/>
      <c r="F252" s="2"/>
      <c r="G252" s="104"/>
      <c r="H252" s="104"/>
      <c r="I252" s="104"/>
      <c r="J252" s="104"/>
      <c r="K252" s="104"/>
      <c r="L252" s="104"/>
      <c r="M252" s="104"/>
      <c r="N252" s="104"/>
      <c r="O252" s="139"/>
      <c r="P252" s="4"/>
    </row>
    <row r="253" spans="3:16" ht="13.5" hidden="1" thickBot="1" x14ac:dyDescent="0.35">
      <c r="C253" s="138"/>
      <c r="D253" s="2"/>
      <c r="E253" s="2"/>
      <c r="F253" s="2"/>
      <c r="G253" s="104"/>
      <c r="H253" s="104"/>
      <c r="I253" s="104"/>
      <c r="J253" s="104"/>
      <c r="K253" s="104"/>
      <c r="L253" s="104"/>
      <c r="M253" s="104"/>
      <c r="N253" s="104"/>
      <c r="O253" s="139"/>
      <c r="P253" s="4"/>
    </row>
    <row r="254" spans="3:16" ht="13.5" hidden="1" thickBot="1" x14ac:dyDescent="0.3">
      <c r="D254" s="2" t="s">
        <v>183</v>
      </c>
      <c r="E254" s="2"/>
      <c r="F254" s="331"/>
      <c r="G254" s="332"/>
      <c r="H254" s="332"/>
      <c r="I254" s="332"/>
      <c r="J254" s="332"/>
      <c r="K254" s="332"/>
      <c r="L254" s="332"/>
      <c r="M254" s="332"/>
      <c r="N254" s="332"/>
      <c r="O254" s="333"/>
      <c r="P254" s="21" t="str">
        <f ca="1">IF(AND(F254="",N181&lt;&gt;""),"**","")</f>
        <v/>
      </c>
    </row>
    <row r="255" spans="3:16" ht="13" hidden="1" thickBot="1" x14ac:dyDescent="0.3">
      <c r="D255" s="2"/>
      <c r="E255" s="2"/>
      <c r="F255" s="334"/>
      <c r="G255" s="335"/>
      <c r="H255" s="335"/>
      <c r="I255" s="335"/>
      <c r="J255" s="335"/>
      <c r="K255" s="335"/>
      <c r="L255" s="335"/>
      <c r="M255" s="335"/>
      <c r="N255" s="335"/>
      <c r="O255" s="336"/>
      <c r="P255" s="4"/>
    </row>
    <row r="256" spans="3:16" ht="13" hidden="1" thickBot="1" x14ac:dyDescent="0.3">
      <c r="D256" s="2"/>
      <c r="E256" s="2"/>
      <c r="F256" s="337"/>
      <c r="G256" s="338"/>
      <c r="H256" s="338"/>
      <c r="I256" s="338"/>
      <c r="J256" s="338"/>
      <c r="K256" s="338"/>
      <c r="L256" s="338"/>
      <c r="M256" s="338"/>
      <c r="N256" s="338"/>
      <c r="O256" s="339"/>
      <c r="P256" s="4"/>
    </row>
    <row r="257" spans="2:18" ht="13" hidden="1" thickBot="1" x14ac:dyDescent="0.3">
      <c r="C257" s="104"/>
      <c r="D257" s="104"/>
      <c r="E257" s="104"/>
      <c r="F257" s="140"/>
      <c r="G257" s="104"/>
      <c r="H257" s="104"/>
      <c r="I257" s="104"/>
      <c r="J257" s="104"/>
      <c r="K257" s="104"/>
      <c r="L257" s="104"/>
      <c r="M257" s="104"/>
      <c r="N257" s="104"/>
      <c r="O257" s="139"/>
      <c r="P257" s="4"/>
    </row>
    <row r="258" spans="2:18" ht="13.5" hidden="1" thickBot="1" x14ac:dyDescent="0.35">
      <c r="C258" s="136" t="s">
        <v>184</v>
      </c>
      <c r="D258" s="6"/>
      <c r="E258" s="6"/>
      <c r="F258" s="6"/>
      <c r="G258" s="6"/>
      <c r="H258" s="6"/>
      <c r="I258" s="2"/>
      <c r="J258" s="2"/>
      <c r="K258" s="2"/>
      <c r="L258" s="2"/>
      <c r="M258" s="2"/>
      <c r="N258" s="2"/>
      <c r="O258" s="135"/>
      <c r="P258" s="4"/>
    </row>
    <row r="259" spans="2:18" ht="13" hidden="1" thickBot="1" x14ac:dyDescent="0.3">
      <c r="C259" s="137" t="s">
        <v>185</v>
      </c>
      <c r="D259" s="2"/>
      <c r="E259" s="2"/>
      <c r="F259" s="2"/>
      <c r="G259" s="2"/>
      <c r="H259" s="2"/>
      <c r="I259" s="2"/>
      <c r="J259" s="2"/>
      <c r="K259" s="2"/>
      <c r="L259" s="2"/>
      <c r="M259" s="2"/>
      <c r="N259" s="2"/>
      <c r="O259" s="135"/>
      <c r="P259" s="4"/>
    </row>
    <row r="260" spans="2:18" ht="13" hidden="1" thickBot="1" x14ac:dyDescent="0.3">
      <c r="C260" s="137"/>
      <c r="D260" s="2"/>
      <c r="E260" s="2"/>
      <c r="F260" s="2"/>
      <c r="G260" s="2"/>
      <c r="H260" s="2"/>
      <c r="I260" s="2"/>
      <c r="J260" s="2"/>
      <c r="K260" s="2"/>
      <c r="L260" s="2"/>
      <c r="M260" s="2"/>
      <c r="N260" s="2"/>
      <c r="O260" s="135"/>
      <c r="P260" s="4"/>
    </row>
    <row r="261" spans="2:18" ht="13.5" hidden="1" thickBot="1" x14ac:dyDescent="0.3">
      <c r="D261" s="2" t="s">
        <v>178</v>
      </c>
      <c r="E261" s="2"/>
      <c r="F261" s="331"/>
      <c r="G261" s="332"/>
      <c r="H261" s="332"/>
      <c r="I261" s="332"/>
      <c r="J261" s="332"/>
      <c r="K261" s="332"/>
      <c r="L261" s="332"/>
      <c r="M261" s="332"/>
      <c r="N261" s="332"/>
      <c r="O261" s="333"/>
      <c r="P261" s="21" t="str">
        <f>IF(AND(F261="",N189&lt;&gt;""),"**","")</f>
        <v/>
      </c>
    </row>
    <row r="262" spans="2:18" ht="13" hidden="1" thickBot="1" x14ac:dyDescent="0.3">
      <c r="B262" s="2"/>
      <c r="C262" s="2"/>
      <c r="D262" s="2"/>
      <c r="E262" s="2"/>
      <c r="F262" s="334"/>
      <c r="G262" s="335"/>
      <c r="H262" s="335"/>
      <c r="I262" s="335"/>
      <c r="J262" s="335"/>
      <c r="K262" s="335"/>
      <c r="L262" s="335"/>
      <c r="M262" s="335"/>
      <c r="N262" s="335"/>
      <c r="O262" s="336"/>
      <c r="P262" s="4"/>
    </row>
    <row r="263" spans="2:18" ht="13" hidden="1" thickBot="1" x14ac:dyDescent="0.3">
      <c r="B263" s="2"/>
      <c r="C263" s="2"/>
      <c r="D263" s="2"/>
      <c r="E263" s="2"/>
      <c r="F263" s="337"/>
      <c r="G263" s="338"/>
      <c r="H263" s="338"/>
      <c r="I263" s="338"/>
      <c r="J263" s="338"/>
      <c r="K263" s="338"/>
      <c r="L263" s="338"/>
      <c r="M263" s="338"/>
      <c r="N263" s="338"/>
      <c r="O263" s="339"/>
      <c r="P263" s="4"/>
    </row>
    <row r="264" spans="2:18" ht="13" hidden="1" thickBot="1" x14ac:dyDescent="0.3">
      <c r="B264" s="104"/>
      <c r="C264" s="104"/>
      <c r="D264" s="104"/>
      <c r="E264" s="104"/>
      <c r="F264" s="104"/>
      <c r="G264" s="104"/>
      <c r="H264" s="104"/>
      <c r="I264" s="104"/>
      <c r="J264" s="104"/>
      <c r="K264" s="104"/>
      <c r="L264" s="104"/>
      <c r="M264" s="104"/>
      <c r="N264" s="104"/>
      <c r="O264" s="139"/>
      <c r="P264" s="4"/>
    </row>
    <row r="265" spans="2:18" ht="13" hidden="1" thickBot="1" x14ac:dyDescent="0.3">
      <c r="B265" s="2"/>
      <c r="C265" s="2"/>
      <c r="D265" s="2"/>
      <c r="E265" s="2"/>
      <c r="F265" s="2"/>
      <c r="G265" s="2"/>
      <c r="H265" s="2"/>
      <c r="I265" s="2"/>
      <c r="J265" s="2"/>
      <c r="K265" s="2"/>
      <c r="L265" s="2"/>
      <c r="M265" s="2"/>
      <c r="N265" s="2"/>
      <c r="O265" s="135"/>
      <c r="P265" s="4"/>
    </row>
    <row r="266" spans="2:18" ht="13.5" hidden="1" thickBot="1" x14ac:dyDescent="0.35">
      <c r="B266" s="141" t="s">
        <v>186</v>
      </c>
      <c r="C266" s="2"/>
      <c r="D266" s="141" t="s">
        <v>187</v>
      </c>
      <c r="F266" s="28"/>
      <c r="G266" s="28"/>
      <c r="H266" s="28"/>
      <c r="I266" s="28"/>
      <c r="J266" s="28"/>
      <c r="K266" s="28"/>
      <c r="L266" s="28"/>
      <c r="M266" s="28"/>
      <c r="N266" s="28"/>
      <c r="O266" s="142"/>
      <c r="P266" s="4"/>
    </row>
    <row r="267" spans="2:18" ht="13.5" hidden="1" thickBot="1" x14ac:dyDescent="0.35">
      <c r="B267" s="2"/>
      <c r="C267" s="2"/>
      <c r="D267" s="141" t="s">
        <v>188</v>
      </c>
      <c r="F267" s="28"/>
      <c r="G267" s="28"/>
      <c r="H267" s="28"/>
      <c r="I267" s="28"/>
      <c r="J267" s="28"/>
      <c r="K267" s="28"/>
      <c r="L267" s="28"/>
      <c r="M267" s="28"/>
      <c r="N267" s="28"/>
      <c r="O267" s="142"/>
      <c r="P267" s="4"/>
    </row>
    <row r="268" spans="2:18" ht="13.5" hidden="1" thickBot="1" x14ac:dyDescent="0.35">
      <c r="B268" s="2"/>
      <c r="C268" s="2"/>
      <c r="D268" s="141" t="s">
        <v>189</v>
      </c>
      <c r="F268" s="28"/>
      <c r="G268" s="28"/>
      <c r="H268" s="28"/>
      <c r="I268" s="28"/>
      <c r="J268" s="28"/>
      <c r="K268" s="28"/>
      <c r="L268" s="28"/>
      <c r="M268" s="28"/>
      <c r="N268" s="28"/>
      <c r="O268" s="142"/>
      <c r="P268" s="4"/>
    </row>
    <row r="269" spans="2:18" ht="13" hidden="1" thickBot="1" x14ac:dyDescent="0.3">
      <c r="O269" s="4"/>
      <c r="P269" s="4"/>
    </row>
    <row r="270" spans="2:18" ht="13.5" hidden="1" thickBot="1" x14ac:dyDescent="0.3">
      <c r="D270" s="9" t="str">
        <f>IF(OR(K$36=F$616,K$36=F$617),"What is the proposed LIHTC Set-Aside Percentage?","")</f>
        <v/>
      </c>
      <c r="I270" s="340">
        <v>90</v>
      </c>
      <c r="J270" s="340"/>
      <c r="K270" s="340"/>
      <c r="N270" s="14" t="str">
        <f>IF(OR(K$36=F$616,K$36=F$617),IF(AND(K$37&lt;&gt;"(enter a value)",N(I$270)&gt;0),"("&amp;TEXT(ROUNDUP(K$37*I270/100,0),"0")&amp;" low-income units)","Inputs Needed"),"")</f>
        <v/>
      </c>
      <c r="O270" s="4"/>
      <c r="P270" s="143" t="s">
        <v>28</v>
      </c>
    </row>
    <row r="271" spans="2:18" ht="13.5" hidden="1" thickBot="1" x14ac:dyDescent="0.3">
      <c r="D271" s="9" t="str">
        <f>IF(OR(K$36=F$616,K$36=F$617),"Does the proposed Development qualify for a 30% basis boost?","")</f>
        <v/>
      </c>
      <c r="I271" s="341" t="s">
        <v>190</v>
      </c>
      <c r="J271" s="341"/>
      <c r="K271" s="341"/>
      <c r="N271" s="14" t="str">
        <f>IF(OR(K$36=F$616,K$36=F$617),IF(I$271="&lt;select from menu&gt;","Inputs Needed",""),"")</f>
        <v/>
      </c>
      <c r="O271" s="4"/>
      <c r="P271" s="143" t="s">
        <v>28</v>
      </c>
      <c r="R271" s="60"/>
    </row>
    <row r="272" spans="2:18" ht="13" hidden="1" thickBot="1" x14ac:dyDescent="0.3">
      <c r="O272" s="4"/>
      <c r="P272" s="4"/>
    </row>
    <row r="273" spans="1:27" ht="13" hidden="1" thickBot="1" x14ac:dyDescent="0.3">
      <c r="D273" s="9" t="str">
        <f>IF(OR(K$36=F$616,K$36=F$617),"Development Category verification (Sect. Four, A.4.b.(2)(b)(iii) &amp; (d)(iii)): Twenty percent of the adjusted basis of the acquired building ("&amp;TEXT(IF(H187=0,0,H192),"$#,##0")&amp;")","")</f>
        <v/>
      </c>
      <c r="O273" s="4"/>
      <c r="P273" s="4"/>
      <c r="R273" s="9"/>
    </row>
    <row r="274" spans="1:27" ht="13" hidden="1" thickBot="1" x14ac:dyDescent="0.3">
      <c r="D274" s="9" t="str">
        <f>IF(OR(K$36=F$616,K$36=F$617),"is "&amp;TEXT(20%*IF(H187=0,0,H192),"$#,##0")&amp;". Rehabilitation expenses are calculated by taking eligible Development Costs ("&amp;TEXT(N(H194),"$#,##0")&amp;"), subtracting eligible Acquisition Costs of ","")</f>
        <v/>
      </c>
      <c r="O274" s="4"/>
      <c r="P274" s="4"/>
      <c r="R274" s="9"/>
    </row>
    <row r="275" spans="1:27" ht="13" hidden="1" thickBot="1" x14ac:dyDescent="0.3">
      <c r="D275" s="9" t="str">
        <f>IF(OR(K$36=F$616,K$36=F$617),"Existing Development ("&amp;TEXT(N(H192),"$#,##0")&amp;"), and add the eligible basis of Developer Fee on Non-Acquisition Costs ("&amp;TEXT(H201,"$#,##0")&amp;"), for a total for","")</f>
        <v/>
      </c>
      <c r="O275" s="4"/>
      <c r="P275" s="4"/>
      <c r="R275" s="9"/>
    </row>
    <row r="276" spans="1:27" ht="13" hidden="1" thickBot="1" x14ac:dyDescent="0.3">
      <c r="D276" s="9" t="str">
        <f>IF(OR(K$36=F$616,K$36=F$617),"rehabilitation expenses of "&amp;TEXT(N(H194)-N(H192)+N(H201),"$#,##0")&amp;". To convert to qualifed basis per LIHTC set-aside unit, multiply rehabilitation expenses by "&amp;IF(I271="Yes","1.3","1.0")&amp;" for the","")</f>
        <v/>
      </c>
      <c r="O276" s="4"/>
      <c r="P276" s="4"/>
      <c r="R276" s="9"/>
    </row>
    <row r="277" spans="1:27" ht="13" hidden="1" thickBot="1" x14ac:dyDescent="0.3">
      <c r="D277" s="144" t="str">
        <f>IF(OR(K$36=F$616,K$36=F$617),IF(OR(K$37="(enter a value)",I$270="(enter a percentage)",I$270=0),"basis boost status, multiply by the LIHTC set-aside percentage of 0% and then divide by 0 LIHTC set-aside units to get $0",IF(OR(K$36=F$616,K$36=F$617),"basis boost status, multiply by the LIHTC set-aside percentage of "&amp;TEXT(N(I270)/100,"0%")&amp;" and then divide by "&amp;TEXT(ROUNDUP(N(K$37)*N(I270)/100,0),"0")&amp;" LIHTC set-aside units to get "&amp;TEXT((N(H194)-N(H192)+N(H201))*IF(I271="Yes",1.3,1)*N(I270)/100/ROUNDUP(N(K$37)*N(I270)/100,0),"$#,##0"),"")),"")</f>
        <v/>
      </c>
      <c r="O277" s="4"/>
      <c r="P277" s="4"/>
      <c r="R277" s="144"/>
    </row>
    <row r="278" spans="1:27" ht="13" hidden="1" thickBot="1" x14ac:dyDescent="0.3">
      <c r="D278" s="144" t="str">
        <f>IF(OR(K$36=F$616,K$36=F$617),"per low-income unit.","")</f>
        <v/>
      </c>
      <c r="O278" s="4"/>
      <c r="P278" s="4"/>
      <c r="R278" s="144"/>
    </row>
    <row r="279" spans="1:27" ht="33" hidden="1" customHeight="1" x14ac:dyDescent="0.25">
      <c r="D279" s="9" t="str">
        <f>IF(OR(K$36=F$616,K$36=F$617),"First bullet: rehabilitation expenses of "&amp;TEXT(N(H194)-N(H192)+N(H201),"$#,##0")&amp;" is "&amp;IF(N(H194)-N(H192)+N(H201)&gt;20%*IF(N(H187)=0,0,N(H192)),"greater than",IF(N(H194)-N(H192)+N(H201)&lt;20%*IF(N(H187)=0,0,N(H192)),"less than","equal to"))&amp;" 20 percent of the adjusted basis of the acquired building ("&amp;TEXT(20%*IF(N(H187)=0,0,N(H192)),"$#,##0")&amp;").","")</f>
        <v/>
      </c>
      <c r="O279" s="4"/>
      <c r="P279" s="4"/>
      <c r="R279" s="9"/>
    </row>
    <row r="280" spans="1:27" ht="23.25" hidden="1" customHeight="1" x14ac:dyDescent="0.25">
      <c r="D280" s="9" t="str">
        <f>IF(OR(K$36=F$616,K$36=F$617),IF(OR(K$37="(enter a value)",I$270="(enter a percentage)",I$270=0),"Second bullet: qualified basis of the estimated rehabilitation expenses per low-income unit of $0 is less than $15,000.",IF(OR(K$36=F$616,K$36=F$617),"Second bullet: qualified basis of the estimated rehabilitation expenses per low-income unit of "&amp;TEXT((N(H194)-N(H192)+N(H201))*IF(I271="Yes",1.3,1)*N(I270)/100/ROUNDUP(N(K$37)*N(I270)/100,0),"$#,##0")&amp;" is "&amp;IF((N(H194)-N(H192)+N(H201))*IF(I271="Yes",1.3,1)*N(I270)/100/ROUNDUP(N(K$37)*N(I270)/100,0)&gt;15000,"greater than",IF((N(H194)-N(H192)+N(H201))*IF(I271="Yes",1.3,1)*N(I270)/100/ROUNDUP(N(K$37)*N(I270)/100,0)&lt;15000,"less than","equal to"))&amp;" $15,000.","")),"")</f>
        <v/>
      </c>
      <c r="O280" s="4"/>
      <c r="P280" s="4"/>
      <c r="R280" s="9"/>
    </row>
    <row r="281" spans="1:27" ht="32.25" hidden="1" customHeight="1" thickBot="1" x14ac:dyDescent="0.3">
      <c r="O281" s="4"/>
      <c r="P281" s="4"/>
    </row>
    <row r="282" spans="1:27" ht="3.75" customHeight="1" x14ac:dyDescent="0.25">
      <c r="A282" s="1"/>
      <c r="B282" s="1"/>
      <c r="C282" s="1"/>
      <c r="D282" s="1"/>
      <c r="E282" s="1"/>
      <c r="F282" s="1"/>
      <c r="G282" s="1"/>
      <c r="H282" s="1"/>
      <c r="I282" s="1"/>
      <c r="J282" s="1"/>
      <c r="K282" s="1"/>
      <c r="L282" s="1"/>
      <c r="M282" s="1"/>
      <c r="N282" s="1"/>
      <c r="O282" s="78"/>
      <c r="P282" s="78"/>
      <c r="Q282" s="342" t="s">
        <v>191</v>
      </c>
      <c r="R282" s="343"/>
      <c r="S282" s="343"/>
      <c r="T282" s="343"/>
      <c r="U282" s="343"/>
      <c r="V282" s="343"/>
      <c r="W282" s="343"/>
      <c r="X282" s="343"/>
      <c r="Y282" s="343"/>
      <c r="Z282" s="343"/>
      <c r="AA282" s="344"/>
    </row>
    <row r="283" spans="1:27" ht="13.5" customHeight="1" x14ac:dyDescent="0.3">
      <c r="B283" s="6" t="str">
        <f>B$2</f>
        <v>RFA 2021-211 DEVELOPMENT COST PRO FORMA</v>
      </c>
      <c r="O283" s="4"/>
      <c r="P283" s="5" t="s">
        <v>480</v>
      </c>
      <c r="Q283" s="345"/>
      <c r="R283" s="346"/>
      <c r="S283" s="346"/>
      <c r="T283" s="346"/>
      <c r="U283" s="346"/>
      <c r="V283" s="346"/>
      <c r="W283" s="346"/>
      <c r="X283" s="346"/>
      <c r="Y283" s="346"/>
      <c r="Z283" s="346"/>
      <c r="AA283" s="347"/>
    </row>
    <row r="284" spans="1:27" ht="12.75" customHeight="1" x14ac:dyDescent="0.25">
      <c r="O284" s="4"/>
      <c r="P284" s="4"/>
      <c r="Q284" s="345"/>
      <c r="R284" s="346"/>
      <c r="S284" s="346"/>
      <c r="T284" s="346"/>
      <c r="U284" s="346"/>
      <c r="V284" s="346"/>
      <c r="W284" s="346"/>
      <c r="X284" s="346"/>
      <c r="Y284" s="346"/>
      <c r="Z284" s="346"/>
      <c r="AA284" s="347"/>
    </row>
    <row r="285" spans="1:27" ht="12.75" customHeight="1" thickBot="1" x14ac:dyDescent="0.3">
      <c r="O285" s="4"/>
      <c r="P285" s="4"/>
      <c r="Q285" s="348"/>
      <c r="R285" s="349"/>
      <c r="S285" s="349"/>
      <c r="T285" s="349"/>
      <c r="U285" s="349"/>
      <c r="V285" s="349"/>
      <c r="W285" s="349"/>
      <c r="X285" s="349"/>
      <c r="Y285" s="349"/>
      <c r="Z285" s="349"/>
      <c r="AA285" s="350"/>
    </row>
    <row r="286" spans="1:27" ht="13.25" customHeight="1" x14ac:dyDescent="0.3">
      <c r="B286" s="6" t="s">
        <v>192</v>
      </c>
      <c r="C286" s="2"/>
      <c r="D286" s="2"/>
      <c r="E286" s="2"/>
      <c r="F286" s="2"/>
      <c r="G286" s="2"/>
      <c r="H286" s="27"/>
      <c r="I286" s="2"/>
      <c r="J286" s="2"/>
      <c r="K286" s="27"/>
      <c r="L286" s="2"/>
      <c r="M286" s="28"/>
      <c r="N286" s="27"/>
      <c r="O286" s="4"/>
      <c r="P286" s="4"/>
    </row>
    <row r="287" spans="1:27" ht="20" customHeight="1" x14ac:dyDescent="0.3">
      <c r="B287" s="6"/>
      <c r="C287" s="2"/>
      <c r="D287" s="2"/>
      <c r="E287" s="2"/>
      <c r="F287" s="2"/>
      <c r="G287" s="2"/>
      <c r="H287" s="30" t="str">
        <f>H$40</f>
        <v>Original Application</v>
      </c>
      <c r="I287" s="27"/>
      <c r="J287" s="27"/>
      <c r="K287" s="30" t="str">
        <f>K$40</f>
        <v>Approved CUR</v>
      </c>
      <c r="L287" s="93"/>
      <c r="M287" s="94"/>
      <c r="N287" s="30" t="str">
        <f>N$40</f>
        <v>Current Application</v>
      </c>
      <c r="O287" s="4"/>
      <c r="P287" s="60"/>
      <c r="T287" s="60"/>
      <c r="U287" s="60"/>
      <c r="V287" s="60"/>
      <c r="W287" s="60"/>
      <c r="X287" s="60"/>
      <c r="Y287" s="60"/>
      <c r="Z287" s="60"/>
      <c r="AA287" s="60"/>
    </row>
    <row r="288" spans="1:27" ht="12.75" customHeight="1" x14ac:dyDescent="0.3">
      <c r="B288" s="2"/>
      <c r="C288" s="2"/>
      <c r="D288" s="2"/>
      <c r="E288" s="2"/>
      <c r="F288" s="2"/>
      <c r="G288" s="2"/>
      <c r="H288" s="2"/>
      <c r="I288" s="2"/>
      <c r="J288" s="2"/>
      <c r="K288" s="2"/>
      <c r="L288" s="2"/>
      <c r="M288" s="2"/>
      <c r="N288" s="2"/>
      <c r="O288" s="60"/>
      <c r="P288" s="60"/>
      <c r="Q288" s="60"/>
      <c r="R288" s="145"/>
      <c r="S288" s="98"/>
    </row>
    <row r="289" spans="2:36" ht="13.25" customHeight="1" x14ac:dyDescent="0.3">
      <c r="B289" s="19" t="s">
        <v>193</v>
      </c>
      <c r="C289" s="6" t="s">
        <v>194</v>
      </c>
      <c r="D289" s="2"/>
      <c r="E289" s="2"/>
      <c r="F289" s="2"/>
      <c r="G289" s="19" t="s">
        <v>37</v>
      </c>
      <c r="H289" s="51" t="str">
        <f ca="1">IF(H212="","",H212)</f>
        <v/>
      </c>
      <c r="I289" s="2"/>
      <c r="J289" s="19" t="s">
        <v>37</v>
      </c>
      <c r="K289" s="51" t="str">
        <f ca="1">IF(K212="","",K212)</f>
        <v/>
      </c>
      <c r="L289" s="100"/>
      <c r="M289" s="19" t="s">
        <v>37</v>
      </c>
      <c r="N289" s="51" t="str">
        <f ca="1">IF(N212="","",N212)</f>
        <v/>
      </c>
      <c r="O289" s="60"/>
      <c r="P289" s="60"/>
      <c r="Q289" s="60"/>
      <c r="R289" s="146"/>
      <c r="S289" s="146"/>
      <c r="T289" s="146"/>
      <c r="U289" s="147"/>
      <c r="V289" s="147"/>
    </row>
    <row r="290" spans="2:36" ht="12.75" customHeight="1" x14ac:dyDescent="0.3">
      <c r="B290" s="2"/>
      <c r="C290" s="2"/>
      <c r="D290" s="2"/>
      <c r="E290" s="2"/>
      <c r="F290" s="2"/>
      <c r="G290" s="2"/>
      <c r="H290" s="49"/>
      <c r="I290" s="2"/>
      <c r="J290" s="2"/>
      <c r="K290" s="49"/>
      <c r="L290" s="49"/>
      <c r="M290" s="2"/>
      <c r="N290" s="49"/>
      <c r="O290" s="60"/>
      <c r="P290" s="60"/>
      <c r="Q290" s="60"/>
      <c r="R290" s="148"/>
      <c r="S290" s="149"/>
      <c r="T290" s="148"/>
      <c r="U290" s="150"/>
      <c r="V290" s="150"/>
      <c r="X290" s="23"/>
      <c r="AE290" s="60"/>
      <c r="AF290" s="60"/>
      <c r="AG290" s="60"/>
      <c r="AH290" s="60"/>
      <c r="AI290" s="60"/>
      <c r="AJ290" s="60"/>
    </row>
    <row r="291" spans="2:36" ht="13.25" customHeight="1" x14ac:dyDescent="0.3">
      <c r="B291" s="19" t="s">
        <v>142</v>
      </c>
      <c r="C291" s="6" t="s">
        <v>195</v>
      </c>
      <c r="D291" s="2"/>
      <c r="E291" s="2"/>
      <c r="F291" s="2"/>
      <c r="G291" s="2"/>
      <c r="H291" s="49"/>
      <c r="I291" s="2"/>
      <c r="J291" s="2"/>
      <c r="K291" s="49"/>
      <c r="L291" s="49"/>
      <c r="M291" s="2"/>
      <c r="N291" s="49"/>
      <c r="O291" s="60"/>
      <c r="P291" s="60"/>
      <c r="Q291" s="151" t="s">
        <v>196</v>
      </c>
      <c r="S291" s="149"/>
      <c r="X291" s="23"/>
      <c r="AE291" s="60"/>
      <c r="AF291" s="60"/>
      <c r="AG291" s="60"/>
      <c r="AH291" s="60"/>
      <c r="AI291" s="60"/>
      <c r="AJ291" s="60"/>
    </row>
    <row r="292" spans="2:36" ht="12.75" customHeight="1" x14ac:dyDescent="0.25">
      <c r="B292" s="2"/>
      <c r="C292" s="2"/>
      <c r="D292" s="2"/>
      <c r="E292" s="2"/>
      <c r="F292" s="2"/>
      <c r="G292" s="20"/>
      <c r="H292" s="49"/>
      <c r="I292" s="2"/>
      <c r="J292" s="20"/>
      <c r="K292" s="49"/>
      <c r="L292" s="49"/>
      <c r="M292" s="20"/>
      <c r="N292" s="49"/>
      <c r="O292" s="60"/>
      <c r="P292" s="60"/>
      <c r="Q292" s="152"/>
      <c r="S292" s="2"/>
      <c r="X292" s="23"/>
      <c r="AE292" s="60"/>
      <c r="AF292" s="60"/>
      <c r="AG292" s="60"/>
      <c r="AH292" s="60"/>
      <c r="AI292" s="60"/>
      <c r="AJ292" s="60"/>
    </row>
    <row r="293" spans="2:36" ht="13.25" customHeight="1" x14ac:dyDescent="0.3">
      <c r="B293" s="153">
        <f>MAX(B$292:B292)+1</f>
        <v>1</v>
      </c>
      <c r="C293" s="2" t="s">
        <v>474</v>
      </c>
      <c r="D293" s="2"/>
      <c r="E293" s="2"/>
      <c r="F293" s="2"/>
      <c r="G293" s="20" t="s">
        <v>37</v>
      </c>
      <c r="H293" s="43"/>
      <c r="I293" s="2"/>
      <c r="J293" s="20" t="s">
        <v>37</v>
      </c>
      <c r="K293" s="43"/>
      <c r="L293" s="288"/>
      <c r="M293" s="20" t="s">
        <v>37</v>
      </c>
      <c r="N293" s="43"/>
      <c r="O293" s="60"/>
      <c r="P293" s="60"/>
      <c r="Q293" s="293" t="s">
        <v>475</v>
      </c>
      <c r="R293" s="145"/>
      <c r="AE293" s="60"/>
      <c r="AF293" s="60"/>
      <c r="AG293" s="60"/>
      <c r="AH293" s="60"/>
      <c r="AI293" s="60"/>
      <c r="AJ293" s="60"/>
    </row>
    <row r="294" spans="2:36" ht="12.75" customHeight="1" x14ac:dyDescent="0.25">
      <c r="B294" s="155"/>
      <c r="C294" s="2"/>
      <c r="D294" s="2"/>
      <c r="E294" s="2"/>
      <c r="F294" s="2"/>
      <c r="G294" s="20"/>
      <c r="H294" s="49"/>
      <c r="I294" s="2"/>
      <c r="J294" s="20"/>
      <c r="K294" s="49"/>
      <c r="L294" s="49"/>
      <c r="M294" s="20"/>
      <c r="N294" s="49"/>
      <c r="O294" s="60"/>
      <c r="P294" s="60"/>
      <c r="Q294" s="152"/>
      <c r="R294" s="55"/>
      <c r="S294" s="55"/>
      <c r="T294" s="55"/>
      <c r="U294" s="55"/>
      <c r="V294" s="55"/>
      <c r="W294" s="55"/>
      <c r="X294" s="55"/>
      <c r="Y294" s="55"/>
      <c r="Z294" s="55"/>
      <c r="AA294" s="55"/>
      <c r="AB294" s="55"/>
      <c r="AC294" s="55"/>
      <c r="AE294" s="60"/>
      <c r="AF294" s="60"/>
      <c r="AG294" s="60"/>
      <c r="AH294" s="60"/>
      <c r="AI294" s="60"/>
      <c r="AJ294" s="60"/>
    </row>
    <row r="295" spans="2:36" ht="13.25" customHeight="1" x14ac:dyDescent="0.25">
      <c r="B295" s="153">
        <f>MAX(B$292:B294)+1</f>
        <v>2</v>
      </c>
      <c r="C295" s="2" t="s">
        <v>197</v>
      </c>
      <c r="D295" s="2"/>
      <c r="E295" s="2"/>
      <c r="F295" s="2"/>
      <c r="G295" s="20" t="s">
        <v>37</v>
      </c>
      <c r="H295" s="43"/>
      <c r="I295" s="2"/>
      <c r="J295" s="20" t="s">
        <v>37</v>
      </c>
      <c r="K295" s="43"/>
      <c r="L295" s="288"/>
      <c r="M295" s="20" t="s">
        <v>37</v>
      </c>
      <c r="N295" s="43"/>
      <c r="O295" s="60"/>
      <c r="P295" s="60"/>
      <c r="Q295" s="154">
        <f>IF(N(K$37)=0,0,N(H295)/K$37)</f>
        <v>0</v>
      </c>
      <c r="R295" s="55"/>
      <c r="S295" s="55"/>
      <c r="T295" s="55"/>
      <c r="U295" s="55"/>
      <c r="V295" s="55"/>
      <c r="W295" s="55"/>
      <c r="X295" s="55"/>
      <c r="Y295" s="55"/>
      <c r="Z295" s="55"/>
      <c r="AA295" s="55"/>
      <c r="AB295" s="55"/>
      <c r="AC295" s="55"/>
      <c r="AE295" s="60"/>
      <c r="AF295" s="60"/>
      <c r="AG295" s="60"/>
      <c r="AH295" s="60"/>
      <c r="AI295" s="60"/>
      <c r="AJ295" s="60"/>
    </row>
    <row r="296" spans="2:36" ht="12.75" customHeight="1" x14ac:dyDescent="0.25">
      <c r="B296" s="2"/>
      <c r="C296" s="2"/>
      <c r="D296" s="2"/>
      <c r="E296" s="2"/>
      <c r="F296" s="2"/>
      <c r="G296" s="20"/>
      <c r="H296" s="49"/>
      <c r="I296" s="2"/>
      <c r="J296" s="20"/>
      <c r="K296" s="49"/>
      <c r="L296" s="49"/>
      <c r="M296" s="20"/>
      <c r="N296" s="49"/>
      <c r="O296" s="60"/>
      <c r="P296" s="60"/>
      <c r="Q296" s="152"/>
      <c r="AE296" s="60"/>
      <c r="AF296" s="60"/>
      <c r="AG296" s="60"/>
      <c r="AH296" s="60"/>
      <c r="AI296" s="60"/>
      <c r="AJ296" s="60"/>
    </row>
    <row r="297" spans="2:36" ht="13.25" customHeight="1" x14ac:dyDescent="0.3">
      <c r="B297" s="153">
        <f>MAX(B$292:B296)+1</f>
        <v>3</v>
      </c>
      <c r="C297" s="2" t="s">
        <v>197</v>
      </c>
      <c r="D297" s="2"/>
      <c r="E297" s="2"/>
      <c r="F297" s="2"/>
      <c r="G297" s="20" t="s">
        <v>37</v>
      </c>
      <c r="H297" s="43"/>
      <c r="I297" s="2"/>
      <c r="J297" s="20" t="s">
        <v>37</v>
      </c>
      <c r="K297" s="43"/>
      <c r="L297" s="288"/>
      <c r="M297" s="20" t="s">
        <v>37</v>
      </c>
      <c r="N297" s="43"/>
      <c r="O297" s="60"/>
      <c r="P297" s="60"/>
      <c r="Q297" s="154">
        <f>IF(N(K$37)=0,0,N(H297)/K$37)</f>
        <v>0</v>
      </c>
      <c r="R297" s="145"/>
      <c r="U297" s="60"/>
      <c r="V297" s="60"/>
      <c r="W297" s="60"/>
      <c r="X297" s="60"/>
      <c r="Y297" s="2"/>
      <c r="AE297" s="60"/>
      <c r="AF297" s="60"/>
      <c r="AG297" s="60"/>
      <c r="AH297" s="60"/>
      <c r="AI297" s="60"/>
      <c r="AJ297" s="60"/>
    </row>
    <row r="298" spans="2:36" ht="12.75" customHeight="1" x14ac:dyDescent="0.3">
      <c r="B298" s="2"/>
      <c r="C298" s="2"/>
      <c r="D298" s="2"/>
      <c r="E298" s="2"/>
      <c r="F298" s="2"/>
      <c r="G298" s="20"/>
      <c r="H298" s="49"/>
      <c r="I298" s="2"/>
      <c r="J298" s="20"/>
      <c r="K298" s="49"/>
      <c r="L298" s="49"/>
      <c r="M298" s="20"/>
      <c r="N298" s="49"/>
      <c r="O298" s="60"/>
      <c r="P298" s="60"/>
      <c r="Q298" s="152"/>
      <c r="R298" s="156"/>
      <c r="S298" s="156"/>
      <c r="T298" s="156"/>
      <c r="U298" s="157"/>
      <c r="V298" s="157"/>
      <c r="W298" s="60"/>
      <c r="X298" s="60"/>
      <c r="AD298" s="60"/>
      <c r="AE298" s="60"/>
      <c r="AF298" s="60"/>
      <c r="AG298" s="60"/>
      <c r="AH298" s="60"/>
      <c r="AI298" s="60"/>
      <c r="AJ298" s="60"/>
    </row>
    <row r="299" spans="2:36" ht="13.25" customHeight="1" x14ac:dyDescent="0.25">
      <c r="B299" s="153">
        <f>MAX(B$292:B298)+1</f>
        <v>4</v>
      </c>
      <c r="C299" s="2" t="s">
        <v>197</v>
      </c>
      <c r="D299" s="2"/>
      <c r="E299" s="2"/>
      <c r="F299" s="2"/>
      <c r="G299" s="20" t="s">
        <v>37</v>
      </c>
      <c r="H299" s="43"/>
      <c r="I299" s="2"/>
      <c r="J299" s="20" t="s">
        <v>37</v>
      </c>
      <c r="K299" s="43"/>
      <c r="L299" s="288"/>
      <c r="M299" s="20" t="s">
        <v>37</v>
      </c>
      <c r="N299" s="43"/>
      <c r="O299" s="60"/>
      <c r="P299" s="60"/>
      <c r="Q299" s="154">
        <f>IF(N(K$37)=0,0,N(H299)/K$37)</f>
        <v>0</v>
      </c>
      <c r="AD299" s="60"/>
      <c r="AE299" s="60"/>
      <c r="AF299" s="60"/>
      <c r="AG299" s="60"/>
      <c r="AH299" s="60"/>
      <c r="AI299" s="60"/>
      <c r="AJ299" s="60"/>
    </row>
    <row r="300" spans="2:36" ht="12.75" customHeight="1" x14ac:dyDescent="0.25">
      <c r="B300" s="2"/>
      <c r="C300" s="2"/>
      <c r="D300" s="2"/>
      <c r="E300" s="2"/>
      <c r="F300" s="2"/>
      <c r="G300" s="20"/>
      <c r="H300" s="49"/>
      <c r="I300" s="2"/>
      <c r="J300" s="20"/>
      <c r="K300" s="49"/>
      <c r="L300" s="49"/>
      <c r="M300" s="20"/>
      <c r="N300" s="49"/>
      <c r="O300" s="60"/>
      <c r="P300" s="60"/>
      <c r="Q300" s="152"/>
      <c r="R300" s="158"/>
      <c r="S300" s="158"/>
      <c r="T300" s="158"/>
      <c r="U300" s="158"/>
      <c r="V300" s="158"/>
      <c r="W300" s="158"/>
      <c r="X300" s="158"/>
      <c r="Y300" s="158"/>
      <c r="Z300" s="158"/>
      <c r="AA300" s="158"/>
      <c r="AD300" s="60"/>
      <c r="AE300" s="60"/>
      <c r="AF300" s="60"/>
      <c r="AG300" s="60"/>
      <c r="AH300" s="60"/>
      <c r="AI300" s="60"/>
      <c r="AJ300" s="60"/>
    </row>
    <row r="301" spans="2:36" ht="13.25" customHeight="1" x14ac:dyDescent="0.25">
      <c r="B301" s="153">
        <f>MAX(B$292:B300)+1</f>
        <v>5</v>
      </c>
      <c r="C301" s="2" t="s">
        <v>197</v>
      </c>
      <c r="D301" s="2"/>
      <c r="E301" s="2"/>
      <c r="F301" s="2"/>
      <c r="G301" s="20" t="s">
        <v>37</v>
      </c>
      <c r="H301" s="43"/>
      <c r="I301" s="2"/>
      <c r="J301" s="20" t="s">
        <v>37</v>
      </c>
      <c r="K301" s="43"/>
      <c r="L301" s="288"/>
      <c r="M301" s="20" t="s">
        <v>37</v>
      </c>
      <c r="N301" s="43"/>
      <c r="O301" s="60"/>
      <c r="P301" s="60"/>
      <c r="Q301" s="154">
        <f>IF(N(K$37)=0,0,N(H301)/K$37)</f>
        <v>0</v>
      </c>
      <c r="R301" s="158"/>
      <c r="S301" s="158"/>
      <c r="T301" s="158"/>
      <c r="U301" s="158"/>
      <c r="V301" s="158"/>
      <c r="W301" s="158"/>
      <c r="X301" s="158"/>
      <c r="Y301" s="158"/>
      <c r="Z301" s="158"/>
      <c r="AA301" s="158"/>
      <c r="AB301" s="60"/>
      <c r="AC301" s="60"/>
      <c r="AD301" s="60"/>
      <c r="AE301" s="60"/>
      <c r="AF301" s="60"/>
      <c r="AG301" s="60"/>
      <c r="AH301" s="60"/>
      <c r="AI301" s="60"/>
      <c r="AJ301" s="60"/>
    </row>
    <row r="302" spans="2:36" ht="12.75" customHeight="1" x14ac:dyDescent="0.25">
      <c r="B302" s="2"/>
      <c r="C302" s="2"/>
      <c r="D302" s="2"/>
      <c r="E302" s="2"/>
      <c r="F302" s="2"/>
      <c r="G302" s="20"/>
      <c r="H302" s="49"/>
      <c r="I302" s="2"/>
      <c r="J302" s="20"/>
      <c r="K302" s="49"/>
      <c r="L302" s="49"/>
      <c r="M302" s="20"/>
      <c r="N302" s="49"/>
      <c r="O302" s="60"/>
      <c r="P302" s="60"/>
      <c r="Q302" s="152"/>
      <c r="R302" s="158"/>
      <c r="S302" s="158"/>
      <c r="T302" s="158"/>
      <c r="U302" s="158"/>
      <c r="V302" s="158"/>
      <c r="W302" s="158"/>
      <c r="X302" s="158"/>
      <c r="Y302" s="158"/>
      <c r="Z302" s="158"/>
      <c r="AA302" s="158"/>
      <c r="AB302" s="60"/>
      <c r="AC302" s="60"/>
      <c r="AD302" s="60"/>
      <c r="AE302" s="60"/>
      <c r="AF302" s="60"/>
      <c r="AG302" s="60"/>
      <c r="AH302" s="60"/>
      <c r="AI302" s="60"/>
      <c r="AJ302" s="60"/>
    </row>
    <row r="303" spans="2:36" ht="13.25" customHeight="1" x14ac:dyDescent="0.25">
      <c r="B303" s="153">
        <f>MAX(B$292:B302)+1</f>
        <v>6</v>
      </c>
      <c r="C303" t="s">
        <v>197</v>
      </c>
      <c r="G303" s="20" t="s">
        <v>37</v>
      </c>
      <c r="H303" s="43"/>
      <c r="I303" s="2"/>
      <c r="J303" s="20" t="s">
        <v>37</v>
      </c>
      <c r="K303" s="43"/>
      <c r="L303" s="288"/>
      <c r="M303" s="20" t="s">
        <v>37</v>
      </c>
      <c r="N303" s="43"/>
      <c r="O303" s="60"/>
      <c r="P303" s="60"/>
      <c r="Q303" s="154">
        <f>IF(N(K$37)=0,0,N(H303)/K$37)</f>
        <v>0</v>
      </c>
      <c r="R303" s="158"/>
      <c r="S303" s="158"/>
      <c r="T303" s="158"/>
      <c r="U303" s="158"/>
      <c r="V303" s="158"/>
      <c r="W303" s="158"/>
      <c r="X303" s="158"/>
      <c r="Y303" s="158"/>
      <c r="Z303" s="158"/>
      <c r="AA303" s="158"/>
      <c r="AB303" s="60"/>
      <c r="AC303" s="60"/>
      <c r="AD303" s="60"/>
      <c r="AE303" s="60"/>
      <c r="AF303" s="60"/>
      <c r="AG303" s="60"/>
      <c r="AH303" s="60"/>
      <c r="AI303" s="60"/>
      <c r="AJ303" s="60"/>
    </row>
    <row r="304" spans="2:36" ht="12.75" customHeight="1" x14ac:dyDescent="0.25">
      <c r="B304" s="2"/>
      <c r="C304" s="2"/>
      <c r="D304" s="2"/>
      <c r="E304" s="2"/>
      <c r="F304" s="2"/>
      <c r="G304" s="20"/>
      <c r="H304" s="49"/>
      <c r="I304" s="2"/>
      <c r="J304" s="20"/>
      <c r="K304" s="49"/>
      <c r="L304" s="49"/>
      <c r="M304" s="20"/>
      <c r="N304" s="49"/>
      <c r="O304" s="60"/>
      <c r="P304" s="60"/>
      <c r="Q304" s="152"/>
      <c r="R304" s="159"/>
      <c r="S304" s="159"/>
      <c r="T304" s="159"/>
      <c r="U304" s="159"/>
      <c r="V304" s="159"/>
      <c r="W304" s="159"/>
      <c r="X304" s="159"/>
      <c r="Y304" s="160"/>
      <c r="Z304" s="60"/>
      <c r="AA304" s="60"/>
      <c r="AB304" s="60"/>
      <c r="AC304" s="60"/>
      <c r="AD304" s="60"/>
      <c r="AE304" s="60"/>
      <c r="AF304" s="60"/>
      <c r="AG304" s="60"/>
      <c r="AH304" s="60"/>
      <c r="AI304" s="60"/>
      <c r="AJ304" s="60"/>
    </row>
    <row r="305" spans="2:36" ht="13.25" customHeight="1" x14ac:dyDescent="0.25">
      <c r="B305" s="153">
        <f>MAX(B$292:B304)+1</f>
        <v>7</v>
      </c>
      <c r="C305" s="2" t="s">
        <v>198</v>
      </c>
      <c r="D305" s="2"/>
      <c r="E305" s="2"/>
      <c r="F305" s="2"/>
      <c r="G305" s="20" t="s">
        <v>37</v>
      </c>
      <c r="H305" s="43"/>
      <c r="I305" s="2"/>
      <c r="J305" s="20" t="s">
        <v>37</v>
      </c>
      <c r="K305" s="43"/>
      <c r="L305" s="288"/>
      <c r="M305" s="20" t="s">
        <v>37</v>
      </c>
      <c r="N305" s="43"/>
      <c r="O305" s="60"/>
      <c r="P305" s="60"/>
      <c r="Q305" s="154">
        <f>IF(N(K$37)=0,0,N(H305)/K$37)</f>
        <v>0</v>
      </c>
      <c r="R305" s="159"/>
      <c r="S305" s="159"/>
      <c r="T305" s="159"/>
      <c r="U305" s="159"/>
      <c r="V305" s="159"/>
      <c r="W305" s="159"/>
      <c r="X305" s="159"/>
      <c r="Y305" s="160"/>
      <c r="Z305" s="60"/>
      <c r="AA305" s="60"/>
      <c r="AB305" s="60"/>
      <c r="AC305" s="60"/>
      <c r="AD305" s="60"/>
      <c r="AE305" s="60"/>
      <c r="AF305" s="60"/>
      <c r="AG305" s="60"/>
      <c r="AH305" s="60"/>
      <c r="AI305" s="60"/>
      <c r="AJ305" s="60"/>
    </row>
    <row r="306" spans="2:36" ht="12.75" customHeight="1" x14ac:dyDescent="0.25">
      <c r="B306" s="2"/>
      <c r="C306" s="2"/>
      <c r="D306" s="2"/>
      <c r="E306" s="2"/>
      <c r="F306" s="2"/>
      <c r="G306" s="20"/>
      <c r="H306" s="49"/>
      <c r="I306" s="2"/>
      <c r="J306" s="20"/>
      <c r="K306" s="49"/>
      <c r="L306" s="49"/>
      <c r="M306" s="20"/>
      <c r="N306" s="49"/>
      <c r="O306" s="60"/>
      <c r="P306" s="60"/>
      <c r="Q306" s="152"/>
      <c r="R306" s="159"/>
      <c r="S306" s="159"/>
      <c r="T306" s="159"/>
      <c r="U306" s="159"/>
      <c r="V306" s="159"/>
      <c r="W306" s="159"/>
      <c r="X306" s="159"/>
      <c r="Y306" s="160"/>
      <c r="Z306" s="60"/>
      <c r="AA306" s="60"/>
      <c r="AB306" s="60"/>
      <c r="AC306" s="60"/>
      <c r="AD306" s="60"/>
      <c r="AE306" s="60"/>
      <c r="AF306" s="60"/>
      <c r="AG306" s="60"/>
      <c r="AH306" s="60"/>
      <c r="AI306" s="60"/>
      <c r="AJ306" s="60"/>
    </row>
    <row r="307" spans="2:36" ht="13.25" customHeight="1" x14ac:dyDescent="0.25">
      <c r="B307" s="153">
        <f>MAX(B$292:B306)+1</f>
        <v>8</v>
      </c>
      <c r="C307" s="2" t="s">
        <v>199</v>
      </c>
      <c r="D307" s="2"/>
      <c r="E307" s="2"/>
      <c r="F307" s="2"/>
      <c r="G307" s="20" t="s">
        <v>37</v>
      </c>
      <c r="H307" s="43"/>
      <c r="I307" s="2"/>
      <c r="J307" s="20" t="s">
        <v>37</v>
      </c>
      <c r="K307" s="43"/>
      <c r="L307" s="288"/>
      <c r="M307" s="20" t="s">
        <v>37</v>
      </c>
      <c r="N307" s="43"/>
      <c r="O307" s="60"/>
      <c r="P307" s="60"/>
      <c r="Q307" s="154">
        <f>IF(N(K$37)=0,0,N(H307)/K$37)</f>
        <v>0</v>
      </c>
      <c r="R307" s="159"/>
      <c r="S307" s="159"/>
      <c r="T307" s="159"/>
      <c r="U307" s="159"/>
      <c r="V307" s="159"/>
      <c r="W307" s="159"/>
      <c r="X307" s="159"/>
      <c r="Y307" s="160"/>
      <c r="Z307" s="60"/>
      <c r="AA307" s="60"/>
      <c r="AB307" s="60"/>
      <c r="AC307" s="60"/>
      <c r="AD307" s="60"/>
      <c r="AE307" s="60"/>
      <c r="AF307" s="60"/>
      <c r="AG307" s="60"/>
      <c r="AH307" s="60"/>
      <c r="AI307" s="60"/>
      <c r="AJ307" s="60"/>
    </row>
    <row r="308" spans="2:36" ht="12.75" customHeight="1" x14ac:dyDescent="0.25">
      <c r="B308" s="2"/>
      <c r="C308" s="2"/>
      <c r="D308" s="2"/>
      <c r="E308" s="2"/>
      <c r="F308" s="2"/>
      <c r="G308" s="20"/>
      <c r="H308" s="49"/>
      <c r="I308" s="2"/>
      <c r="J308" s="20"/>
      <c r="K308" s="49"/>
      <c r="L308" s="49"/>
      <c r="M308" s="20"/>
      <c r="N308" s="49"/>
      <c r="O308" s="60"/>
      <c r="P308" s="60"/>
      <c r="Q308" s="152"/>
      <c r="R308" s="161"/>
      <c r="S308" s="161"/>
      <c r="T308" s="161"/>
      <c r="U308" s="161"/>
      <c r="V308" s="161"/>
      <c r="W308" s="161"/>
      <c r="X308" s="161"/>
      <c r="Y308" s="161"/>
      <c r="Z308" s="161"/>
      <c r="AA308" s="161"/>
      <c r="AB308" s="161"/>
      <c r="AC308" s="161"/>
      <c r="AD308" s="60"/>
      <c r="AE308" s="60"/>
      <c r="AF308" s="60"/>
      <c r="AG308" s="60"/>
      <c r="AH308" s="60"/>
      <c r="AI308" s="60"/>
      <c r="AJ308" s="60"/>
    </row>
    <row r="309" spans="2:36" ht="13.25" customHeight="1" x14ac:dyDescent="0.25">
      <c r="B309" s="153">
        <f>MAX(B$292:B308)+1</f>
        <v>9</v>
      </c>
      <c r="C309" s="2" t="s">
        <v>200</v>
      </c>
      <c r="D309" s="2"/>
      <c r="E309" s="2"/>
      <c r="F309" s="2"/>
      <c r="G309" s="20" t="s">
        <v>37</v>
      </c>
      <c r="H309" s="43"/>
      <c r="I309" s="2"/>
      <c r="J309" s="20" t="s">
        <v>37</v>
      </c>
      <c r="K309" s="43"/>
      <c r="L309" s="288"/>
      <c r="M309" s="20" t="s">
        <v>37</v>
      </c>
      <c r="N309" s="43"/>
      <c r="O309" s="60"/>
      <c r="P309" s="60"/>
      <c r="Q309" s="154">
        <f>IF(N(K$37)=0,0,N(H309)/K$37)</f>
        <v>0</v>
      </c>
      <c r="R309" s="161"/>
      <c r="S309" s="161"/>
      <c r="T309" s="161"/>
      <c r="U309" s="161"/>
      <c r="V309" s="161"/>
      <c r="W309" s="161"/>
      <c r="X309" s="161"/>
      <c r="Y309" s="161"/>
      <c r="Z309" s="161"/>
      <c r="AA309" s="161"/>
      <c r="AB309" s="161"/>
      <c r="AC309" s="161"/>
      <c r="AD309" s="60"/>
      <c r="AE309" s="60"/>
      <c r="AF309" s="60"/>
      <c r="AG309" s="60"/>
      <c r="AH309" s="60"/>
      <c r="AI309" s="60"/>
      <c r="AJ309" s="60"/>
    </row>
    <row r="310" spans="2:36" ht="12.75" customHeight="1" x14ac:dyDescent="0.25">
      <c r="B310" s="2"/>
      <c r="C310" s="2"/>
      <c r="D310" s="2"/>
      <c r="E310" s="2"/>
      <c r="F310" s="2"/>
      <c r="G310" s="20"/>
      <c r="H310" s="49"/>
      <c r="I310" s="2"/>
      <c r="J310" s="20"/>
      <c r="K310" s="49"/>
      <c r="L310" s="49"/>
      <c r="M310" s="20"/>
      <c r="N310" s="49"/>
      <c r="O310" s="60"/>
      <c r="P310" s="60"/>
      <c r="Q310" s="152"/>
      <c r="R310" s="161"/>
      <c r="S310" s="161"/>
      <c r="T310" s="161"/>
      <c r="U310" s="161"/>
      <c r="V310" s="161"/>
      <c r="W310" s="161"/>
      <c r="X310" s="161"/>
      <c r="Y310" s="161"/>
      <c r="Z310" s="161"/>
      <c r="AA310" s="161"/>
      <c r="AB310" s="161"/>
      <c r="AC310" s="161"/>
      <c r="AD310" s="60"/>
      <c r="AE310" s="60"/>
      <c r="AF310" s="60"/>
      <c r="AG310" s="60"/>
      <c r="AH310" s="60"/>
      <c r="AI310" s="60"/>
      <c r="AJ310" s="60"/>
    </row>
    <row r="311" spans="2:36" ht="13.25" customHeight="1" x14ac:dyDescent="0.25">
      <c r="B311" s="153">
        <f>MAX(B$292:B310)+1</f>
        <v>10</v>
      </c>
      <c r="C311" s="2" t="s">
        <v>201</v>
      </c>
      <c r="D311" s="2"/>
      <c r="E311" s="291"/>
      <c r="F311" s="162" t="s">
        <v>202</v>
      </c>
      <c r="G311" s="20" t="s">
        <v>37</v>
      </c>
      <c r="H311" s="43"/>
      <c r="I311" s="2"/>
      <c r="J311" s="20" t="s">
        <v>37</v>
      </c>
      <c r="K311" s="43"/>
      <c r="L311" s="288"/>
      <c r="M311" s="20" t="s">
        <v>37</v>
      </c>
      <c r="N311" s="43"/>
      <c r="O311" s="4"/>
      <c r="P311" s="4"/>
      <c r="Q311" s="154">
        <f>IF(N(K$37)=0,0,N(H311)/K$37)</f>
        <v>0</v>
      </c>
      <c r="S311" s="60"/>
      <c r="T311" s="60"/>
      <c r="U311" s="60"/>
      <c r="V311" s="60"/>
      <c r="W311" s="60"/>
      <c r="X311" s="60"/>
      <c r="Y311" s="60"/>
      <c r="Z311" s="60"/>
      <c r="AA311" s="60"/>
      <c r="AB311" s="60"/>
      <c r="AC311" s="60"/>
      <c r="AD311" s="60"/>
      <c r="AE311" s="60"/>
      <c r="AF311" s="60"/>
      <c r="AG311" s="60"/>
      <c r="AH311" s="60"/>
      <c r="AI311" s="60"/>
      <c r="AJ311" s="60"/>
    </row>
    <row r="312" spans="2:36" ht="12.75" customHeight="1" x14ac:dyDescent="0.25">
      <c r="H312" s="52"/>
      <c r="K312" s="52"/>
      <c r="L312" s="52"/>
      <c r="N312" s="52"/>
      <c r="O312" s="4"/>
      <c r="P312" s="4"/>
      <c r="Q312" s="98"/>
      <c r="S312" s="60"/>
      <c r="T312" s="60"/>
      <c r="U312" s="60"/>
      <c r="V312" s="60"/>
      <c r="W312" s="60"/>
      <c r="X312" s="60"/>
      <c r="Y312" s="60"/>
      <c r="Z312" s="60"/>
      <c r="AA312" s="60"/>
      <c r="AB312" s="60"/>
      <c r="AC312" s="60"/>
      <c r="AD312" s="60"/>
      <c r="AE312" s="60"/>
      <c r="AF312" s="60"/>
      <c r="AG312" s="60"/>
      <c r="AH312" s="60"/>
      <c r="AI312" s="60"/>
      <c r="AJ312" s="60"/>
    </row>
    <row r="313" spans="2:36" ht="13.25" customHeight="1" x14ac:dyDescent="0.25">
      <c r="B313" s="153">
        <f>MAX(B$292:B312)+1</f>
        <v>11</v>
      </c>
      <c r="C313" s="2" t="s">
        <v>201</v>
      </c>
      <c r="D313" s="2"/>
      <c r="E313" s="291"/>
      <c r="F313" s="162" t="s">
        <v>202</v>
      </c>
      <c r="G313" s="20" t="s">
        <v>37</v>
      </c>
      <c r="H313" s="43"/>
      <c r="I313" s="2"/>
      <c r="J313" s="20" t="s">
        <v>37</v>
      </c>
      <c r="K313" s="43"/>
      <c r="L313" s="288"/>
      <c r="M313" s="20" t="s">
        <v>37</v>
      </c>
      <c r="N313" s="43"/>
      <c r="O313" s="4"/>
      <c r="P313" s="4"/>
      <c r="Q313" s="154">
        <f>IF(N(K$37)=0,0,N(H313)/K$37)</f>
        <v>0</v>
      </c>
      <c r="S313" s="60"/>
      <c r="T313" s="60"/>
      <c r="U313" s="60"/>
      <c r="V313" s="60"/>
      <c r="W313" s="60"/>
      <c r="X313" s="60"/>
      <c r="Y313" s="60"/>
      <c r="Z313" s="60"/>
      <c r="AA313" s="60"/>
      <c r="AB313" s="60"/>
      <c r="AC313" s="60"/>
      <c r="AD313" s="60"/>
      <c r="AE313" s="60"/>
      <c r="AF313" s="60"/>
      <c r="AG313" s="60"/>
      <c r="AH313" s="60"/>
      <c r="AI313" s="60"/>
      <c r="AJ313" s="60"/>
    </row>
    <row r="314" spans="2:36" ht="12.75" customHeight="1" x14ac:dyDescent="0.25">
      <c r="B314" s="163"/>
      <c r="C314" s="2"/>
      <c r="D314" s="2"/>
      <c r="E314" s="164"/>
      <c r="F314" s="164"/>
      <c r="G314" s="20"/>
      <c r="H314" s="121"/>
      <c r="I314" s="2"/>
      <c r="J314" s="20"/>
      <c r="K314" s="121"/>
      <c r="L314" s="121"/>
      <c r="M314" s="20"/>
      <c r="N314" s="121"/>
      <c r="O314" s="4"/>
      <c r="P314" s="4"/>
      <c r="Q314" s="98"/>
      <c r="S314" s="60"/>
      <c r="T314" s="60"/>
      <c r="U314" s="60"/>
      <c r="V314" s="60"/>
      <c r="W314" s="60"/>
      <c r="X314" s="60"/>
      <c r="Y314" s="60"/>
      <c r="Z314" s="60"/>
      <c r="AA314" s="60"/>
      <c r="AB314" s="60"/>
      <c r="AC314" s="60"/>
      <c r="AD314" s="60"/>
      <c r="AE314" s="60"/>
      <c r="AF314" s="60"/>
      <c r="AG314" s="60"/>
      <c r="AH314" s="60"/>
      <c r="AI314" s="60"/>
      <c r="AJ314" s="60"/>
    </row>
    <row r="315" spans="2:36" ht="13.25" customHeight="1" x14ac:dyDescent="0.25">
      <c r="B315" s="153">
        <f>MAX(B$292:B314)+1</f>
        <v>12</v>
      </c>
      <c r="C315" s="2" t="s">
        <v>203</v>
      </c>
      <c r="D315" s="2"/>
      <c r="E315" s="2"/>
      <c r="F315" s="2"/>
      <c r="G315" s="20" t="s">
        <v>37</v>
      </c>
      <c r="H315" s="42"/>
      <c r="I315" s="2"/>
      <c r="J315" s="20" t="s">
        <v>37</v>
      </c>
      <c r="K315" s="42"/>
      <c r="L315" s="288"/>
      <c r="M315" s="20" t="s">
        <v>37</v>
      </c>
      <c r="N315" s="43"/>
      <c r="O315" s="60"/>
      <c r="P315" s="60"/>
      <c r="Q315" s="154">
        <f>IF(N(K$37)=0,0,N(H315)/K$37)</f>
        <v>0</v>
      </c>
      <c r="R315" s="161"/>
      <c r="S315" s="161"/>
      <c r="T315" s="161"/>
      <c r="U315" s="161"/>
      <c r="V315" s="161"/>
      <c r="W315" s="161"/>
      <c r="X315" s="161"/>
      <c r="Y315" s="161"/>
      <c r="Z315" s="161"/>
      <c r="AA315" s="161"/>
      <c r="AB315" s="161"/>
      <c r="AC315" s="161"/>
      <c r="AD315" s="60"/>
      <c r="AE315" s="60"/>
      <c r="AF315" s="60"/>
      <c r="AG315" s="60"/>
      <c r="AH315" s="60"/>
      <c r="AI315" s="60"/>
      <c r="AJ315" s="60"/>
    </row>
    <row r="316" spans="2:36" ht="12.75" customHeight="1" x14ac:dyDescent="0.25">
      <c r="B316" s="2"/>
      <c r="C316" s="2"/>
      <c r="D316" s="2"/>
      <c r="E316" s="2"/>
      <c r="F316" s="2"/>
      <c r="G316" s="20"/>
      <c r="H316" s="165"/>
      <c r="I316" s="2"/>
      <c r="J316" s="20"/>
      <c r="K316" s="165"/>
      <c r="L316" s="49"/>
      <c r="M316" s="20"/>
      <c r="N316" s="49"/>
      <c r="O316" s="60"/>
      <c r="P316" s="60"/>
      <c r="Q316" s="152"/>
      <c r="R316" s="161"/>
      <c r="S316" s="161"/>
      <c r="T316" s="161"/>
      <c r="U316" s="161"/>
      <c r="V316" s="161"/>
      <c r="W316" s="161"/>
      <c r="X316" s="161"/>
      <c r="Y316" s="161"/>
      <c r="Z316" s="161"/>
      <c r="AA316" s="161"/>
      <c r="AB316" s="161"/>
      <c r="AC316" s="161"/>
      <c r="AD316" s="60"/>
      <c r="AE316" s="60"/>
      <c r="AF316" s="60"/>
      <c r="AG316" s="60"/>
      <c r="AH316" s="60"/>
      <c r="AI316" s="60"/>
      <c r="AJ316" s="60"/>
    </row>
    <row r="317" spans="2:36" ht="13.25" customHeight="1" x14ac:dyDescent="0.25">
      <c r="B317" s="153">
        <f>MAX(B$292:B316)+1</f>
        <v>13</v>
      </c>
      <c r="C317" s="2" t="s">
        <v>485</v>
      </c>
      <c r="D317" s="2"/>
      <c r="E317" s="2"/>
      <c r="F317" s="2"/>
      <c r="G317" s="2"/>
      <c r="H317" s="49"/>
      <c r="I317" s="2"/>
      <c r="J317" s="2"/>
      <c r="K317" s="49"/>
      <c r="L317" s="49"/>
      <c r="M317" s="2"/>
      <c r="N317" s="49"/>
      <c r="O317" s="60"/>
      <c r="P317" s="60"/>
      <c r="Q317" s="152"/>
      <c r="R317" s="161"/>
      <c r="S317" s="161"/>
      <c r="T317" s="161"/>
      <c r="U317" s="161"/>
      <c r="V317" s="161"/>
      <c r="W317" s="161"/>
      <c r="X317" s="161"/>
      <c r="Y317" s="161"/>
      <c r="Z317" s="161"/>
      <c r="AA317" s="161"/>
      <c r="AB317" s="161"/>
      <c r="AC317" s="161"/>
      <c r="AD317" s="60"/>
      <c r="AE317" s="60"/>
      <c r="AF317" s="60"/>
      <c r="AG317" s="60"/>
      <c r="AH317" s="60"/>
      <c r="AI317" s="60"/>
      <c r="AJ317" s="60"/>
    </row>
    <row r="318" spans="2:36" x14ac:dyDescent="0.25">
      <c r="B318" s="2"/>
      <c r="C318" s="2" t="s">
        <v>486</v>
      </c>
      <c r="D318" s="2"/>
      <c r="E318" s="2"/>
      <c r="F318" s="2"/>
      <c r="G318" s="2"/>
      <c r="H318" s="49"/>
      <c r="I318" s="2"/>
      <c r="J318" s="2"/>
      <c r="K318" s="49"/>
      <c r="L318" s="49"/>
      <c r="M318" s="2"/>
      <c r="N318" s="49"/>
      <c r="O318" s="60"/>
      <c r="P318" s="60"/>
      <c r="Q318" s="152"/>
      <c r="R318" s="60"/>
      <c r="S318" s="60"/>
      <c r="T318" s="60"/>
      <c r="U318" s="60"/>
      <c r="V318" s="60"/>
      <c r="W318" s="60"/>
      <c r="X318" s="60"/>
      <c r="Y318" s="60"/>
      <c r="Z318" s="60"/>
      <c r="AA318" s="60"/>
      <c r="AB318" s="60"/>
      <c r="AC318" s="60"/>
      <c r="AD318" s="60"/>
      <c r="AE318" s="60"/>
      <c r="AF318" s="60"/>
      <c r="AG318" s="60"/>
      <c r="AH318" s="60"/>
      <c r="AI318" s="60"/>
      <c r="AJ318" s="60"/>
    </row>
    <row r="319" spans="2:36" x14ac:dyDescent="0.25">
      <c r="B319" s="2"/>
      <c r="C319" s="2" t="s">
        <v>487</v>
      </c>
      <c r="D319" s="2"/>
      <c r="E319" s="2"/>
      <c r="F319" s="2"/>
      <c r="G319" s="2"/>
      <c r="H319" s="50"/>
      <c r="I319" s="2"/>
      <c r="J319" s="2"/>
      <c r="K319" s="50"/>
      <c r="L319" s="50"/>
      <c r="M319" s="2"/>
      <c r="N319" s="50"/>
      <c r="O319" s="4"/>
      <c r="P319" s="4"/>
      <c r="Q319" s="98"/>
      <c r="S319" s="60"/>
      <c r="T319" s="60"/>
      <c r="U319" s="60"/>
      <c r="V319" s="60"/>
      <c r="W319" s="60"/>
      <c r="X319" s="60"/>
      <c r="Y319" s="60"/>
      <c r="Z319" s="60"/>
      <c r="AA319" s="60"/>
      <c r="AB319" s="60"/>
      <c r="AC319" s="60"/>
      <c r="AD319" s="60"/>
      <c r="AE319" s="60"/>
      <c r="AF319" s="60"/>
      <c r="AG319" s="60"/>
      <c r="AH319" s="60"/>
      <c r="AI319" s="60"/>
      <c r="AJ319" s="60"/>
    </row>
    <row r="320" spans="2:36" x14ac:dyDescent="0.25">
      <c r="B320" s="2"/>
      <c r="C320" s="2" t="s">
        <v>488</v>
      </c>
      <c r="D320" s="2"/>
      <c r="E320" s="2"/>
      <c r="F320" s="2"/>
      <c r="G320" s="20"/>
      <c r="H320" s="102"/>
      <c r="I320" s="2"/>
      <c r="J320" s="20"/>
      <c r="K320" s="102"/>
      <c r="L320" s="102"/>
      <c r="M320" s="20"/>
      <c r="N320" s="102"/>
      <c r="O320" s="4"/>
      <c r="P320" s="4"/>
      <c r="Q320" s="98"/>
      <c r="S320" s="60"/>
      <c r="T320" s="60"/>
      <c r="U320" s="60"/>
      <c r="V320" s="60"/>
      <c r="W320" s="60"/>
      <c r="X320" s="60"/>
      <c r="Y320" s="60"/>
      <c r="Z320" s="60"/>
      <c r="AA320" s="60"/>
      <c r="AB320" s="60"/>
      <c r="AC320" s="60"/>
      <c r="AD320" s="60"/>
      <c r="AE320" s="60"/>
      <c r="AF320" s="60"/>
      <c r="AG320" s="60"/>
      <c r="AH320" s="60"/>
      <c r="AI320" s="60"/>
      <c r="AJ320" s="60"/>
    </row>
    <row r="321" spans="1:36" x14ac:dyDescent="0.25">
      <c r="B321" s="2"/>
      <c r="C321" s="2" t="s">
        <v>489</v>
      </c>
      <c r="D321" s="2"/>
      <c r="E321" s="2"/>
      <c r="F321" s="2"/>
      <c r="G321" s="20" t="s">
        <v>37</v>
      </c>
      <c r="H321" s="43"/>
      <c r="I321" s="2"/>
      <c r="J321" s="20" t="s">
        <v>37</v>
      </c>
      <c r="K321" s="43"/>
      <c r="L321" s="288"/>
      <c r="M321" s="20" t="s">
        <v>37</v>
      </c>
      <c r="N321" s="43"/>
      <c r="O321" s="4"/>
      <c r="P321" s="4"/>
      <c r="Q321" s="154">
        <f>IF(N(K$37)=0,0,N(H321)/K$37)</f>
        <v>0</v>
      </c>
      <c r="S321" s="60"/>
      <c r="T321" s="60"/>
      <c r="U321" s="60"/>
      <c r="V321" s="60"/>
      <c r="W321" s="60"/>
      <c r="X321" s="60"/>
      <c r="Y321" s="60"/>
      <c r="Z321" s="60"/>
      <c r="AA321" s="60"/>
      <c r="AB321" s="60"/>
      <c r="AC321" s="60"/>
      <c r="AD321" s="60"/>
      <c r="AE321" s="60"/>
      <c r="AF321" s="60"/>
      <c r="AG321" s="60"/>
      <c r="AH321" s="60"/>
      <c r="AI321" s="60"/>
      <c r="AJ321" s="60"/>
    </row>
    <row r="322" spans="1:36" ht="12.75" customHeight="1" x14ac:dyDescent="0.25">
      <c r="B322" s="2"/>
      <c r="C322" s="2"/>
      <c r="D322" s="2"/>
      <c r="E322" s="2"/>
      <c r="F322" s="2"/>
      <c r="G322" s="2"/>
      <c r="H322" s="102"/>
      <c r="I322" s="2"/>
      <c r="J322" s="2"/>
      <c r="K322" s="102"/>
      <c r="L322" s="102"/>
      <c r="M322" s="2"/>
      <c r="N322" s="102"/>
      <c r="O322" s="4"/>
      <c r="P322" s="4"/>
      <c r="Q322" s="98"/>
      <c r="S322" s="60"/>
      <c r="T322" s="60"/>
      <c r="U322" s="60"/>
      <c r="V322" s="60"/>
      <c r="W322" s="60"/>
      <c r="X322" s="60"/>
      <c r="Y322" s="60"/>
      <c r="Z322" s="60"/>
      <c r="AA322" s="60"/>
      <c r="AB322" s="60"/>
      <c r="AC322" s="60"/>
      <c r="AD322" s="60"/>
      <c r="AE322" s="60"/>
      <c r="AF322" s="60"/>
      <c r="AG322" s="60"/>
      <c r="AH322" s="60"/>
      <c r="AI322" s="60"/>
      <c r="AJ322" s="60"/>
    </row>
    <row r="323" spans="1:36" ht="13.25" customHeight="1" x14ac:dyDescent="0.25">
      <c r="B323" s="153">
        <f>MAX(B$292:B322)+1</f>
        <v>14</v>
      </c>
      <c r="C323" s="2" t="s">
        <v>204</v>
      </c>
      <c r="D323" s="2"/>
      <c r="E323" s="2"/>
      <c r="F323" s="2"/>
      <c r="G323" s="20" t="s">
        <v>37</v>
      </c>
      <c r="H323" s="43"/>
      <c r="I323" s="2"/>
      <c r="J323" s="20" t="s">
        <v>37</v>
      </c>
      <c r="K323" s="43"/>
      <c r="L323" s="288"/>
      <c r="M323" s="20" t="s">
        <v>37</v>
      </c>
      <c r="N323" s="43"/>
      <c r="O323" s="4"/>
      <c r="P323" s="4"/>
      <c r="Q323" s="154">
        <f>IF(N(K$37)=0,0,N(H323)/K$37)</f>
        <v>0</v>
      </c>
      <c r="S323" s="60"/>
      <c r="T323" s="60"/>
      <c r="U323" s="60"/>
      <c r="V323" s="60"/>
      <c r="W323" s="60"/>
      <c r="X323" s="60"/>
      <c r="Y323" s="60"/>
      <c r="Z323" s="60"/>
      <c r="AA323" s="60"/>
      <c r="AB323" s="60"/>
      <c r="AC323" s="60"/>
      <c r="AD323" s="60"/>
      <c r="AE323" s="60"/>
      <c r="AF323" s="60"/>
      <c r="AG323" s="60"/>
      <c r="AH323" s="60"/>
      <c r="AI323" s="60"/>
      <c r="AJ323" s="60"/>
    </row>
    <row r="324" spans="1:36" ht="12.75" customHeight="1" x14ac:dyDescent="0.25">
      <c r="H324" s="52"/>
      <c r="K324" s="52"/>
      <c r="L324" s="52"/>
      <c r="N324" s="52"/>
      <c r="O324" s="4"/>
      <c r="P324" s="4"/>
      <c r="Q324" s="98"/>
      <c r="S324" s="60"/>
      <c r="T324" s="60"/>
      <c r="U324" s="60"/>
      <c r="V324" s="60"/>
      <c r="W324" s="60"/>
      <c r="X324" s="60"/>
      <c r="Y324" s="60"/>
      <c r="Z324" s="60"/>
      <c r="AA324" s="60"/>
      <c r="AB324" s="60"/>
      <c r="AC324" s="60"/>
      <c r="AD324" s="60"/>
      <c r="AE324" s="60"/>
      <c r="AF324" s="60"/>
      <c r="AG324" s="60"/>
      <c r="AH324" s="60"/>
      <c r="AI324" s="60"/>
      <c r="AJ324" s="60"/>
    </row>
    <row r="325" spans="1:36" ht="13.25" customHeight="1" thickBot="1" x14ac:dyDescent="0.35">
      <c r="B325" s="166">
        <f>MAX(B$292:B324)+1</f>
        <v>15</v>
      </c>
      <c r="C325" s="6" t="s">
        <v>205</v>
      </c>
      <c r="D325" s="2"/>
      <c r="E325" s="2"/>
      <c r="F325" s="2"/>
      <c r="G325" s="20" t="s">
        <v>37</v>
      </c>
      <c r="H325" s="167" t="str">
        <f>IF(SUM(H292:H324)&lt;1,"",SUM(H292:H324))</f>
        <v/>
      </c>
      <c r="J325" s="20" t="s">
        <v>37</v>
      </c>
      <c r="K325" s="167" t="str">
        <f>IF(SUM(K292:K324)&lt;1,"",SUM(K292:K324))</f>
        <v/>
      </c>
      <c r="L325" s="100"/>
      <c r="M325" s="20" t="s">
        <v>37</v>
      </c>
      <c r="N325" s="167" t="str">
        <f>IF(SUM(N292:N324)&lt;1,"",SUM(N292:N324))</f>
        <v/>
      </c>
      <c r="O325" s="4"/>
      <c r="P325" s="4"/>
      <c r="Q325" s="154">
        <f>IF(N(K$37)=0,0,N(H325)/K$37)</f>
        <v>0</v>
      </c>
      <c r="S325" s="60"/>
      <c r="T325" s="60"/>
      <c r="U325" s="60"/>
      <c r="V325" s="60"/>
      <c r="W325" s="60"/>
      <c r="X325" s="60"/>
      <c r="Y325" s="60"/>
      <c r="Z325" s="60"/>
      <c r="AA325" s="60"/>
      <c r="AB325" s="60"/>
      <c r="AC325" s="60"/>
      <c r="AD325" s="60"/>
      <c r="AE325" s="60"/>
      <c r="AF325" s="60"/>
      <c r="AG325" s="60"/>
      <c r="AH325" s="60"/>
      <c r="AI325" s="60"/>
      <c r="AJ325" s="60"/>
    </row>
    <row r="326" spans="1:36" ht="12.75" customHeight="1" thickTop="1" x14ac:dyDescent="0.25">
      <c r="H326" s="52"/>
      <c r="K326" s="52"/>
      <c r="L326" s="52"/>
      <c r="N326" s="52"/>
      <c r="O326" s="4"/>
      <c r="P326" s="4"/>
      <c r="Q326" s="98"/>
    </row>
    <row r="327" spans="1:36" ht="13.25" customHeight="1" x14ac:dyDescent="0.3">
      <c r="B327" s="19" t="s">
        <v>144</v>
      </c>
      <c r="C327" s="6" t="s">
        <v>206</v>
      </c>
      <c r="D327" s="6"/>
      <c r="E327" s="6"/>
      <c r="F327" s="6"/>
      <c r="G327" s="2"/>
      <c r="H327" s="50"/>
      <c r="I327" s="2"/>
      <c r="J327" s="2"/>
      <c r="K327" s="50"/>
      <c r="L327" s="50"/>
      <c r="M327" s="2"/>
      <c r="N327" s="50"/>
      <c r="P327" s="4"/>
      <c r="Q327" s="98"/>
    </row>
    <row r="328" spans="1:36" ht="13" x14ac:dyDescent="0.3">
      <c r="B328" s="19"/>
      <c r="C328" s="6"/>
      <c r="D328" s="10" t="str">
        <f>"(B."&amp;TEXT(B325,"0")&amp;". "&amp;C325&amp;", "</f>
        <v xml:space="preserve">(B.15. Total Construction Sources, </v>
      </c>
      <c r="E328" s="6"/>
      <c r="F328" s="6"/>
      <c r="G328" s="2"/>
      <c r="H328" s="50"/>
      <c r="I328" s="2"/>
      <c r="J328" s="2"/>
      <c r="K328" s="50"/>
      <c r="L328" s="50"/>
      <c r="M328" s="2"/>
      <c r="N328" s="50"/>
    </row>
    <row r="329" spans="1:36" ht="13.5" thickBot="1" x14ac:dyDescent="0.35">
      <c r="B329" s="6"/>
      <c r="D329" s="10" t="str">
        <f>" less "&amp;B289&amp;" "&amp;C289&amp;"):"</f>
        <v xml:space="preserve"> less A. Total Development Costs):</v>
      </c>
      <c r="E329" s="6"/>
      <c r="F329" s="6"/>
      <c r="G329" s="19" t="s">
        <v>37</v>
      </c>
      <c r="H329" s="167" t="str">
        <f ca="1">IF(AND(N(H325)=0,N(H289)=0),"",N(H325)-N(H289))</f>
        <v/>
      </c>
      <c r="I329" s="2"/>
      <c r="J329" s="19" t="s">
        <v>37</v>
      </c>
      <c r="K329" s="167" t="str">
        <f ca="1">IF(AND(N(K325)=0,N(K289)=0),"",N(K325)-N(K289))</f>
        <v/>
      </c>
      <c r="L329" s="100"/>
      <c r="M329" s="19" t="s">
        <v>37</v>
      </c>
      <c r="N329" s="167" t="str">
        <f ca="1">IF(AND(N(N325)=0,N(N289)=0),"",N(N325)-N(N289))</f>
        <v/>
      </c>
      <c r="O329" s="4"/>
      <c r="P329" s="21" t="str">
        <f ca="1">IF(OR(N(H329)&lt;&gt;0,N(K329)&lt;&gt;0,N(N329)&lt;&gt;0),"**","")</f>
        <v/>
      </c>
      <c r="Q329" s="2" t="str">
        <f ca="1">IF(AND(N(H329)=0,N(K329)=0,N(N329)=0),"Construction Funding Sources are equal to Total Development Costs.",IF(OR(N(H329)&lt;0,N(K329)&lt;0,N(N329)&lt;0),"There is a shortfall in Construction Funding Sources which must be corrected.","There is a surplus of Construction Funding Sources which is not permitted at time of Application."))</f>
        <v>Construction Funding Sources are equal to Total Development Costs.</v>
      </c>
    </row>
    <row r="330" spans="1:36" ht="12.75" customHeight="1" thickTop="1" x14ac:dyDescent="0.25">
      <c r="O330" s="4"/>
      <c r="P330" s="4"/>
    </row>
    <row r="331" spans="1:36" ht="13.5" thickBot="1" x14ac:dyDescent="0.35">
      <c r="B331" s="6" t="s">
        <v>207</v>
      </c>
      <c r="D331" s="2"/>
      <c r="E331" s="2"/>
      <c r="F331" s="2"/>
      <c r="G331" s="2"/>
      <c r="H331" s="2"/>
      <c r="I331" s="2"/>
      <c r="J331" s="2"/>
      <c r="K331" s="2"/>
      <c r="L331" s="2"/>
      <c r="M331" s="2"/>
      <c r="O331" s="4"/>
      <c r="P331" s="4"/>
    </row>
    <row r="332" spans="1:36" ht="3.75" customHeight="1" x14ac:dyDescent="0.3">
      <c r="A332" s="1"/>
      <c r="B332" s="168"/>
      <c r="C332" s="168"/>
      <c r="D332" s="169"/>
      <c r="E332" s="169"/>
      <c r="F332" s="169"/>
      <c r="G332" s="169"/>
      <c r="H332" s="169"/>
      <c r="I332" s="169"/>
      <c r="J332" s="169"/>
      <c r="K332" s="169"/>
      <c r="L332" s="170"/>
      <c r="M332" s="169"/>
      <c r="N332" s="1"/>
      <c r="O332" s="78"/>
      <c r="P332" s="78"/>
      <c r="Q332" s="342" t="s">
        <v>191</v>
      </c>
      <c r="R332" s="343"/>
      <c r="S332" s="343"/>
      <c r="T332" s="343"/>
      <c r="U332" s="343"/>
      <c r="V332" s="343"/>
      <c r="W332" s="343"/>
      <c r="X332" s="343"/>
      <c r="Y332" s="343"/>
      <c r="Z332" s="343"/>
      <c r="AA332" s="344"/>
    </row>
    <row r="333" spans="1:36" ht="13" x14ac:dyDescent="0.3">
      <c r="B333" s="6" t="str">
        <f>B$2</f>
        <v>RFA 2021-211 DEVELOPMENT COST PRO FORMA</v>
      </c>
      <c r="O333" s="4"/>
      <c r="P333" s="5" t="s">
        <v>481</v>
      </c>
      <c r="Q333" s="345"/>
      <c r="R333" s="346"/>
      <c r="S333" s="346"/>
      <c r="T333" s="346"/>
      <c r="U333" s="346"/>
      <c r="V333" s="346"/>
      <c r="W333" s="346"/>
      <c r="X333" s="346"/>
      <c r="Y333" s="346"/>
      <c r="Z333" s="346"/>
      <c r="AA333" s="347"/>
    </row>
    <row r="334" spans="1:36" ht="12.75" customHeight="1" x14ac:dyDescent="0.3">
      <c r="B334" s="86"/>
      <c r="C334" s="86"/>
      <c r="D334" s="86"/>
      <c r="E334" s="86"/>
      <c r="F334" s="86"/>
      <c r="G334" s="86"/>
      <c r="H334" s="86"/>
      <c r="I334" s="86"/>
      <c r="J334" s="86"/>
      <c r="K334" s="86"/>
      <c r="L334" s="171"/>
      <c r="M334" s="86"/>
      <c r="O334" s="4"/>
      <c r="P334" s="4"/>
      <c r="Q334" s="345"/>
      <c r="R334" s="346"/>
      <c r="S334" s="346"/>
      <c r="T334" s="346"/>
      <c r="U334" s="346"/>
      <c r="V334" s="346"/>
      <c r="W334" s="346"/>
      <c r="X334" s="346"/>
      <c r="Y334" s="346"/>
      <c r="Z334" s="346"/>
      <c r="AA334" s="347"/>
    </row>
    <row r="335" spans="1:36" ht="12.75" customHeight="1" thickBot="1" x14ac:dyDescent="0.35">
      <c r="B335" s="86"/>
      <c r="C335" s="86"/>
      <c r="D335" s="86"/>
      <c r="E335" s="86"/>
      <c r="F335" s="86"/>
      <c r="G335" s="86"/>
      <c r="H335" s="86"/>
      <c r="I335" s="86"/>
      <c r="J335" s="86"/>
      <c r="K335" s="86"/>
      <c r="L335" s="171"/>
      <c r="M335" s="86"/>
      <c r="O335" s="4"/>
      <c r="P335" s="4"/>
      <c r="Q335" s="348"/>
      <c r="R335" s="349"/>
      <c r="S335" s="349"/>
      <c r="T335" s="349"/>
      <c r="U335" s="349"/>
      <c r="V335" s="349"/>
      <c r="W335" s="349"/>
      <c r="X335" s="349"/>
      <c r="Y335" s="349"/>
      <c r="Z335" s="349"/>
      <c r="AA335" s="350"/>
    </row>
    <row r="336" spans="1:36" ht="13.25" customHeight="1" x14ac:dyDescent="0.3">
      <c r="B336" s="6" t="s">
        <v>208</v>
      </c>
      <c r="C336" s="2"/>
      <c r="D336" s="2"/>
      <c r="E336" s="2"/>
      <c r="F336" s="2"/>
      <c r="G336" s="2"/>
      <c r="H336" s="27"/>
      <c r="I336" s="2"/>
      <c r="J336" s="2"/>
      <c r="K336" s="27"/>
      <c r="L336" s="2"/>
      <c r="M336" s="28"/>
      <c r="N336" s="27"/>
      <c r="O336" s="4"/>
      <c r="P336" s="4"/>
    </row>
    <row r="337" spans="2:35" ht="20" customHeight="1" x14ac:dyDescent="0.3">
      <c r="B337" s="6"/>
      <c r="C337" s="2"/>
      <c r="D337" s="2"/>
      <c r="E337" s="2"/>
      <c r="F337" s="2"/>
      <c r="G337" s="2"/>
      <c r="H337" s="30" t="str">
        <f>H$40</f>
        <v>Original Application</v>
      </c>
      <c r="I337" s="27"/>
      <c r="J337" s="27"/>
      <c r="K337" s="30" t="str">
        <f>K$40</f>
        <v>Approved CUR</v>
      </c>
      <c r="L337" s="93"/>
      <c r="M337" s="94"/>
      <c r="N337" s="30" t="str">
        <f>N$40</f>
        <v>Current Application</v>
      </c>
      <c r="O337" s="4"/>
      <c r="P337" s="4"/>
      <c r="Q337" s="145"/>
      <c r="T337" s="60"/>
      <c r="U337" s="60"/>
      <c r="V337" s="60"/>
      <c r="W337" s="60"/>
      <c r="X337" s="60"/>
      <c r="Y337" s="60"/>
      <c r="Z337" s="60"/>
      <c r="AA337" s="60"/>
    </row>
    <row r="338" spans="2:35" ht="12.75" customHeight="1" x14ac:dyDescent="0.3">
      <c r="B338" s="2"/>
      <c r="C338" s="2"/>
      <c r="D338" s="2"/>
      <c r="E338" s="2"/>
      <c r="F338" s="2"/>
      <c r="G338" s="2"/>
      <c r="H338" s="2"/>
      <c r="I338" s="2"/>
      <c r="J338" s="2"/>
      <c r="K338" s="2"/>
      <c r="L338" s="2"/>
      <c r="M338" s="2"/>
      <c r="N338" s="2"/>
      <c r="O338" s="4"/>
      <c r="P338" s="4"/>
      <c r="Q338" s="172"/>
      <c r="R338" s="145"/>
      <c r="S338" s="98"/>
      <c r="Z338" s="173"/>
    </row>
    <row r="339" spans="2:35" ht="13.25" customHeight="1" x14ac:dyDescent="0.3">
      <c r="B339" s="19" t="s">
        <v>193</v>
      </c>
      <c r="C339" s="6" t="s">
        <v>194</v>
      </c>
      <c r="D339" s="2"/>
      <c r="E339" s="2"/>
      <c r="F339" s="2"/>
      <c r="G339" s="19" t="s">
        <v>37</v>
      </c>
      <c r="H339" s="51" t="str">
        <f ca="1">IF(H212="","",H212)</f>
        <v/>
      </c>
      <c r="I339" s="2"/>
      <c r="J339" s="19" t="s">
        <v>37</v>
      </c>
      <c r="K339" s="51" t="str">
        <f ca="1">IF(K212="","",K212)</f>
        <v/>
      </c>
      <c r="L339" s="2"/>
      <c r="M339" s="19" t="s">
        <v>37</v>
      </c>
      <c r="N339" s="51" t="str">
        <f ca="1">IF(N212="","",N212)</f>
        <v/>
      </c>
      <c r="O339" s="4"/>
      <c r="Q339" s="174"/>
      <c r="R339" s="146"/>
      <c r="S339" s="146"/>
      <c r="T339" s="146"/>
      <c r="U339" s="147"/>
      <c r="V339" s="147"/>
      <c r="Z339" s="173"/>
    </row>
    <row r="340" spans="2:35" ht="12.75" customHeight="1" x14ac:dyDescent="0.3">
      <c r="B340" s="2"/>
      <c r="C340" s="2"/>
      <c r="D340" s="2"/>
      <c r="E340" s="2"/>
      <c r="F340" s="2"/>
      <c r="G340" s="2"/>
      <c r="H340" s="50"/>
      <c r="I340" s="2"/>
      <c r="J340" s="2"/>
      <c r="K340" s="50"/>
      <c r="L340" s="2"/>
      <c r="M340" s="2"/>
      <c r="N340" s="50"/>
      <c r="O340" s="4"/>
      <c r="R340" s="148"/>
      <c r="S340" s="148"/>
      <c r="T340" s="148"/>
      <c r="U340" s="150"/>
      <c r="V340" s="150"/>
      <c r="Z340" s="173"/>
      <c r="AE340" s="60"/>
      <c r="AF340" s="60"/>
      <c r="AG340" s="60"/>
      <c r="AH340" s="60"/>
      <c r="AI340" s="60"/>
    </row>
    <row r="341" spans="2:35" ht="13.25" customHeight="1" x14ac:dyDescent="0.3">
      <c r="B341" s="19" t="s">
        <v>142</v>
      </c>
      <c r="C341" s="6" t="s">
        <v>209</v>
      </c>
      <c r="D341" s="2"/>
      <c r="E341" s="2"/>
      <c r="F341" s="2"/>
      <c r="G341" s="2"/>
      <c r="H341" s="50"/>
      <c r="I341" s="2"/>
      <c r="J341" s="2"/>
      <c r="K341" s="50"/>
      <c r="L341" s="2"/>
      <c r="M341" s="2"/>
      <c r="N341" s="50"/>
      <c r="O341" s="4"/>
      <c r="Q341" s="151" t="s">
        <v>196</v>
      </c>
      <c r="Z341" s="173"/>
      <c r="AE341" s="60"/>
      <c r="AF341" s="60"/>
      <c r="AG341" s="60"/>
      <c r="AH341" s="60"/>
      <c r="AI341" s="60"/>
    </row>
    <row r="342" spans="2:35" ht="12.75" customHeight="1" x14ac:dyDescent="0.25">
      <c r="B342" s="2"/>
      <c r="C342" s="2"/>
      <c r="D342" s="2"/>
      <c r="E342" s="2"/>
      <c r="F342" s="2"/>
      <c r="G342" s="20"/>
      <c r="H342" s="100"/>
      <c r="I342" s="2"/>
      <c r="J342" s="20"/>
      <c r="K342" s="100"/>
      <c r="L342" s="2"/>
      <c r="M342" s="20"/>
      <c r="N342" s="100"/>
      <c r="O342" s="4"/>
      <c r="Q342" s="152"/>
      <c r="Z342" s="173"/>
      <c r="AE342" s="60"/>
      <c r="AF342" s="60"/>
      <c r="AG342" s="60"/>
      <c r="AH342" s="60"/>
      <c r="AI342" s="60"/>
    </row>
    <row r="343" spans="2:35" ht="13.25" customHeight="1" x14ac:dyDescent="0.3">
      <c r="B343" s="153">
        <f>MAX(B$342:B342)+1</f>
        <v>1</v>
      </c>
      <c r="C343" s="2" t="str">
        <f>C293</f>
        <v>Regulated Mortgage Lender First Mtg. Financing</v>
      </c>
      <c r="D343" s="2"/>
      <c r="E343" s="2"/>
      <c r="F343" s="2"/>
      <c r="G343" s="20" t="s">
        <v>37</v>
      </c>
      <c r="H343" s="43"/>
      <c r="I343" s="2"/>
      <c r="J343" s="20" t="s">
        <v>37</v>
      </c>
      <c r="K343" s="43"/>
      <c r="L343" s="292"/>
      <c r="M343" s="20" t="s">
        <v>37</v>
      </c>
      <c r="N343" s="43"/>
      <c r="O343" s="4"/>
      <c r="P343" s="21"/>
      <c r="Q343" s="293" t="s">
        <v>475</v>
      </c>
      <c r="R343" s="145"/>
      <c r="Z343" s="173"/>
      <c r="AE343" s="60"/>
      <c r="AF343" s="60"/>
      <c r="AG343" s="60"/>
      <c r="AH343" s="60"/>
      <c r="AI343" s="60"/>
    </row>
    <row r="344" spans="2:35" ht="12.75" customHeight="1" x14ac:dyDescent="0.25">
      <c r="B344" s="2"/>
      <c r="C344" s="2"/>
      <c r="D344" s="2"/>
      <c r="E344" s="2"/>
      <c r="F344" s="2"/>
      <c r="G344" s="20"/>
      <c r="H344" s="121"/>
      <c r="I344" s="2"/>
      <c r="J344" s="20"/>
      <c r="K344" s="121"/>
      <c r="L344" s="44"/>
      <c r="M344" s="20"/>
      <c r="N344" s="121"/>
      <c r="O344" s="4"/>
      <c r="Q344" s="152"/>
      <c r="R344" s="55"/>
      <c r="S344" s="55"/>
      <c r="T344" s="55"/>
      <c r="U344" s="55"/>
      <c r="V344" s="55"/>
      <c r="W344" s="55"/>
      <c r="X344" s="55"/>
      <c r="Y344" s="55"/>
      <c r="Z344" s="173"/>
      <c r="AA344" s="55"/>
      <c r="AB344" s="55"/>
      <c r="AC344" s="55"/>
      <c r="AE344" s="60"/>
      <c r="AF344" s="60"/>
      <c r="AG344" s="60"/>
      <c r="AH344" s="60"/>
      <c r="AI344" s="60"/>
    </row>
    <row r="345" spans="2:35" ht="13.25" customHeight="1" x14ac:dyDescent="0.25">
      <c r="B345" s="153">
        <f>MAX(B$342:B344)+1</f>
        <v>2</v>
      </c>
      <c r="C345" s="2" t="str">
        <f>C295</f>
        <v>Non-FHFC Other Mtg. Financing</v>
      </c>
      <c r="D345" s="2"/>
      <c r="E345" s="2"/>
      <c r="F345" s="2"/>
      <c r="G345" s="20" t="s">
        <v>37</v>
      </c>
      <c r="H345" s="43"/>
      <c r="I345" s="2"/>
      <c r="J345" s="20" t="s">
        <v>37</v>
      </c>
      <c r="K345" s="43"/>
      <c r="L345" s="292"/>
      <c r="M345" s="20" t="s">
        <v>37</v>
      </c>
      <c r="N345" s="43"/>
      <c r="O345" s="4"/>
      <c r="P345" s="21"/>
      <c r="Q345" s="154">
        <f>IF(N(K$37)=0,0,N(H345)/K$37)</f>
        <v>0</v>
      </c>
      <c r="R345" s="55"/>
      <c r="S345" s="55"/>
      <c r="T345" s="55"/>
      <c r="U345" s="55"/>
      <c r="V345" s="55"/>
      <c r="W345" s="55"/>
      <c r="X345" s="55"/>
      <c r="Y345" s="55"/>
      <c r="Z345" s="55"/>
      <c r="AA345" s="55"/>
      <c r="AB345" s="55"/>
      <c r="AC345" s="55"/>
      <c r="AE345" s="60"/>
      <c r="AF345" s="60"/>
      <c r="AG345" s="60"/>
      <c r="AH345" s="60"/>
      <c r="AI345" s="60"/>
    </row>
    <row r="346" spans="2:35" ht="12.75" customHeight="1" x14ac:dyDescent="0.25">
      <c r="B346" s="2"/>
      <c r="C346" s="2"/>
      <c r="D346" s="2"/>
      <c r="E346" s="2"/>
      <c r="F346" s="2"/>
      <c r="G346" s="20"/>
      <c r="H346" s="121"/>
      <c r="I346" s="2"/>
      <c r="J346" s="20"/>
      <c r="K346" s="121"/>
      <c r="L346" s="44"/>
      <c r="M346" s="20"/>
      <c r="N346" s="121"/>
      <c r="O346" s="4"/>
      <c r="Q346" s="152"/>
      <c r="AE346" s="60"/>
      <c r="AF346" s="60"/>
      <c r="AG346" s="60"/>
      <c r="AH346" s="60"/>
      <c r="AI346" s="60"/>
    </row>
    <row r="347" spans="2:35" ht="13.25" customHeight="1" x14ac:dyDescent="0.3">
      <c r="B347" s="153">
        <f>MAX(B$342:B346)+1</f>
        <v>3</v>
      </c>
      <c r="C347" s="2" t="str">
        <f>C297</f>
        <v>Non-FHFC Other Mtg. Financing</v>
      </c>
      <c r="D347" s="2"/>
      <c r="E347" s="2"/>
      <c r="F347" s="2"/>
      <c r="G347" s="20" t="s">
        <v>37</v>
      </c>
      <c r="H347" s="43"/>
      <c r="I347" s="2"/>
      <c r="J347" s="20" t="s">
        <v>37</v>
      </c>
      <c r="K347" s="43"/>
      <c r="L347" s="292"/>
      <c r="M347" s="20" t="s">
        <v>37</v>
      </c>
      <c r="N347" s="43"/>
      <c r="O347" s="4"/>
      <c r="Q347" s="154">
        <f>IF(N(K$37)=0,0,N(H347)/K$37)</f>
        <v>0</v>
      </c>
      <c r="R347" s="145"/>
      <c r="U347" s="60"/>
      <c r="V347" s="60"/>
      <c r="W347" s="60"/>
      <c r="X347" s="60"/>
      <c r="Y347" s="2"/>
      <c r="AE347" s="60"/>
      <c r="AF347" s="60"/>
      <c r="AG347" s="60"/>
      <c r="AH347" s="60"/>
      <c r="AI347" s="60"/>
    </row>
    <row r="348" spans="2:35" ht="12.75" customHeight="1" x14ac:dyDescent="0.3">
      <c r="B348" s="2"/>
      <c r="C348" s="2"/>
      <c r="D348" s="2"/>
      <c r="E348" s="2"/>
      <c r="F348" s="2"/>
      <c r="G348" s="20"/>
      <c r="H348" s="121"/>
      <c r="I348" s="2"/>
      <c r="J348" s="20"/>
      <c r="K348" s="121"/>
      <c r="L348" s="44"/>
      <c r="M348" s="20"/>
      <c r="N348" s="121"/>
      <c r="O348" s="4"/>
      <c r="Q348" s="175"/>
      <c r="R348" s="156"/>
      <c r="S348" s="156"/>
      <c r="T348" s="156"/>
      <c r="U348" s="157"/>
      <c r="V348" s="157"/>
      <c r="W348" s="60"/>
      <c r="X348" s="60"/>
      <c r="AD348" s="60"/>
      <c r="AE348" s="60"/>
      <c r="AF348" s="60"/>
      <c r="AG348" s="60"/>
      <c r="AH348" s="60"/>
      <c r="AI348" s="60"/>
    </row>
    <row r="349" spans="2:35" ht="13.25" customHeight="1" x14ac:dyDescent="0.25">
      <c r="B349" s="153">
        <f>MAX(B$342:B348)+1</f>
        <v>4</v>
      </c>
      <c r="C349" s="2" t="str">
        <f>C299</f>
        <v>Non-FHFC Other Mtg. Financing</v>
      </c>
      <c r="D349" s="2"/>
      <c r="E349" s="2"/>
      <c r="F349" s="2"/>
      <c r="G349" s="20" t="s">
        <v>37</v>
      </c>
      <c r="H349" s="43"/>
      <c r="I349" s="2"/>
      <c r="J349" s="20" t="s">
        <v>37</v>
      </c>
      <c r="K349" s="43"/>
      <c r="L349" s="292"/>
      <c r="M349" s="20" t="s">
        <v>37</v>
      </c>
      <c r="N349" s="43"/>
      <c r="O349" s="4"/>
      <c r="Q349" s="154">
        <f>IF(N(K$37)=0,0,N(H349)/K$37)</f>
        <v>0</v>
      </c>
      <c r="AD349" s="60"/>
      <c r="AE349" s="60"/>
      <c r="AF349" s="60"/>
      <c r="AG349" s="60"/>
      <c r="AH349" s="60"/>
      <c r="AI349" s="60"/>
    </row>
    <row r="350" spans="2:35" ht="12.75" customHeight="1" x14ac:dyDescent="0.25">
      <c r="B350" s="2"/>
      <c r="C350" s="2"/>
      <c r="D350" s="2"/>
      <c r="E350" s="2"/>
      <c r="F350" s="2"/>
      <c r="G350" s="20"/>
      <c r="H350" s="121"/>
      <c r="I350" s="2"/>
      <c r="J350" s="20"/>
      <c r="K350" s="121"/>
      <c r="L350" s="44"/>
      <c r="M350" s="20"/>
      <c r="N350" s="121"/>
      <c r="O350" s="4"/>
      <c r="Q350" s="152"/>
      <c r="S350" s="60"/>
      <c r="T350" s="60"/>
      <c r="U350" s="60"/>
      <c r="V350" s="60"/>
      <c r="W350" s="60"/>
      <c r="X350" s="60"/>
      <c r="Y350" s="60"/>
      <c r="Z350" s="60"/>
      <c r="AA350" s="60"/>
      <c r="AB350" s="60"/>
      <c r="AC350" s="60"/>
      <c r="AD350" s="60"/>
      <c r="AE350" s="60"/>
      <c r="AF350" s="60"/>
      <c r="AG350" s="60"/>
      <c r="AH350" s="60"/>
    </row>
    <row r="351" spans="2:35" ht="13.25" customHeight="1" x14ac:dyDescent="0.25">
      <c r="B351" s="153">
        <f>MAX(B$342:B350)+1</f>
        <v>5</v>
      </c>
      <c r="C351" s="2" t="str">
        <f>C301</f>
        <v>Non-FHFC Other Mtg. Financing</v>
      </c>
      <c r="D351" s="2"/>
      <c r="E351" s="291"/>
      <c r="F351" s="291"/>
      <c r="G351" s="20" t="s">
        <v>37</v>
      </c>
      <c r="H351" s="43"/>
      <c r="I351" s="2"/>
      <c r="J351" s="20" t="s">
        <v>37</v>
      </c>
      <c r="K351" s="43"/>
      <c r="L351" s="47"/>
      <c r="M351" s="20" t="s">
        <v>37</v>
      </c>
      <c r="N351" s="43"/>
      <c r="O351" s="4"/>
      <c r="P351" s="4"/>
      <c r="Q351" s="154">
        <f>IF(N(K$37)=0,0,N(H351)/K$37)</f>
        <v>0</v>
      </c>
    </row>
    <row r="352" spans="2:35" ht="12.75" customHeight="1" x14ac:dyDescent="0.25">
      <c r="B352" s="2"/>
      <c r="H352" s="52"/>
      <c r="K352" s="52"/>
      <c r="L352" s="47"/>
      <c r="N352" s="52"/>
      <c r="O352" s="4"/>
      <c r="P352" s="4"/>
      <c r="Q352" s="98"/>
    </row>
    <row r="353" spans="2:34" ht="13.25" customHeight="1" x14ac:dyDescent="0.25">
      <c r="B353" s="153">
        <f>MAX(B$342:B352)+1</f>
        <v>6</v>
      </c>
      <c r="C353" s="2" t="str">
        <f>C303</f>
        <v>Non-FHFC Other Mtg. Financing</v>
      </c>
      <c r="D353" s="2"/>
      <c r="E353" s="291"/>
      <c r="F353" s="291"/>
      <c r="G353" s="20" t="s">
        <v>37</v>
      </c>
      <c r="H353" s="43"/>
      <c r="I353" s="2"/>
      <c r="J353" s="20" t="s">
        <v>37</v>
      </c>
      <c r="K353" s="43"/>
      <c r="L353" s="47"/>
      <c r="M353" s="20" t="s">
        <v>37</v>
      </c>
      <c r="N353" s="43"/>
      <c r="O353" s="4"/>
      <c r="P353" s="4"/>
      <c r="Q353" s="154">
        <f>IF(N(K$37)=0,0,N(H353)/K$37)</f>
        <v>0</v>
      </c>
    </row>
    <row r="354" spans="2:34" ht="12.75" customHeight="1" x14ac:dyDescent="0.25">
      <c r="B354" s="163"/>
      <c r="C354" s="2"/>
      <c r="D354" s="2"/>
      <c r="E354" s="164"/>
      <c r="F354" s="164"/>
      <c r="H354" s="102"/>
      <c r="I354" s="2"/>
      <c r="K354" s="102"/>
      <c r="L354" s="176"/>
      <c r="N354" s="102"/>
      <c r="O354" s="176"/>
      <c r="P354" s="176"/>
      <c r="Q354" s="98"/>
    </row>
    <row r="355" spans="2:34" ht="13.25" customHeight="1" x14ac:dyDescent="0.3">
      <c r="B355" s="153">
        <f>MAX(B$342:B354)+1</f>
        <v>7</v>
      </c>
      <c r="C355" s="2" t="str">
        <f>C305</f>
        <v>FHFC - SAIL Funding</v>
      </c>
      <c r="D355" s="2"/>
      <c r="E355" s="2"/>
      <c r="F355" s="2"/>
      <c r="G355" s="20" t="s">
        <v>37</v>
      </c>
      <c r="H355" s="43"/>
      <c r="I355" s="2"/>
      <c r="J355" s="20" t="s">
        <v>37</v>
      </c>
      <c r="K355" s="43"/>
      <c r="L355" s="292"/>
      <c r="M355" s="20" t="s">
        <v>37</v>
      </c>
      <c r="N355" s="43"/>
      <c r="O355" s="4"/>
      <c r="P355" s="21"/>
      <c r="Q355" s="154">
        <f>IF(N(K$37)=0,0,N(H355)/K$37)</f>
        <v>0</v>
      </c>
      <c r="R355" s="150"/>
      <c r="S355" s="177"/>
      <c r="T355" s="60"/>
      <c r="U355" s="60"/>
      <c r="V355" s="60"/>
      <c r="W355" s="60"/>
      <c r="X355" s="60"/>
      <c r="Y355" s="60"/>
      <c r="Z355" s="60"/>
      <c r="AA355" s="60"/>
      <c r="AB355" s="60"/>
      <c r="AC355" s="60"/>
      <c r="AD355" s="60"/>
      <c r="AE355" s="60"/>
      <c r="AF355" s="60"/>
      <c r="AG355" s="60"/>
      <c r="AH355" s="60"/>
    </row>
    <row r="356" spans="2:34" ht="12.75" customHeight="1" x14ac:dyDescent="0.25">
      <c r="B356" s="2"/>
      <c r="C356" s="2"/>
      <c r="D356" s="2"/>
      <c r="E356" s="2"/>
      <c r="F356" s="2"/>
      <c r="G356" s="20"/>
      <c r="H356" s="121"/>
      <c r="I356" s="2"/>
      <c r="J356" s="20"/>
      <c r="K356" s="121"/>
      <c r="L356" s="44"/>
      <c r="M356" s="20"/>
      <c r="N356" s="121"/>
      <c r="O356" s="4"/>
      <c r="Q356" s="152"/>
    </row>
    <row r="357" spans="2:34" ht="13.25" customHeight="1" x14ac:dyDescent="0.25">
      <c r="B357" s="153">
        <f>MAX(B$342:B356)+1</f>
        <v>8</v>
      </c>
      <c r="C357" s="2" t="str">
        <f>C307</f>
        <v>FHFC - ELI Funding</v>
      </c>
      <c r="G357" s="20" t="s">
        <v>37</v>
      </c>
      <c r="H357" s="43"/>
      <c r="I357" s="2"/>
      <c r="J357" s="20" t="s">
        <v>37</v>
      </c>
      <c r="K357" s="43"/>
      <c r="L357" s="292"/>
      <c r="M357" s="20" t="s">
        <v>37</v>
      </c>
      <c r="N357" s="43"/>
      <c r="O357" s="4"/>
      <c r="Q357" s="154">
        <f>IF(N(K$37)=0,0,N(H357)/K$37)</f>
        <v>0</v>
      </c>
      <c r="R357" s="158"/>
      <c r="S357" s="158"/>
      <c r="T357" s="158"/>
      <c r="U357" s="158"/>
      <c r="V357" s="158"/>
      <c r="W357" s="158"/>
      <c r="X357" s="158"/>
      <c r="Y357" s="158"/>
      <c r="Z357" s="158"/>
      <c r="AA357" s="158"/>
    </row>
    <row r="358" spans="2:34" ht="12.75" customHeight="1" x14ac:dyDescent="0.25">
      <c r="B358" s="153"/>
      <c r="C358" s="2"/>
      <c r="D358" s="2"/>
      <c r="E358" s="2"/>
      <c r="F358" s="2"/>
      <c r="G358" s="20"/>
      <c r="H358" s="121"/>
      <c r="I358" s="2"/>
      <c r="J358" s="20"/>
      <c r="K358" s="121"/>
      <c r="L358" s="44"/>
      <c r="M358" s="20"/>
      <c r="N358" s="121"/>
      <c r="O358" s="4"/>
      <c r="Q358" s="152"/>
      <c r="R358" s="158"/>
      <c r="S358" s="158"/>
      <c r="T358" s="158"/>
      <c r="U358" s="158"/>
      <c r="V358" s="158"/>
      <c r="W358" s="158"/>
      <c r="X358" s="158"/>
      <c r="Y358" s="158"/>
      <c r="Z358" s="158"/>
      <c r="AA358" s="158"/>
    </row>
    <row r="359" spans="2:34" ht="13.25" customHeight="1" x14ac:dyDescent="0.25">
      <c r="B359" s="153">
        <f>MAX(B$342:B358)+1</f>
        <v>9</v>
      </c>
      <c r="C359" s="2" t="str">
        <f>C309</f>
        <v>FHFC - NHTF Funding</v>
      </c>
      <c r="D359" s="2"/>
      <c r="E359" s="2"/>
      <c r="F359" s="2"/>
      <c r="G359" s="20" t="s">
        <v>37</v>
      </c>
      <c r="H359" s="43"/>
      <c r="I359" s="2"/>
      <c r="J359" s="20" t="s">
        <v>37</v>
      </c>
      <c r="K359" s="43"/>
      <c r="L359" s="292"/>
      <c r="M359" s="20" t="s">
        <v>37</v>
      </c>
      <c r="N359" s="43"/>
      <c r="O359" s="4"/>
      <c r="Q359" s="154">
        <f>IF(N(K$37)=0,0,N(H359)/K$37)</f>
        <v>0</v>
      </c>
      <c r="R359" s="158"/>
      <c r="S359" s="158"/>
      <c r="T359" s="158"/>
      <c r="U359" s="158"/>
      <c r="V359" s="158"/>
      <c r="W359" s="158"/>
      <c r="X359" s="158"/>
      <c r="Y359" s="158"/>
      <c r="Z359" s="158"/>
      <c r="AA359" s="158"/>
    </row>
    <row r="360" spans="2:34" ht="12.75" customHeight="1" x14ac:dyDescent="0.25">
      <c r="B360" s="2"/>
      <c r="C360" s="2"/>
      <c r="D360" s="2"/>
      <c r="E360" s="2"/>
      <c r="F360" s="2"/>
      <c r="G360" s="20"/>
      <c r="H360" s="100"/>
      <c r="I360" s="2"/>
      <c r="J360" s="20"/>
      <c r="K360" s="100"/>
      <c r="L360" s="44"/>
      <c r="M360" s="20"/>
      <c r="N360" s="100"/>
      <c r="O360" s="4"/>
      <c r="P360" s="4"/>
      <c r="Q360" s="152"/>
      <c r="R360" s="158"/>
      <c r="S360" s="158"/>
      <c r="T360" s="158"/>
      <c r="U360" s="158"/>
      <c r="V360" s="158"/>
      <c r="W360" s="158"/>
      <c r="X360" s="158"/>
      <c r="Y360" s="158"/>
      <c r="Z360" s="158"/>
      <c r="AA360" s="158"/>
    </row>
    <row r="361" spans="2:34" ht="13.25" customHeight="1" x14ac:dyDescent="0.25">
      <c r="B361" s="153">
        <f>MAX(B$342:B360)+1</f>
        <v>10</v>
      </c>
      <c r="C361" s="2" t="str">
        <f>C311</f>
        <v>FHFC Funding:</v>
      </c>
      <c r="F361" s="162" t="s">
        <v>202</v>
      </c>
      <c r="G361" s="20" t="s">
        <v>37</v>
      </c>
      <c r="H361" s="43"/>
      <c r="I361" s="2"/>
      <c r="J361" s="20" t="s">
        <v>37</v>
      </c>
      <c r="K361" s="43"/>
      <c r="L361" s="292"/>
      <c r="M361" s="20" t="s">
        <v>37</v>
      </c>
      <c r="N361" s="43"/>
      <c r="O361" s="4"/>
      <c r="P361" s="4"/>
      <c r="Q361" s="154">
        <f>IF(N(K$37)=0,0,N(H361)/K$37)</f>
        <v>0</v>
      </c>
      <c r="R361" s="159"/>
      <c r="S361" s="159"/>
      <c r="T361" s="159"/>
      <c r="U361" s="159"/>
      <c r="V361" s="159"/>
      <c r="W361" s="159"/>
      <c r="X361" s="159"/>
      <c r="Y361" s="160"/>
    </row>
    <row r="362" spans="2:34" ht="12.75" customHeight="1" x14ac:dyDescent="0.25">
      <c r="B362" s="2"/>
      <c r="C362" s="2"/>
      <c r="D362" s="2"/>
      <c r="E362" s="2"/>
      <c r="F362" s="2"/>
      <c r="G362" s="20"/>
      <c r="H362" s="100"/>
      <c r="I362" s="2"/>
      <c r="J362" s="20"/>
      <c r="K362" s="100"/>
      <c r="L362" s="44"/>
      <c r="M362" s="20"/>
      <c r="N362" s="100"/>
      <c r="O362" s="4"/>
      <c r="P362" s="4"/>
      <c r="Q362" s="152"/>
      <c r="R362" s="159"/>
      <c r="S362" s="159"/>
      <c r="T362" s="159"/>
      <c r="U362" s="159"/>
      <c r="V362" s="159"/>
      <c r="W362" s="159"/>
      <c r="X362" s="159"/>
      <c r="Y362" s="160"/>
    </row>
    <row r="363" spans="2:34" ht="13.25" customHeight="1" x14ac:dyDescent="0.25">
      <c r="B363" s="153">
        <f>MAX(B$342:B362)+1</f>
        <v>11</v>
      </c>
      <c r="C363" s="2" t="str">
        <f>C313</f>
        <v>FHFC Funding:</v>
      </c>
      <c r="D363" s="2"/>
      <c r="E363" s="2"/>
      <c r="F363" s="162" t="s">
        <v>202</v>
      </c>
      <c r="G363" s="20" t="s">
        <v>37</v>
      </c>
      <c r="H363" s="43"/>
      <c r="I363" s="2"/>
      <c r="J363" s="20" t="s">
        <v>37</v>
      </c>
      <c r="K363" s="43"/>
      <c r="L363" s="292"/>
      <c r="M363" s="20" t="s">
        <v>37</v>
      </c>
      <c r="N363" s="43"/>
      <c r="O363" s="4"/>
      <c r="P363" s="4"/>
      <c r="Q363" s="154">
        <f>IF(N(K$37)=0,0,N(H363)/K$37)</f>
        <v>0</v>
      </c>
      <c r="R363" s="159"/>
      <c r="S363" s="159"/>
      <c r="T363" s="159"/>
      <c r="U363" s="159"/>
      <c r="V363" s="159"/>
      <c r="W363" s="159"/>
      <c r="X363" s="159"/>
      <c r="Y363" s="160"/>
    </row>
    <row r="364" spans="2:34" ht="12.75" customHeight="1" x14ac:dyDescent="0.25">
      <c r="B364" s="2"/>
      <c r="C364" s="2"/>
      <c r="D364" s="2"/>
      <c r="E364" s="2"/>
      <c r="F364" s="2"/>
      <c r="G364" s="2"/>
      <c r="H364" s="102"/>
      <c r="I364" s="2"/>
      <c r="J364" s="2"/>
      <c r="K364" s="102"/>
      <c r="L364" s="44"/>
      <c r="M364" s="2"/>
      <c r="N364" s="102"/>
      <c r="O364" s="4"/>
      <c r="P364" s="4"/>
      <c r="Q364" s="152"/>
      <c r="R364" s="159"/>
      <c r="S364" s="159"/>
      <c r="T364" s="159"/>
      <c r="U364" s="159"/>
      <c r="V364" s="159"/>
      <c r="W364" s="159"/>
      <c r="X364" s="159"/>
      <c r="Y364" s="160"/>
    </row>
    <row r="365" spans="2:34" ht="13.25" customHeight="1" x14ac:dyDescent="0.25">
      <c r="B365" s="153">
        <f>MAX(B$342:B364)+1</f>
        <v>12</v>
      </c>
      <c r="C365" s="2" t="str">
        <f>C315</f>
        <v>FHFC - Viability Funding</v>
      </c>
      <c r="D365" s="2"/>
      <c r="E365" s="2"/>
      <c r="F365" s="2"/>
      <c r="G365" s="20" t="s">
        <v>37</v>
      </c>
      <c r="H365" s="295"/>
      <c r="I365" s="2"/>
      <c r="J365" s="20" t="s">
        <v>37</v>
      </c>
      <c r="K365" s="295"/>
      <c r="L365" s="292"/>
      <c r="M365" s="20" t="s">
        <v>37</v>
      </c>
      <c r="N365" s="43"/>
      <c r="O365" s="4"/>
      <c r="P365" s="4"/>
      <c r="Q365" s="154">
        <f>IF(N(K$37)=0,0,N(H365)/K$37)</f>
        <v>0</v>
      </c>
    </row>
    <row r="366" spans="2:34" ht="12.75" customHeight="1" x14ac:dyDescent="0.25">
      <c r="B366" s="2"/>
      <c r="C366" s="2"/>
      <c r="D366" s="2"/>
      <c r="E366" s="2"/>
      <c r="F366" s="2"/>
      <c r="G366" s="2"/>
      <c r="H366" s="102"/>
      <c r="I366" s="2"/>
      <c r="J366" s="2"/>
      <c r="K366" s="102"/>
      <c r="L366" s="47"/>
      <c r="M366" s="2"/>
      <c r="N366" s="102"/>
      <c r="O366" s="4"/>
      <c r="P366" s="4"/>
      <c r="Q366" s="98"/>
    </row>
    <row r="367" spans="2:34" ht="13.25" customHeight="1" x14ac:dyDescent="0.25">
      <c r="B367" s="153">
        <f>MAX(B$342:B366)+1</f>
        <v>13</v>
      </c>
      <c r="C367" s="2" t="s">
        <v>210</v>
      </c>
      <c r="D367" s="2"/>
      <c r="E367" s="2"/>
      <c r="F367" s="2"/>
      <c r="G367" s="20" t="s">
        <v>37</v>
      </c>
      <c r="H367" s="43"/>
      <c r="I367" s="2"/>
      <c r="J367" s="20" t="s">
        <v>37</v>
      </c>
      <c r="K367" s="43"/>
      <c r="L367" s="47"/>
      <c r="M367" s="20" t="s">
        <v>37</v>
      </c>
      <c r="N367" s="43"/>
      <c r="O367" s="4"/>
      <c r="P367" s="4"/>
      <c r="Q367" s="154">
        <f>IF(N(K$37)=0,0,N(H367)/K$37)</f>
        <v>0</v>
      </c>
    </row>
    <row r="368" spans="2:34" ht="12.75" customHeight="1" x14ac:dyDescent="0.25">
      <c r="Q368" s="98"/>
    </row>
    <row r="369" spans="1:21" ht="13.25" customHeight="1" x14ac:dyDescent="0.25">
      <c r="B369" s="153">
        <f>MAX(B$342:B367)+1</f>
        <v>14</v>
      </c>
      <c r="C369" s="2" t="s">
        <v>204</v>
      </c>
      <c r="D369" s="2"/>
      <c r="E369" s="2"/>
      <c r="F369" s="2"/>
      <c r="G369" s="20" t="s">
        <v>37</v>
      </c>
      <c r="H369" s="43"/>
      <c r="I369" s="2"/>
      <c r="J369" s="20" t="s">
        <v>37</v>
      </c>
      <c r="K369" s="43"/>
      <c r="L369" s="2"/>
      <c r="M369" s="20" t="s">
        <v>37</v>
      </c>
      <c r="N369" s="43"/>
      <c r="O369" s="176"/>
      <c r="P369" s="176"/>
      <c r="Q369" s="154">
        <f>IF(N(K$37)=0,0,N(H369)/K$37)</f>
        <v>0</v>
      </c>
    </row>
    <row r="370" spans="1:21" ht="12.75" customHeight="1" x14ac:dyDescent="0.25">
      <c r="B370" s="2"/>
      <c r="H370" s="52"/>
      <c r="I370" s="2"/>
      <c r="K370" s="52"/>
      <c r="L370" s="176"/>
      <c r="N370" s="52"/>
      <c r="O370" s="176"/>
      <c r="P370" s="176"/>
      <c r="Q370" s="98"/>
    </row>
    <row r="371" spans="1:21" ht="13.25" customHeight="1" thickBot="1" x14ac:dyDescent="0.35">
      <c r="B371" s="166">
        <f>MAX(B$342:B370)+1</f>
        <v>15</v>
      </c>
      <c r="C371" s="6" t="s">
        <v>211</v>
      </c>
      <c r="D371" s="2"/>
      <c r="E371" s="2"/>
      <c r="F371" s="2"/>
      <c r="G371" s="20" t="s">
        <v>37</v>
      </c>
      <c r="H371" s="167" t="str">
        <f>IF(SUM(H342:H370)&lt;1,"",SUM(H342:H370))</f>
        <v/>
      </c>
      <c r="J371" s="20" t="s">
        <v>37</v>
      </c>
      <c r="K371" s="167" t="str">
        <f>IF(SUM(K342:K370)&lt;1,"",SUM(K342:K370))</f>
        <v/>
      </c>
      <c r="L371" s="2"/>
      <c r="M371" s="20" t="s">
        <v>37</v>
      </c>
      <c r="N371" s="167" t="str">
        <f>IF(SUM(N342:N370)&lt;1,"",SUM(N342:N370))</f>
        <v/>
      </c>
      <c r="O371" s="4"/>
      <c r="P371" s="4"/>
      <c r="Q371" s="154">
        <f>IF(N(K$37)=0,0,N(H371)/K$37)</f>
        <v>0</v>
      </c>
    </row>
    <row r="372" spans="1:21" ht="12.75" customHeight="1" thickTop="1" x14ac:dyDescent="0.25">
      <c r="B372" s="163"/>
      <c r="C372" s="2"/>
      <c r="D372" s="2"/>
      <c r="E372" s="2"/>
      <c r="F372" s="2"/>
      <c r="G372" s="20"/>
      <c r="H372" s="52"/>
      <c r="J372" s="20"/>
      <c r="K372" s="52"/>
      <c r="L372" s="2"/>
      <c r="M372" s="20"/>
      <c r="N372" s="52"/>
      <c r="O372" s="4"/>
      <c r="P372" s="4"/>
      <c r="Q372" s="98"/>
    </row>
    <row r="373" spans="1:21" ht="13.25" customHeight="1" x14ac:dyDescent="0.3">
      <c r="B373" s="19" t="s">
        <v>144</v>
      </c>
      <c r="C373" s="6" t="s">
        <v>212</v>
      </c>
      <c r="D373" s="6"/>
      <c r="E373" s="6"/>
      <c r="F373" s="6"/>
      <c r="G373" s="2"/>
      <c r="H373" s="50"/>
      <c r="I373" s="2"/>
      <c r="J373" s="2"/>
      <c r="K373" s="50"/>
      <c r="L373" s="2"/>
      <c r="M373" s="2"/>
      <c r="N373" s="50"/>
      <c r="O373" s="4"/>
      <c r="P373" s="4"/>
    </row>
    <row r="374" spans="1:21" ht="13" x14ac:dyDescent="0.3">
      <c r="B374" s="19"/>
      <c r="C374" s="6"/>
      <c r="D374" s="10" t="str">
        <f>"(B."&amp;TEXT(B371,"0")&amp;". "&amp;C371&amp;", "</f>
        <v xml:space="preserve">(B.15. Total Permanent Funding Sources, </v>
      </c>
      <c r="E374" s="6"/>
      <c r="F374" s="6"/>
      <c r="G374" s="2"/>
      <c r="H374" s="50"/>
      <c r="I374" s="2"/>
      <c r="J374" s="2"/>
      <c r="K374" s="50"/>
      <c r="L374" s="2"/>
      <c r="M374" s="2"/>
      <c r="N374" s="50"/>
      <c r="O374" s="4"/>
    </row>
    <row r="375" spans="1:21" ht="13.5" thickBot="1" x14ac:dyDescent="0.35">
      <c r="B375" s="19"/>
      <c r="C375" s="6"/>
      <c r="D375" s="10" t="str">
        <f>" less "&amp;B339&amp;" "&amp;C339&amp;"):"</f>
        <v xml:space="preserve"> less A. Total Development Costs):</v>
      </c>
      <c r="E375" s="6"/>
      <c r="F375" s="6"/>
      <c r="G375" s="19" t="s">
        <v>37</v>
      </c>
      <c r="H375" s="167" t="str">
        <f ca="1">IF(AND(N(H371)=0,N(H339)=0),"",N(H371)-N(H339))</f>
        <v/>
      </c>
      <c r="I375" s="2"/>
      <c r="J375" s="19" t="s">
        <v>37</v>
      </c>
      <c r="K375" s="167" t="str">
        <f ca="1">IF(AND(N(K371)=0,N(K339)=0),"",N(K371)-N(K339))</f>
        <v/>
      </c>
      <c r="M375" s="19" t="s">
        <v>37</v>
      </c>
      <c r="N375" s="167" t="str">
        <f ca="1">IF(AND(N(N371)=0,N(N339)=0),"",N(N371)-N(N339))</f>
        <v/>
      </c>
      <c r="O375" s="4"/>
      <c r="P375" s="21" t="str">
        <f ca="1">IF(OR(N(H375)&lt;&gt;0,N(K375)&lt;&gt;0,N(N375)&lt;&gt;0),"**","")</f>
        <v/>
      </c>
      <c r="Q375" s="178" t="str">
        <f ca="1">IF(AND(N(H375)=0,N(K375)=0,N(N375)=0),"Permanent Funding Sources are equal to Total Development Costs.",IF(OR(N(H375)&lt;0,N(K375)&lt;0,N(N375)&lt;0),"There is a shortfall in Permanent Funding Sources which must be corrected.","There is a surplus of Permanent Funding Sources which is not permitted at time of Application."))</f>
        <v>Permanent Funding Sources are equal to Total Development Costs.</v>
      </c>
      <c r="R375" s="178"/>
      <c r="S375" s="178"/>
      <c r="T375" s="178"/>
      <c r="U375" s="178"/>
    </row>
    <row r="376" spans="1:21" ht="12.75" customHeight="1" thickTop="1" x14ac:dyDescent="0.3">
      <c r="B376" s="6"/>
      <c r="C376" s="6"/>
      <c r="D376" s="2"/>
      <c r="E376" s="6"/>
      <c r="F376" s="6"/>
      <c r="G376" s="20"/>
      <c r="I376" s="2"/>
      <c r="J376" s="2"/>
      <c r="K376" s="2"/>
      <c r="O376" s="4"/>
      <c r="P376" s="4"/>
    </row>
    <row r="377" spans="1:21" ht="13.5" thickBot="1" x14ac:dyDescent="0.35">
      <c r="B377" s="6" t="s">
        <v>207</v>
      </c>
      <c r="D377" s="2"/>
      <c r="E377" s="2"/>
      <c r="F377" s="2"/>
      <c r="G377" s="2"/>
      <c r="H377" s="2"/>
      <c r="I377" s="2"/>
      <c r="J377" s="2"/>
      <c r="K377" s="2"/>
      <c r="L377" s="2"/>
      <c r="M377" s="2"/>
      <c r="O377" s="4"/>
      <c r="P377" s="4"/>
    </row>
    <row r="378" spans="1:21" ht="3.75" customHeight="1" x14ac:dyDescent="0.25">
      <c r="A378" s="1"/>
      <c r="B378" s="1"/>
      <c r="C378" s="1"/>
      <c r="D378" s="1"/>
      <c r="E378" s="1"/>
      <c r="F378" s="1"/>
      <c r="G378" s="1"/>
      <c r="H378" s="1"/>
      <c r="I378" s="1"/>
      <c r="J378" s="1"/>
      <c r="K378" s="1"/>
      <c r="L378" s="1"/>
      <c r="M378" s="1"/>
      <c r="N378" s="1"/>
      <c r="O378" s="1"/>
      <c r="P378" s="1"/>
    </row>
    <row r="379" spans="1:21" ht="13" x14ac:dyDescent="0.3">
      <c r="B379" s="6" t="str">
        <f>B$2</f>
        <v>RFA 2021-211 DEVELOPMENT COST PRO FORMA</v>
      </c>
      <c r="O379" s="4"/>
      <c r="P379" s="5" t="s">
        <v>482</v>
      </c>
    </row>
    <row r="381" spans="1:21" x14ac:dyDescent="0.25">
      <c r="B381" s="9" t="s">
        <v>490</v>
      </c>
      <c r="C381" s="9"/>
      <c r="D381" s="9"/>
      <c r="E381" s="9"/>
      <c r="F381" s="9"/>
      <c r="G381" s="9"/>
      <c r="H381" s="9"/>
      <c r="I381" s="9"/>
      <c r="J381" s="9"/>
      <c r="K381" s="9"/>
      <c r="L381" s="9"/>
      <c r="M381" s="9"/>
      <c r="N381" s="9"/>
      <c r="O381" s="9"/>
      <c r="P381" s="9"/>
    </row>
    <row r="382" spans="1:21" x14ac:dyDescent="0.25">
      <c r="B382" s="9" t="s">
        <v>491</v>
      </c>
      <c r="C382" s="9"/>
      <c r="D382" s="9"/>
      <c r="E382" s="9"/>
      <c r="F382" s="9"/>
      <c r="G382" s="9"/>
      <c r="H382" s="9"/>
      <c r="I382" s="9"/>
      <c r="J382" s="9"/>
      <c r="K382" s="9"/>
      <c r="L382" s="9"/>
      <c r="M382" s="9"/>
      <c r="N382" s="9"/>
      <c r="O382" s="9"/>
      <c r="P382" s="9"/>
    </row>
    <row r="383" spans="1:21" x14ac:dyDescent="0.25">
      <c r="B383" s="9" t="s">
        <v>492</v>
      </c>
      <c r="C383" s="9"/>
      <c r="D383" s="9"/>
      <c r="E383" s="9"/>
      <c r="F383" s="9"/>
      <c r="G383" s="9"/>
      <c r="H383" s="9"/>
      <c r="I383" s="9"/>
      <c r="J383" s="9"/>
      <c r="K383" s="9"/>
      <c r="L383" s="9"/>
      <c r="M383" s="9"/>
      <c r="N383" s="9"/>
      <c r="O383" s="9"/>
      <c r="P383" s="9"/>
    </row>
    <row r="384" spans="1:21" x14ac:dyDescent="0.25">
      <c r="B384" s="9" t="s">
        <v>493</v>
      </c>
      <c r="C384" s="9"/>
      <c r="D384" s="9"/>
      <c r="E384" s="9"/>
      <c r="F384" s="9"/>
      <c r="G384" s="9"/>
      <c r="H384" s="9"/>
      <c r="I384" s="9"/>
      <c r="J384" s="9"/>
      <c r="K384" s="9"/>
      <c r="L384" s="9"/>
      <c r="M384" s="9"/>
      <c r="N384" s="9"/>
      <c r="O384" s="9"/>
      <c r="P384" s="9"/>
    </row>
    <row r="385" spans="2:26" x14ac:dyDescent="0.25">
      <c r="B385" s="9" t="s">
        <v>494</v>
      </c>
      <c r="C385" s="9"/>
      <c r="D385" s="9"/>
      <c r="E385" s="9"/>
      <c r="F385" s="9"/>
      <c r="G385" s="9"/>
      <c r="H385" s="9"/>
      <c r="I385" s="9"/>
      <c r="J385" s="9"/>
      <c r="K385" s="9"/>
      <c r="L385" s="9"/>
      <c r="M385" s="9"/>
      <c r="N385" s="9"/>
      <c r="O385" s="9"/>
      <c r="P385" s="9"/>
    </row>
    <row r="386" spans="2:26" x14ac:dyDescent="0.25">
      <c r="B386" s="9" t="s">
        <v>495</v>
      </c>
    </row>
    <row r="388" spans="2:26" ht="13" x14ac:dyDescent="0.3">
      <c r="B388" s="6" t="s">
        <v>213</v>
      </c>
      <c r="N388" s="179" t="str">
        <f>IF(K390=E620,"",IF(OR(K390="Broward",K390="Miami-Dade",K390="Palm Beach"),"South Florida, ","Not in South Florida, ")&amp;IF(K393="Yes","Multiple Designations",IF(K36=F613,"",IF(OR(K36="New Construction (w/ or w/o Acquisition)",K36="Redevelopment (w/ or w/o Acquisition)"),"New Construction, ","Rehab, ")&amp;IF(K411=K613,"",IF(K411=K614,"Garden",IF(OR(K36="New Construction (w/ or w/o Acquisition)",K36="Redevelopment (w/ or w/o Acquisition)"),IF(K411=K615,"Mid-Rise","High-Rise"),"Non-Garden"))&amp;IF(OR(K36="Rehabilitation (w/ or w/o Acquisition)",K36="Preservation (w/ or w/o Acquisition)"),".",IF(OR(K415=C614,K411=K616),", ESSC.",IF(OR(K415=C615,AND(OR(K36="New Construction (w/ or w/o Acquisition)",K36="Redevelopment (w/ or w/o Acquisition)"),OR(K415=C613,K415=C616))),", Non-ESSC.","")))))))</f>
        <v/>
      </c>
    </row>
    <row r="390" spans="2:26" ht="13" x14ac:dyDescent="0.3">
      <c r="B390" s="180" t="s">
        <v>193</v>
      </c>
      <c r="C390" t="s">
        <v>214</v>
      </c>
      <c r="K390" s="370" t="s">
        <v>202</v>
      </c>
      <c r="L390" s="370"/>
      <c r="M390" s="370"/>
      <c r="N390" s="68" t="str">
        <f>IF(K390=E620,"","("&amp;VLOOKUP(K390,ELIData,2)&amp;" County)")</f>
        <v/>
      </c>
      <c r="Q390" s="181"/>
    </row>
    <row r="391" spans="2:26" ht="13" x14ac:dyDescent="0.3">
      <c r="B391" s="180"/>
      <c r="K391" s="371"/>
      <c r="L391" s="371"/>
      <c r="M391" s="371"/>
    </row>
    <row r="392" spans="2:26" ht="13" x14ac:dyDescent="0.3">
      <c r="B392" s="182" t="s">
        <v>142</v>
      </c>
      <c r="C392" t="s">
        <v>216</v>
      </c>
      <c r="N392" s="179"/>
      <c r="Q392" s="183"/>
      <c r="R392" s="183"/>
      <c r="S392" s="183"/>
      <c r="T392" s="183"/>
      <c r="U392" s="183"/>
      <c r="V392" s="183"/>
      <c r="W392" s="183"/>
      <c r="X392" s="183"/>
      <c r="Y392" s="183"/>
      <c r="Z392" s="183"/>
    </row>
    <row r="393" spans="2:26" ht="13" x14ac:dyDescent="0.3">
      <c r="B393" s="182"/>
      <c r="D393" t="s">
        <v>217</v>
      </c>
      <c r="K393" s="372" t="s">
        <v>202</v>
      </c>
      <c r="L393" s="372"/>
      <c r="M393" s="372"/>
      <c r="N393" s="179"/>
      <c r="Q393" s="183"/>
      <c r="R393" s="183"/>
      <c r="S393" s="183"/>
      <c r="T393" s="183"/>
      <c r="U393" s="183"/>
      <c r="V393" s="183"/>
      <c r="W393" s="183"/>
      <c r="X393" s="183"/>
      <c r="Y393" s="183"/>
      <c r="Z393" s="183"/>
    </row>
    <row r="394" spans="2:26" ht="20.25" customHeight="1" x14ac:dyDescent="0.3">
      <c r="B394" s="182"/>
      <c r="D394" s="373" t="str">
        <f>IF(K393="&lt;select from menu&gt;","Please answer Item B.",IF(K393="Yes","*Please complete the Unit Count portion of the Blended Characterstic TDC PU Base Limitation table below, then move down to Item F.","*Blended Characteristic TDC PU Base Limitation table not required. Please move down to Item D."))</f>
        <v>Please answer Item B.</v>
      </c>
      <c r="E394" s="373"/>
      <c r="F394" s="373"/>
      <c r="G394" s="373"/>
      <c r="H394" s="373"/>
      <c r="I394" s="373"/>
      <c r="J394" s="373"/>
      <c r="K394" s="373"/>
      <c r="L394" s="373"/>
      <c r="M394" s="373"/>
      <c r="N394" s="373"/>
    </row>
    <row r="395" spans="2:26" ht="14.25" customHeight="1" x14ac:dyDescent="0.3">
      <c r="B395" s="182"/>
      <c r="D395" s="373"/>
      <c r="E395" s="373"/>
      <c r="F395" s="373"/>
      <c r="G395" s="373"/>
      <c r="H395" s="373"/>
      <c r="I395" s="373"/>
      <c r="J395" s="373"/>
      <c r="K395" s="373"/>
      <c r="L395" s="373"/>
      <c r="M395" s="373"/>
      <c r="N395" s="373"/>
    </row>
    <row r="396" spans="2:26" ht="9.75" customHeight="1" thickBot="1" x14ac:dyDescent="0.35">
      <c r="B396" s="182"/>
      <c r="N396" s="179"/>
    </row>
    <row r="397" spans="2:26" ht="24.75" customHeight="1" x14ac:dyDescent="0.25">
      <c r="B397" s="184"/>
      <c r="C397" s="185"/>
      <c r="D397" s="374" t="s">
        <v>218</v>
      </c>
      <c r="E397" s="375"/>
      <c r="F397" s="375"/>
      <c r="G397" s="375"/>
      <c r="H397" s="375"/>
      <c r="I397" s="375"/>
      <c r="J397" s="375"/>
      <c r="K397" s="375"/>
      <c r="L397" s="375"/>
      <c r="M397" s="375"/>
      <c r="N397" s="376"/>
      <c r="W397" s="186"/>
      <c r="X397" s="186"/>
      <c r="Y397" s="187"/>
      <c r="Z397" s="186"/>
    </row>
    <row r="398" spans="2:26" ht="48.75" customHeight="1" x14ac:dyDescent="0.25">
      <c r="B398" s="188"/>
      <c r="C398" s="189"/>
      <c r="D398" s="377" t="s">
        <v>219</v>
      </c>
      <c r="E398" s="378"/>
      <c r="F398" s="378"/>
      <c r="G398" s="379" t="s">
        <v>220</v>
      </c>
      <c r="H398" s="380"/>
      <c r="I398" s="379" t="s">
        <v>221</v>
      </c>
      <c r="J398" s="381"/>
      <c r="K398" s="381"/>
      <c r="L398" s="379" t="s">
        <v>222</v>
      </c>
      <c r="M398" s="381"/>
      <c r="N398" s="382"/>
      <c r="W398" s="186"/>
      <c r="X398" s="186"/>
      <c r="Y398" s="187"/>
      <c r="Z398" s="186"/>
    </row>
    <row r="399" spans="2:26" ht="20.149999999999999" customHeight="1" x14ac:dyDescent="0.25">
      <c r="B399" s="190"/>
      <c r="C399" s="187"/>
      <c r="D399" s="361" t="s">
        <v>223</v>
      </c>
      <c r="E399" s="362"/>
      <c r="F399" s="362"/>
      <c r="G399" s="363"/>
      <c r="H399" s="364"/>
      <c r="I399" s="365" t="str">
        <f>IF($K$393&lt;&gt;"Yes","",IF(G399="","",IF(K$390="&lt;select from menu&gt;","Needs County",IF(OR(K$390="Broward",K$390="Miami-Dade",K$390="Palm Beach"),N629,N622))))</f>
        <v/>
      </c>
      <c r="J399" s="366"/>
      <c r="K399" s="366"/>
      <c r="L399" s="367" t="str">
        <f>IF(OR(G$406="",G399="",K$390="&lt;select from menu&gt;",K393&lt;&gt;"Yes"),"",G399*I399/G$406)</f>
        <v/>
      </c>
      <c r="M399" s="368"/>
      <c r="N399" s="369"/>
      <c r="Q399" s="91"/>
    </row>
    <row r="400" spans="2:26" ht="20.149999999999999" customHeight="1" x14ac:dyDescent="0.25">
      <c r="B400" s="190"/>
      <c r="C400" s="187"/>
      <c r="D400" s="361" t="s">
        <v>224</v>
      </c>
      <c r="E400" s="362"/>
      <c r="F400" s="362"/>
      <c r="G400" s="363"/>
      <c r="H400" s="364"/>
      <c r="I400" s="367" t="str">
        <f>IF($K$393&lt;&gt;"Yes","",IF(G400="","",IF(K$390="&lt;select from menu&gt;","Needs County",IF(OR(K$390="Broward",K$390="Miami-Dade",K$390="Palm Beach"),N628,N621))))</f>
        <v/>
      </c>
      <c r="J400" s="368"/>
      <c r="K400" s="368"/>
      <c r="L400" s="367" t="str">
        <f>IF(OR(G$406="",G400="",K$390="&lt;select from menu&gt;",K393&lt;&gt;"Yes"),"",G400*I400/G$406)</f>
        <v/>
      </c>
      <c r="M400" s="368"/>
      <c r="N400" s="369"/>
      <c r="Q400" s="91"/>
    </row>
    <row r="401" spans="2:28" ht="20.149999999999999" customHeight="1" x14ac:dyDescent="0.25">
      <c r="B401" s="190"/>
      <c r="C401" s="187"/>
      <c r="D401" s="361" t="s">
        <v>225</v>
      </c>
      <c r="E401" s="362"/>
      <c r="F401" s="362"/>
      <c r="G401" s="363"/>
      <c r="H401" s="364"/>
      <c r="I401" s="367" t="str">
        <f>IF($K$393&lt;&gt;"Yes","",IF(G401="","",IF(K$390="&lt;select from menu&gt;","Needs County",IF(OR(K$390="Broward",K$390="Miami-Dade",K$390="Palm Beach"),N632,N625))))</f>
        <v/>
      </c>
      <c r="J401" s="368"/>
      <c r="K401" s="368"/>
      <c r="L401" s="367" t="str">
        <f>IF(OR(G$406="",G401="",K$390="&lt;select from menu&gt;",K393&lt;&gt;"Yes"),"",G401*I401/G$406)</f>
        <v/>
      </c>
      <c r="M401" s="368"/>
      <c r="N401" s="369"/>
      <c r="Q401" s="91"/>
    </row>
    <row r="402" spans="2:28" ht="20.149999999999999" customHeight="1" x14ac:dyDescent="0.25">
      <c r="B402" s="190"/>
      <c r="C402" s="187"/>
      <c r="D402" s="361" t="s">
        <v>226</v>
      </c>
      <c r="E402" s="362"/>
      <c r="F402" s="362"/>
      <c r="G402" s="363"/>
      <c r="H402" s="364"/>
      <c r="I402" s="367" t="str">
        <f>IF($K$393&lt;&gt;"Yes","",IF(G402="","",IF(K$390="&lt;select from menu&gt;","Needs County",IF(OR(K$390="Broward",K$390="Miami-Dade",K$390="Palm Beach"),N631,N624))))</f>
        <v/>
      </c>
      <c r="J402" s="368"/>
      <c r="K402" s="368"/>
      <c r="L402" s="367" t="str">
        <f>IF(OR(G$406="",G402="",K$390="&lt;select from menu&gt;",K393&lt;&gt;"Yes"),"",G402*I402/G$406)</f>
        <v/>
      </c>
      <c r="M402" s="368"/>
      <c r="N402" s="369"/>
      <c r="O402" s="68"/>
      <c r="P402" s="68"/>
      <c r="Q402" s="91"/>
      <c r="R402" s="191"/>
      <c r="S402" s="191"/>
      <c r="T402" s="191"/>
      <c r="U402" s="191"/>
      <c r="V402" s="191"/>
      <c r="AA402" s="191"/>
      <c r="AB402" s="191"/>
    </row>
    <row r="403" spans="2:28" ht="20.149999999999999" customHeight="1" x14ac:dyDescent="0.25">
      <c r="B403" s="190"/>
      <c r="C403" s="187"/>
      <c r="D403" s="361" t="s">
        <v>227</v>
      </c>
      <c r="E403" s="362"/>
      <c r="F403" s="362"/>
      <c r="G403" s="363"/>
      <c r="H403" s="364"/>
      <c r="I403" s="367" t="str">
        <f>IF($K$393&lt;&gt;"Yes","",IF(G403="","",IF(K$390="&lt;select from menu&gt;","Needs County",IF(OR(K$390="Broward",K$390="Miami-Dade",K$390="Palm Beach"),N630,N623))))</f>
        <v/>
      </c>
      <c r="J403" s="368"/>
      <c r="K403" s="368"/>
      <c r="L403" s="383" t="str">
        <f>IF(OR(G$406="",G403="",K$390="&lt;select from menu&gt;",K393&lt;&gt;"Yes"),"",G403*I403/G$406)</f>
        <v/>
      </c>
      <c r="M403" s="384"/>
      <c r="N403" s="385"/>
      <c r="O403" s="192"/>
      <c r="P403" s="192"/>
      <c r="Q403" s="91"/>
      <c r="R403" s="193"/>
      <c r="S403" s="187"/>
      <c r="T403" s="193"/>
      <c r="U403" s="193"/>
      <c r="V403" s="193"/>
      <c r="AA403" s="193"/>
      <c r="AB403" s="194"/>
    </row>
    <row r="404" spans="2:28" ht="20.149999999999999" customHeight="1" x14ac:dyDescent="0.25">
      <c r="B404" s="190"/>
      <c r="C404" s="187"/>
      <c r="D404" s="361" t="s">
        <v>228</v>
      </c>
      <c r="E404" s="362"/>
      <c r="F404" s="362"/>
      <c r="G404" s="363"/>
      <c r="H404" s="364"/>
      <c r="I404" s="367" t="str">
        <f>IF($K$393&lt;&gt;"Yes","",IF(G404="","",IF(K$390="&lt;select from menu&gt;","Needs County",IF(OR(K$390="Broward",K$390="Miami-Dade",K$390="Palm Beach"),N633,N626))))</f>
        <v/>
      </c>
      <c r="J404" s="368"/>
      <c r="K404" s="368"/>
      <c r="L404" s="383" t="str">
        <f>IF(OR(G$406="",G404="",K$390="&lt;select from menu&gt;",K393&lt;&gt;"Yes"),"",G404*I404/G$406)</f>
        <v/>
      </c>
      <c r="M404" s="384"/>
      <c r="N404" s="385"/>
      <c r="O404" s="195"/>
      <c r="P404" s="195"/>
      <c r="Q404" s="91"/>
      <c r="R404" s="186"/>
      <c r="S404" s="187"/>
      <c r="T404" s="186"/>
      <c r="U404" s="186"/>
      <c r="V404" s="186"/>
      <c r="W404" s="186"/>
      <c r="X404" s="186"/>
      <c r="Y404" s="187"/>
      <c r="Z404" s="186"/>
      <c r="AA404" s="186"/>
      <c r="AB404" s="196"/>
    </row>
    <row r="405" spans="2:28" ht="20.149999999999999" customHeight="1" thickBot="1" x14ac:dyDescent="0.3">
      <c r="B405" s="190"/>
      <c r="C405" s="187"/>
      <c r="D405" s="391" t="s">
        <v>229</v>
      </c>
      <c r="E405" s="392"/>
      <c r="F405" s="392"/>
      <c r="G405" s="393"/>
      <c r="H405" s="394"/>
      <c r="I405" s="395" t="str">
        <f>IF($K$393&lt;&gt;"Yes","",IF(G405="","",IF(K$390="&lt;select from menu&gt;","Needs County",IF(OR(K$390="Broward",K$390="Miami-Dade",K$390="Palm Beach"),N634,N627))))</f>
        <v/>
      </c>
      <c r="J405" s="396"/>
      <c r="K405" s="396"/>
      <c r="L405" s="397" t="str">
        <f>IF(OR(G$406="",G405="",K$390="&lt;select from menu&gt;",K393&lt;&gt;"Yes"),"",G405*I405/G$406)</f>
        <v/>
      </c>
      <c r="M405" s="398"/>
      <c r="N405" s="399"/>
      <c r="O405" s="195"/>
      <c r="P405" s="195"/>
      <c r="Q405" s="91"/>
      <c r="R405" s="186"/>
      <c r="S405" s="187"/>
      <c r="T405" s="186"/>
      <c r="U405" s="186"/>
      <c r="V405" s="186"/>
      <c r="W405" s="186"/>
      <c r="X405" s="186"/>
      <c r="Y405" s="187"/>
      <c r="Z405" s="186"/>
      <c r="AA405" s="186"/>
      <c r="AB405" s="196"/>
    </row>
    <row r="406" spans="2:28" ht="30" customHeight="1" thickTop="1" thickBot="1" x14ac:dyDescent="0.3">
      <c r="B406" s="197"/>
      <c r="C406" s="198"/>
      <c r="D406" s="400" t="s">
        <v>230</v>
      </c>
      <c r="E406" s="401"/>
      <c r="F406" s="401"/>
      <c r="G406" s="402" t="str">
        <f>IF(K393&lt;&gt;"Yes","",IF(SUM(G399:G405)&gt;0,SUM(G399:G405),""))</f>
        <v/>
      </c>
      <c r="H406" s="403"/>
      <c r="I406" s="404"/>
      <c r="J406" s="405"/>
      <c r="K406" s="405"/>
      <c r="L406" s="406" t="str">
        <f>IF(OR(G406="",K393&lt;&gt;"Yes"),"",SUM(L399:L405))</f>
        <v/>
      </c>
      <c r="M406" s="407"/>
      <c r="N406" s="408"/>
      <c r="Q406" s="386" t="str">
        <f>IF(OR(K393&lt;&gt;"Yes",AND(K393="Yes",G406="")),"",IF(K$37=G406,"","Total Unit Count does not match cell K36."))</f>
        <v/>
      </c>
      <c r="R406" s="386"/>
      <c r="S406" s="386"/>
    </row>
    <row r="407" spans="2:28" ht="9.75" customHeight="1" x14ac:dyDescent="0.25">
      <c r="B407" s="197"/>
      <c r="C407" s="199"/>
      <c r="D407" s="200"/>
      <c r="E407" s="200"/>
      <c r="F407" s="200"/>
      <c r="G407" s="201"/>
      <c r="H407" s="201"/>
      <c r="I407" s="202"/>
      <c r="J407" s="202"/>
      <c r="K407" s="202"/>
      <c r="L407" s="202"/>
      <c r="M407" s="202"/>
      <c r="N407" s="202"/>
      <c r="Q407" s="203"/>
      <c r="R407" s="203"/>
      <c r="S407" s="203"/>
    </row>
    <row r="408" spans="2:28" ht="13" x14ac:dyDescent="0.3">
      <c r="B408" s="180" t="s">
        <v>144</v>
      </c>
      <c r="C408" s="387" t="str">
        <f>IF(K393="&lt;select from menu&gt;","Please answer Item B. above table.",IF(K393="Yes","You have selected multiple Development Categories / Types / ESS Designations. Please refer to table above.","You have indicated above on row 35 that the Development Category of the Proposed Development is…………………………......................................."))</f>
        <v>Please answer Item B. above table.</v>
      </c>
      <c r="D408" s="388"/>
      <c r="E408" s="388"/>
      <c r="F408" s="388"/>
      <c r="G408" s="388"/>
      <c r="H408" s="388"/>
      <c r="K408" s="68"/>
      <c r="L408" s="68"/>
      <c r="M408" s="68"/>
    </row>
    <row r="409" spans="2:28" ht="13" x14ac:dyDescent="0.3">
      <c r="B409" s="180"/>
      <c r="C409" s="388"/>
      <c r="D409" s="388"/>
      <c r="E409" s="388"/>
      <c r="F409" s="388"/>
      <c r="G409" s="388"/>
      <c r="H409" s="388"/>
      <c r="K409" s="389" t="str">
        <f>IF(OR(K393="Yes",K393="&lt;select from menu&gt;"),"",IF(K36=F613,"Need Dev Category",K36))</f>
        <v/>
      </c>
      <c r="L409" s="389"/>
      <c r="M409" s="389"/>
      <c r="N409" s="389"/>
    </row>
    <row r="410" spans="2:28" ht="13" x14ac:dyDescent="0.3">
      <c r="B410" s="180"/>
      <c r="K410" s="68"/>
      <c r="L410" s="68"/>
      <c r="M410" s="68"/>
    </row>
    <row r="411" spans="2:28" ht="13" x14ac:dyDescent="0.3">
      <c r="B411" s="180" t="s">
        <v>161</v>
      </c>
      <c r="C411" s="387" t="str">
        <f>IF(K393="&lt;select from menu&gt;","Please answer Item B. above table.",IF(K393="Yes","You have selected multiple Development Categories / Types / ESS Designations. Please refer to table above.","What is the proposed Development's Development Type?..........................."))</f>
        <v>Please answer Item B. above table.</v>
      </c>
      <c r="D411" s="388"/>
      <c r="E411" s="388"/>
      <c r="F411" s="388"/>
      <c r="G411" s="388"/>
      <c r="H411" s="388"/>
      <c r="K411" s="372"/>
      <c r="L411" s="372"/>
      <c r="M411" s="372"/>
      <c r="N411" s="68" t="str">
        <f>IF(AND(K393="No",K411=""),"Select Dev Type","")</f>
        <v/>
      </c>
      <c r="Q411" s="390" t="s">
        <v>231</v>
      </c>
      <c r="R411" s="390"/>
      <c r="S411" s="390"/>
      <c r="T411" s="390"/>
      <c r="U411" s="390"/>
      <c r="V411" s="390"/>
      <c r="W411" s="390"/>
    </row>
    <row r="412" spans="2:28" ht="13" x14ac:dyDescent="0.3">
      <c r="B412" s="180"/>
      <c r="C412" s="388"/>
      <c r="D412" s="388"/>
      <c r="E412" s="388"/>
      <c r="F412" s="388"/>
      <c r="G412" s="388"/>
      <c r="H412" s="388"/>
      <c r="K412" s="371"/>
      <c r="L412" s="371"/>
      <c r="M412" s="371"/>
      <c r="Q412" s="390"/>
      <c r="R412" s="390"/>
      <c r="S412" s="390"/>
      <c r="T412" s="390"/>
      <c r="U412" s="390"/>
      <c r="V412" s="390"/>
      <c r="W412" s="390"/>
    </row>
    <row r="413" spans="2:28" ht="13" x14ac:dyDescent="0.3">
      <c r="B413" s="180"/>
      <c r="K413" s="68"/>
      <c r="L413" s="68"/>
      <c r="M413" s="68"/>
      <c r="Q413" s="204"/>
      <c r="R413" s="204"/>
      <c r="S413" s="204"/>
      <c r="T413" s="204"/>
      <c r="U413" s="204"/>
      <c r="V413" s="204"/>
      <c r="W413" s="204"/>
    </row>
    <row r="414" spans="2:28" ht="13" x14ac:dyDescent="0.3">
      <c r="B414" s="180" t="s">
        <v>164</v>
      </c>
      <c r="C414" s="387" t="str">
        <f>IF(K393="&lt;select from menu&gt;","Please answer Item B. above table.",IF(K393="Yes","You have selected multiple Development Categories / Types / ESS Designations. Please refer to table above.","Does the proposed Development qualify as Enhanced Structural Systems Construction (ESSC)?............................................................................."))</f>
        <v>Please answer Item B. above table.</v>
      </c>
      <c r="D414" s="388"/>
      <c r="E414" s="388"/>
      <c r="F414" s="388"/>
      <c r="G414" s="388"/>
      <c r="H414" s="388"/>
      <c r="K414" s="410"/>
      <c r="L414" s="410"/>
      <c r="M414" s="410"/>
    </row>
    <row r="415" spans="2:28" ht="13" x14ac:dyDescent="0.3">
      <c r="B415" s="180"/>
      <c r="C415" s="388"/>
      <c r="D415" s="388"/>
      <c r="E415" s="388"/>
      <c r="F415" s="388"/>
      <c r="G415" s="388"/>
      <c r="H415" s="388"/>
      <c r="K415" s="372"/>
      <c r="L415" s="372"/>
      <c r="M415" s="372"/>
      <c r="N415" t="str">
        <f>IF(AND(K393="No",K415=""),"Select ESSC Type","")</f>
        <v/>
      </c>
    </row>
    <row r="416" spans="2:28" ht="13" x14ac:dyDescent="0.3">
      <c r="B416" s="180"/>
      <c r="K416" s="68"/>
      <c r="L416" s="68"/>
      <c r="M416" s="68"/>
    </row>
    <row r="417" spans="2:16" ht="13" x14ac:dyDescent="0.3">
      <c r="B417" s="180"/>
      <c r="C417" t="s">
        <v>232</v>
      </c>
      <c r="K417" s="411" t="str">
        <f>IF(K393="Yes",IF(N(L406)=0,"Please complete table",L406),IF(K36=F613,"Need Dev Category",IF(K390=E620,"Need County",IF(K411=K613,"Need Dev Type",IF(AND(OR(K36="New Construction (w/ or w/o Acquisition)",K36="Redevelopment (w/ or w/o Acquisition)"),K415=C613),"ESSC?",IF(ISERROR(VLOOKUP(K619,K621:N634,4)),"",VLOOKUP(K619,K621:N634,4)))))))</f>
        <v>Need Dev Category</v>
      </c>
      <c r="L417" s="411"/>
      <c r="M417" s="411"/>
    </row>
    <row r="418" spans="2:16" ht="13" x14ac:dyDescent="0.3">
      <c r="B418" s="180"/>
      <c r="K418" s="410"/>
      <c r="L418" s="410"/>
      <c r="M418" s="410"/>
    </row>
    <row r="419" spans="2:16" ht="13" x14ac:dyDescent="0.3">
      <c r="B419" s="180" t="s">
        <v>166</v>
      </c>
      <c r="C419" t="s">
        <v>233</v>
      </c>
    </row>
    <row r="420" spans="2:16" x14ac:dyDescent="0.25">
      <c r="K420" s="410"/>
      <c r="L420" s="410"/>
      <c r="M420" s="410"/>
    </row>
    <row r="421" spans="2:16" ht="12.75" customHeight="1" x14ac:dyDescent="0.3">
      <c r="D421" s="205">
        <f>MAX(D$420:D420)+1</f>
        <v>1</v>
      </c>
      <c r="E421" t="s">
        <v>234</v>
      </c>
      <c r="K421" s="372" t="s">
        <v>202</v>
      </c>
      <c r="L421" s="372"/>
      <c r="M421" s="372"/>
      <c r="N421" s="409" t="s">
        <v>235</v>
      </c>
      <c r="P421" s="285" cm="1">
        <f t="array" ref="P421">SUM(LEN(K421:M423)-LEN(SUBSTITUTE(K421:M423,"Yes","")))/LEN("Yes")</f>
        <v>0</v>
      </c>
    </row>
    <row r="422" spans="2:16" x14ac:dyDescent="0.25">
      <c r="D422" s="205"/>
      <c r="E422" t="s">
        <v>236</v>
      </c>
      <c r="K422" s="372" t="s">
        <v>202</v>
      </c>
      <c r="L422" s="372"/>
      <c r="M422" s="372"/>
      <c r="N422" s="409"/>
      <c r="P422" s="286"/>
    </row>
    <row r="423" spans="2:16" x14ac:dyDescent="0.25">
      <c r="D423" s="205"/>
      <c r="E423" t="s">
        <v>237</v>
      </c>
      <c r="K423" s="372" t="s">
        <v>202</v>
      </c>
      <c r="L423" s="372"/>
      <c r="M423" s="372"/>
      <c r="N423" s="409"/>
      <c r="P423" s="287"/>
    </row>
    <row r="424" spans="2:16" ht="8.15" customHeight="1" x14ac:dyDescent="0.25">
      <c r="K424" s="371"/>
      <c r="L424" s="371"/>
      <c r="M424" s="371"/>
      <c r="P424" s="287"/>
    </row>
    <row r="425" spans="2:16" x14ac:dyDescent="0.25">
      <c r="D425" s="205">
        <f>MAX(D$420:D424)+1</f>
        <v>2</v>
      </c>
      <c r="E425" t="s">
        <v>238</v>
      </c>
      <c r="K425" s="372" t="s">
        <v>202</v>
      </c>
      <c r="L425" s="372"/>
      <c r="M425" s="372"/>
      <c r="N425" s="206" t="s">
        <v>239</v>
      </c>
      <c r="P425" s="287"/>
    </row>
    <row r="426" spans="2:16" ht="8.15" customHeight="1" x14ac:dyDescent="0.25">
      <c r="K426" s="371"/>
      <c r="L426" s="371"/>
      <c r="M426" s="371"/>
      <c r="P426" s="287"/>
    </row>
    <row r="427" spans="2:16" ht="12.75" customHeight="1" x14ac:dyDescent="0.3">
      <c r="D427" s="205">
        <f>MAX(D$420:D426)+1</f>
        <v>3</v>
      </c>
      <c r="E427" t="s">
        <v>240</v>
      </c>
      <c r="K427" s="372" t="s">
        <v>202</v>
      </c>
      <c r="L427" s="372"/>
      <c r="M427" s="372"/>
      <c r="N427" s="409" t="s">
        <v>241</v>
      </c>
      <c r="P427" s="285" cm="1">
        <f t="array" ref="P427">SUM(LEN(K427:M428)-LEN(SUBSTITUTE(K427:M428,"Yes","")))/LEN("Yes")</f>
        <v>0</v>
      </c>
    </row>
    <row r="428" spans="2:16" x14ac:dyDescent="0.25">
      <c r="E428" t="s">
        <v>242</v>
      </c>
      <c r="K428" s="372" t="s">
        <v>202</v>
      </c>
      <c r="L428" s="372"/>
      <c r="M428" s="372"/>
      <c r="N428" s="409"/>
      <c r="P428" s="286"/>
    </row>
    <row r="429" spans="2:16" ht="8.15" customHeight="1" x14ac:dyDescent="0.25">
      <c r="K429" s="371"/>
      <c r="L429" s="371"/>
      <c r="M429" s="371"/>
      <c r="P429" s="287"/>
    </row>
    <row r="430" spans="2:16" ht="12.75" customHeight="1" x14ac:dyDescent="0.3">
      <c r="D430" s="205">
        <f>MAX(D$420:D429)+1</f>
        <v>4</v>
      </c>
      <c r="E430" t="s">
        <v>243</v>
      </c>
      <c r="K430" s="372" t="s">
        <v>202</v>
      </c>
      <c r="L430" s="372"/>
      <c r="M430" s="372"/>
      <c r="N430" s="409" t="s">
        <v>235</v>
      </c>
      <c r="P430" s="285" cm="1">
        <f t="array" ref="P430">SUM(LEN(K430:M434)-LEN(SUBSTITUTE(K430:M434,"Yes","")))/LEN("Yes")</f>
        <v>0</v>
      </c>
    </row>
    <row r="431" spans="2:16" x14ac:dyDescent="0.25">
      <c r="E431" t="s">
        <v>244</v>
      </c>
      <c r="K431" s="372" t="s">
        <v>202</v>
      </c>
      <c r="L431" s="372"/>
      <c r="M431" s="372"/>
      <c r="N431" s="409"/>
      <c r="P431" s="287"/>
    </row>
    <row r="432" spans="2:16" x14ac:dyDescent="0.25">
      <c r="E432" t="s">
        <v>245</v>
      </c>
      <c r="K432" s="372" t="s">
        <v>202</v>
      </c>
      <c r="L432" s="372"/>
      <c r="M432" s="372"/>
      <c r="N432" s="409"/>
      <c r="P432" s="286"/>
    </row>
    <row r="433" spans="1:16" x14ac:dyDescent="0.25">
      <c r="E433" t="s">
        <v>246</v>
      </c>
      <c r="K433" s="372" t="s">
        <v>202</v>
      </c>
      <c r="L433" s="372"/>
      <c r="M433" s="372"/>
      <c r="N433" s="409"/>
      <c r="P433" s="287"/>
    </row>
    <row r="434" spans="1:16" x14ac:dyDescent="0.25">
      <c r="E434" t="s">
        <v>247</v>
      </c>
      <c r="K434" s="372" t="s">
        <v>202</v>
      </c>
      <c r="L434" s="372"/>
      <c r="M434" s="372"/>
      <c r="N434" s="409"/>
      <c r="P434" s="287"/>
    </row>
    <row r="435" spans="1:16" ht="8.15" customHeight="1" x14ac:dyDescent="0.25">
      <c r="K435" s="371"/>
      <c r="L435" s="371"/>
      <c r="M435" s="371"/>
      <c r="P435" s="287"/>
    </row>
    <row r="436" spans="1:16" x14ac:dyDescent="0.25">
      <c r="D436" s="205">
        <f>MAX(D$420:D435)+1</f>
        <v>5</v>
      </c>
      <c r="E436" t="s">
        <v>248</v>
      </c>
      <c r="K436" s="372" t="s">
        <v>202</v>
      </c>
      <c r="L436" s="372"/>
      <c r="M436" s="372"/>
      <c r="N436" s="206" t="s">
        <v>239</v>
      </c>
      <c r="P436" s="287"/>
    </row>
    <row r="437" spans="1:16" ht="8.15" customHeight="1" x14ac:dyDescent="0.25">
      <c r="K437" s="371"/>
      <c r="L437" s="371"/>
      <c r="M437" s="371"/>
      <c r="P437" s="287"/>
    </row>
    <row r="438" spans="1:16" ht="13" x14ac:dyDescent="0.3">
      <c r="D438" s="205">
        <f>MAX(D$420:D437)+1</f>
        <v>6</v>
      </c>
      <c r="E438" t="s">
        <v>249</v>
      </c>
      <c r="K438" s="372" t="s">
        <v>202</v>
      </c>
      <c r="L438" s="372"/>
      <c r="M438" s="372"/>
      <c r="N438" s="409" t="s">
        <v>241</v>
      </c>
      <c r="P438" s="285" cm="1">
        <f t="array" ref="P438">SUM(LEN(K438:M439)-LEN(SUBSTITUTE(K438:M439,"Yes","")))/LEN("Yes")</f>
        <v>0</v>
      </c>
    </row>
    <row r="439" spans="1:16" x14ac:dyDescent="0.25">
      <c r="E439" t="s">
        <v>250</v>
      </c>
      <c r="K439" s="372" t="s">
        <v>202</v>
      </c>
      <c r="L439" s="372"/>
      <c r="M439" s="372"/>
      <c r="N439" s="409"/>
      <c r="P439" s="286"/>
    </row>
    <row r="440" spans="1:16" ht="24.9" customHeight="1" x14ac:dyDescent="0.25">
      <c r="E440" s="415" t="s">
        <v>251</v>
      </c>
      <c r="F440" s="415"/>
      <c r="G440" s="415"/>
      <c r="H440" s="415"/>
      <c r="I440" s="415"/>
      <c r="J440" s="415"/>
      <c r="K440" s="415"/>
      <c r="L440" s="415"/>
      <c r="M440" s="415"/>
      <c r="N440" s="207"/>
    </row>
    <row r="441" spans="1:16" x14ac:dyDescent="0.25">
      <c r="K441" s="68"/>
      <c r="L441" s="68"/>
      <c r="M441" s="68"/>
    </row>
    <row r="442" spans="1:16" x14ac:dyDescent="0.25">
      <c r="C442" s="416" t="s">
        <v>252</v>
      </c>
      <c r="D442" s="416"/>
      <c r="E442" s="416"/>
      <c r="F442" s="416"/>
      <c r="G442" s="416"/>
      <c r="H442" s="416"/>
      <c r="I442" s="416"/>
      <c r="K442" s="417" t="str">
        <f ca="1">IF(OR(P421&gt;1,P427&gt;1,P430&gt;1,P438&gt;1),"Check Selected Options",IF(AND(CELL("type",K417)="v",N(K417)&gt;0),ROUND((K417+IF(OR(K421=C614,K422=C614,K423=C614),N636,0)+IF(K425=C614,N637,0))/IF(K427=C614,N638,IF(K428=C614,N639,1))/IF(K430=C614,N640,IF(K431=C614,N641,IF(K432=C614,N642,IF(K433=C614,N643,IF(K434=C614,N644,1)))))/IF(K436=C614,N645,1)/IF(K438=C614,N646,IF(K439=C614,N647,1)),2),""))</f>
        <v/>
      </c>
      <c r="L442" s="417"/>
      <c r="M442" s="417"/>
    </row>
    <row r="443" spans="1:16" x14ac:dyDescent="0.25">
      <c r="C443" s="416"/>
      <c r="D443" s="416"/>
      <c r="E443" s="416"/>
      <c r="F443" s="416"/>
      <c r="G443" s="416"/>
      <c r="H443" s="416"/>
      <c r="I443" s="416"/>
      <c r="J443" s="33" t="s">
        <v>37</v>
      </c>
      <c r="K443" s="418"/>
      <c r="L443" s="418"/>
      <c r="M443" s="418"/>
    </row>
    <row r="444" spans="1:16" x14ac:dyDescent="0.25">
      <c r="C444" s="208"/>
      <c r="D444" s="208"/>
      <c r="E444" s="208"/>
      <c r="F444" s="208"/>
      <c r="G444" s="208"/>
      <c r="H444" s="208"/>
      <c r="I444" s="208"/>
      <c r="J444" s="33"/>
      <c r="K444" s="209"/>
      <c r="L444" s="209"/>
      <c r="M444" s="209"/>
    </row>
    <row r="445" spans="1:16" x14ac:dyDescent="0.25">
      <c r="C445" s="416" t="s">
        <v>253</v>
      </c>
      <c r="D445" s="416"/>
      <c r="E445" s="416"/>
      <c r="F445" s="416"/>
      <c r="G445" s="416"/>
      <c r="H445" s="416"/>
      <c r="I445" s="416"/>
      <c r="J445" s="33"/>
      <c r="K445" s="417" t="str">
        <f ca="1">IF(K442="Check Selected Options","Check Selected Options",IF(K442=0,0,IF(K442="","",K442*1.155)))</f>
        <v/>
      </c>
      <c r="L445" s="417"/>
      <c r="M445" s="417"/>
    </row>
    <row r="446" spans="1:16" x14ac:dyDescent="0.25">
      <c r="C446" s="416"/>
      <c r="D446" s="416"/>
      <c r="E446" s="416"/>
      <c r="F446" s="416"/>
      <c r="G446" s="416"/>
      <c r="H446" s="416"/>
      <c r="I446" s="416"/>
      <c r="J446" s="33" t="s">
        <v>37</v>
      </c>
      <c r="K446" s="418"/>
      <c r="L446" s="418"/>
      <c r="M446" s="418"/>
    </row>
    <row r="447" spans="1:16" ht="13" thickBot="1" x14ac:dyDescent="0.3">
      <c r="A447" s="302"/>
      <c r="B447" s="302"/>
      <c r="C447" s="302"/>
      <c r="D447" s="302"/>
      <c r="E447" s="302"/>
      <c r="F447" s="302"/>
      <c r="G447" s="302"/>
      <c r="H447" s="302"/>
      <c r="I447" s="302"/>
      <c r="J447" s="302"/>
      <c r="K447" s="371"/>
      <c r="L447" s="371"/>
      <c r="M447" s="371"/>
      <c r="N447" s="302"/>
      <c r="O447" s="302"/>
      <c r="P447" s="302"/>
    </row>
    <row r="448" spans="1:16" ht="3.75" customHeight="1" x14ac:dyDescent="0.25">
      <c r="A448" s="1"/>
      <c r="B448" s="1"/>
      <c r="C448" s="1"/>
      <c r="D448" s="1"/>
      <c r="E448" s="1"/>
      <c r="F448" s="1"/>
      <c r="G448" s="1"/>
      <c r="H448" s="1"/>
      <c r="I448" s="1"/>
      <c r="J448" s="1"/>
      <c r="K448" s="308"/>
      <c r="L448" s="308"/>
      <c r="M448" s="308"/>
      <c r="N448" s="1"/>
      <c r="O448" s="1"/>
      <c r="P448" s="1"/>
    </row>
    <row r="449" spans="2:17" ht="13" x14ac:dyDescent="0.3">
      <c r="B449" s="6" t="str">
        <f>B$2</f>
        <v>RFA 2021-211 DEVELOPMENT COST PRO FORMA</v>
      </c>
      <c r="O449" s="4"/>
      <c r="P449" s="5" t="s">
        <v>483</v>
      </c>
    </row>
    <row r="450" spans="2:17" ht="13" x14ac:dyDescent="0.3">
      <c r="B450" s="6"/>
      <c r="O450" s="4"/>
      <c r="P450" s="5"/>
    </row>
    <row r="451" spans="2:17" ht="13" x14ac:dyDescent="0.3">
      <c r="B451" s="6"/>
      <c r="O451" s="4"/>
      <c r="P451" s="5"/>
    </row>
    <row r="452" spans="2:17" ht="13" x14ac:dyDescent="0.3">
      <c r="C452" s="211" t="s">
        <v>254</v>
      </c>
    </row>
    <row r="453" spans="2:17" x14ac:dyDescent="0.25">
      <c r="K453" s="410"/>
      <c r="L453" s="410"/>
      <c r="M453" s="410"/>
    </row>
    <row r="454" spans="2:17" x14ac:dyDescent="0.25">
      <c r="C454" t="s">
        <v>255</v>
      </c>
      <c r="J454" s="33" t="s">
        <v>37</v>
      </c>
      <c r="K454" s="412">
        <f ca="1">N(N212)</f>
        <v>0</v>
      </c>
      <c r="L454" s="412"/>
      <c r="M454" s="412"/>
    </row>
    <row r="455" spans="2:17" x14ac:dyDescent="0.25">
      <c r="K455" s="413"/>
      <c r="L455" s="413"/>
      <c r="M455" s="413"/>
    </row>
    <row r="456" spans="2:17" ht="13" x14ac:dyDescent="0.3">
      <c r="C456" t="s">
        <v>256</v>
      </c>
      <c r="J456" s="33" t="s">
        <v>37</v>
      </c>
      <c r="K456" s="412">
        <f>IF(OR(K36=F616,K36=F617),N(N$192),0)</f>
        <v>0</v>
      </c>
      <c r="L456" s="412"/>
      <c r="M456" s="412"/>
      <c r="N456" s="212" t="str">
        <f>IF(OR(K36=F616,K36=F617),"","(Not Applicable)")</f>
        <v>(Not Applicable)</v>
      </c>
      <c r="Q456" s="181" t="str">
        <f>"In order to qualify for the removof of these costs, the response selected for Development Category in cell K35 must be either Rehabilitation or Preservation (w/ or w/o Acquisition)."</f>
        <v>In order to qualify for the removof of these costs, the response selected for Development Category in cell K35 must be either Rehabilitation or Preservation (w/ or w/o Acquisition).</v>
      </c>
    </row>
    <row r="457" spans="2:17" ht="13" x14ac:dyDescent="0.3">
      <c r="D457" s="213"/>
      <c r="K457" s="414"/>
      <c r="L457" s="414"/>
      <c r="M457" s="414"/>
    </row>
    <row r="458" spans="2:17" x14ac:dyDescent="0.25">
      <c r="C458" t="s">
        <v>257</v>
      </c>
      <c r="J458" s="33" t="s">
        <v>37</v>
      </c>
      <c r="K458" s="412">
        <f>N(N210)</f>
        <v>0</v>
      </c>
      <c r="L458" s="412"/>
      <c r="M458" s="412"/>
    </row>
    <row r="459" spans="2:17" x14ac:dyDescent="0.25">
      <c r="K459" s="413"/>
      <c r="L459" s="413"/>
      <c r="M459" s="413"/>
    </row>
    <row r="460" spans="2:17" x14ac:dyDescent="0.25">
      <c r="C460" t="s">
        <v>258</v>
      </c>
      <c r="J460" s="33" t="s">
        <v>37</v>
      </c>
      <c r="K460" s="412">
        <f ca="1">N(N208)</f>
        <v>0</v>
      </c>
      <c r="L460" s="412"/>
      <c r="M460" s="412"/>
    </row>
    <row r="461" spans="2:17" x14ac:dyDescent="0.25">
      <c r="K461" s="413"/>
      <c r="L461" s="413"/>
      <c r="M461" s="413"/>
    </row>
    <row r="462" spans="2:17" ht="13" x14ac:dyDescent="0.3">
      <c r="C462" t="s">
        <v>259</v>
      </c>
      <c r="J462" s="33" t="s">
        <v>37</v>
      </c>
      <c r="K462" s="412">
        <f>IF(K421=C614,N(N57)+N(N138),0)</f>
        <v>0</v>
      </c>
      <c r="L462" s="412"/>
      <c r="M462" s="412"/>
      <c r="Q462" s="181" t="str">
        <f>"In order to qualify for the removal of of these costs, the response above on row "&amp;TEXT(ROW(E421),"0")&amp;" for ""1.(a) PHA is a Principal Add-On"" must indicate a ""Yes"" in column K."</f>
        <v>In order to qualify for the removal of of these costs, the response above on row 421 for "1.(a) PHA is a Principal Add-On" must indicate a "Yes" in column K.</v>
      </c>
    </row>
    <row r="463" spans="2:17" x14ac:dyDescent="0.25">
      <c r="K463" s="414"/>
      <c r="L463" s="414"/>
      <c r="M463" s="414"/>
    </row>
    <row r="464" spans="2:17" x14ac:dyDescent="0.25">
      <c r="C464" t="s">
        <v>260</v>
      </c>
      <c r="J464" s="33" t="s">
        <v>37</v>
      </c>
      <c r="K464" s="412">
        <f>N(N59)</f>
        <v>0</v>
      </c>
      <c r="L464" s="412"/>
      <c r="M464" s="412"/>
    </row>
    <row r="465" spans="1:16" x14ac:dyDescent="0.25">
      <c r="K465" s="414"/>
      <c r="L465" s="414"/>
      <c r="M465" s="414"/>
    </row>
    <row r="466" spans="1:16" x14ac:dyDescent="0.25">
      <c r="C466" t="s">
        <v>261</v>
      </c>
      <c r="J466" s="33" t="s">
        <v>37</v>
      </c>
      <c r="K466" s="412">
        <f ca="1">K454-K456-K458-K460-K462-K464</f>
        <v>0</v>
      </c>
      <c r="L466" s="412"/>
      <c r="M466" s="412"/>
    </row>
    <row r="467" spans="1:16" x14ac:dyDescent="0.25">
      <c r="K467" s="413"/>
      <c r="L467" s="413"/>
      <c r="M467" s="413"/>
    </row>
    <row r="468" spans="1:16" x14ac:dyDescent="0.25">
      <c r="C468" t="s">
        <v>262</v>
      </c>
      <c r="J468" s="33" t="s">
        <v>37</v>
      </c>
      <c r="K468" s="412">
        <f>IF(N(K$37)=0,0,K466/N(K$37))</f>
        <v>0</v>
      </c>
      <c r="L468" s="412"/>
      <c r="M468" s="412"/>
      <c r="N468" s="214" t="str">
        <f>IF(N(K$37)=0,"(Need Units)","")</f>
        <v>(Need Units)</v>
      </c>
    </row>
    <row r="469" spans="1:16" x14ac:dyDescent="0.25">
      <c r="K469" s="371"/>
      <c r="L469" s="371"/>
      <c r="M469" s="371"/>
    </row>
    <row r="470" spans="1:16" x14ac:dyDescent="0.25">
      <c r="C470" t="s">
        <v>263</v>
      </c>
      <c r="K470" s="410" t="str">
        <f ca="1">IF(AND(N(K445)&gt;0,N(K468)&gt;0),IF(K468&lt;=K445,"Yes","No"),"TBD")</f>
        <v>TBD</v>
      </c>
      <c r="L470" s="410"/>
      <c r="M470" s="410"/>
    </row>
    <row r="471" spans="1:16" ht="13" x14ac:dyDescent="0.25">
      <c r="D471" t="s">
        <v>264</v>
      </c>
      <c r="K471" s="389"/>
      <c r="L471" s="389"/>
      <c r="M471" s="389"/>
      <c r="P471" s="21" t="str">
        <f ca="1">IF(K470="No","**","")</f>
        <v/>
      </c>
    </row>
    <row r="472" spans="1:16" ht="7" customHeight="1" x14ac:dyDescent="0.25"/>
    <row r="473" spans="1:16" ht="12.75" customHeight="1" x14ac:dyDescent="0.25">
      <c r="C473" s="424" t="str">
        <f ca="1">IF(K470="TBD","TBD",IF(OR(K36=F613,K390=E620,AND(G406="",K411=K613),AND(G406="",K415=C613)),"","[ ("&amp;IF(AND(OR(K421=C614,K422=C614,K423=C614,K425=C614),OR(K427=C614,K428=C614,K430=C614,K431=C614,K432=C614,K433=C614,K434=C614,K436=C614,K438=C614,K439=C614)),"( ","")&amp;TEXT(N(K417),"$#,##0")&amp;" Base Limit"&amp;IF(OR(K421=C614,K422=C614,K423=C614)," + "&amp;TEXT(N(N636),"$#,##0")&amp;" Add-On","")&amp;IF(K425=C614," + "&amp;TEXT(N(N637),"$#,##0")&amp;" Add-On","")&amp;IF(AND(OR(K421=C614,K422=C614,K423=C614,K425=C614),OR(K427=C614,K428=C614,K430=C614,K431=C614,K433=C614,K434=C614,K436=C614,K438=C614,K439=C614))," )","")&amp;IF(K427=C614," / "&amp;TEXT(N(N638),"0%")&amp;" Multiplier","")&amp;IF(K428=C614," / "&amp;TEXT(N(N639),"0%")&amp;" Multiplier","")&amp;IF(K430=C614," / "&amp;TEXT(N(N640),"0%")&amp;" Multiplier","")&amp;IF(K431=C614," / "&amp;TEXT(N(N641),"0%")&amp;" Multiplier","")&amp;IF(K432=C614," / "&amp;TEXT(N(N642),"0%")&amp;" Multiplier","")&amp;IF(K433=C614," / "&amp;TEXT(N(N643),"0%")&amp;" Multiplier","")&amp;IF(K434=C614," / "&amp;TEXT(N(N644),"0%")&amp;" Multiplier","")&amp;IF(K436=C614," / "&amp;TEXT(N(N645),"0%")&amp;" Multiplier","")&amp;IF(K438=C614," / "&amp;TEXT(N(N646),"0%")&amp;" Multiplier","")&amp;IF(K439=C614," / "&amp;TEXT(N(N647),"0%")&amp;" Multiplier","")&amp;") x 1.155 Escalation Rate Factor = "&amp;TEXT(K445,"$#,##0.00")&amp;" Total ]"))</f>
        <v>TBD</v>
      </c>
      <c r="D473" s="424"/>
      <c r="E473" s="424"/>
      <c r="F473" s="424"/>
      <c r="G473" s="424"/>
      <c r="H473" s="424"/>
      <c r="I473" s="424"/>
      <c r="J473" s="424"/>
      <c r="K473" s="424"/>
      <c r="L473" s="424"/>
      <c r="M473" s="424"/>
      <c r="N473" s="424"/>
      <c r="O473" s="424"/>
      <c r="P473" s="215"/>
    </row>
    <row r="474" spans="1:16" x14ac:dyDescent="0.25">
      <c r="C474" s="424"/>
      <c r="D474" s="424"/>
      <c r="E474" s="424"/>
      <c r="F474" s="424"/>
      <c r="G474" s="424"/>
      <c r="H474" s="424"/>
      <c r="I474" s="424"/>
      <c r="J474" s="424"/>
      <c r="K474" s="424"/>
      <c r="L474" s="424"/>
      <c r="M474" s="424"/>
      <c r="N474" s="424"/>
      <c r="O474" s="424"/>
      <c r="P474" s="215"/>
    </row>
    <row r="475" spans="1:16" x14ac:dyDescent="0.25">
      <c r="C475" s="424"/>
      <c r="D475" s="424"/>
      <c r="E475" s="424"/>
      <c r="F475" s="424"/>
      <c r="G475" s="424"/>
      <c r="H475" s="424"/>
      <c r="I475" s="424"/>
      <c r="J475" s="424"/>
      <c r="K475" s="424"/>
      <c r="L475" s="424"/>
      <c r="M475" s="424"/>
      <c r="N475" s="424"/>
      <c r="O475" s="424"/>
      <c r="P475" s="215"/>
    </row>
    <row r="476" spans="1:16" ht="7" customHeight="1" thickBot="1" x14ac:dyDescent="0.3">
      <c r="A476" s="302"/>
      <c r="B476" s="307"/>
      <c r="C476" s="301"/>
      <c r="D476" s="301"/>
      <c r="E476" s="301"/>
      <c r="F476" s="301"/>
      <c r="G476" s="301"/>
      <c r="H476" s="301"/>
      <c r="I476" s="301"/>
      <c r="J476" s="301"/>
      <c r="K476" s="301"/>
      <c r="L476" s="301"/>
      <c r="M476" s="301"/>
      <c r="N476" s="301"/>
      <c r="O476" s="301"/>
      <c r="P476" s="301"/>
    </row>
    <row r="477" spans="1:16" ht="3.75" hidden="1" customHeight="1" x14ac:dyDescent="0.25"/>
    <row r="478" spans="1:16" ht="13" hidden="1" collapsed="1" x14ac:dyDescent="0.3">
      <c r="B478" s="6" t="str">
        <f>B$2</f>
        <v>RFA 2021-211 DEVELOPMENT COST PRO FORMA</v>
      </c>
      <c r="O478" s="4"/>
      <c r="P478" s="5" t="s">
        <v>265</v>
      </c>
    </row>
    <row r="479" spans="1:16" hidden="1" x14ac:dyDescent="0.25"/>
    <row r="480" spans="1:16" hidden="1" x14ac:dyDescent="0.25">
      <c r="B480" s="9" t="s">
        <v>266</v>
      </c>
      <c r="C480" s="9"/>
      <c r="D480" s="9"/>
      <c r="E480" s="9"/>
      <c r="F480" s="9"/>
      <c r="G480" s="9"/>
      <c r="H480" s="9"/>
      <c r="I480" s="9"/>
      <c r="J480" s="9"/>
      <c r="K480" s="9"/>
      <c r="L480" s="9"/>
      <c r="M480" s="9"/>
      <c r="N480" s="9"/>
      <c r="O480" s="9"/>
      <c r="P480" s="9"/>
    </row>
    <row r="481" spans="2:17" hidden="1" x14ac:dyDescent="0.25">
      <c r="B481" s="9" t="s">
        <v>267</v>
      </c>
      <c r="C481" s="9"/>
      <c r="D481" s="9"/>
      <c r="E481" s="9"/>
      <c r="F481" s="9"/>
      <c r="G481" s="9"/>
      <c r="H481" s="9"/>
      <c r="I481" s="9"/>
      <c r="J481" s="9"/>
      <c r="K481" s="9"/>
      <c r="L481" s="9"/>
      <c r="M481" s="9"/>
      <c r="N481" s="9"/>
      <c r="O481" s="9"/>
      <c r="P481" s="9"/>
    </row>
    <row r="482" spans="2:17" hidden="1" x14ac:dyDescent="0.25">
      <c r="B482" s="9" t="s">
        <v>268</v>
      </c>
      <c r="C482" s="9"/>
      <c r="D482" s="9"/>
      <c r="E482" s="9"/>
      <c r="F482" s="9"/>
      <c r="G482" s="9"/>
      <c r="H482" s="9"/>
      <c r="I482" s="9"/>
      <c r="J482" s="9"/>
      <c r="K482" s="9"/>
      <c r="L482" s="9"/>
      <c r="M482" s="9"/>
      <c r="N482" s="9"/>
      <c r="O482" s="9"/>
      <c r="P482" s="9"/>
    </row>
    <row r="483" spans="2:17" hidden="1" x14ac:dyDescent="0.25">
      <c r="B483" s="9" t="s">
        <v>269</v>
      </c>
      <c r="C483" s="9"/>
      <c r="D483" s="9"/>
      <c r="E483" s="9"/>
      <c r="F483" s="9"/>
      <c r="G483" s="9"/>
      <c r="H483" s="9"/>
      <c r="I483" s="9"/>
      <c r="J483" s="9"/>
      <c r="K483" s="9"/>
      <c r="L483" s="9"/>
      <c r="M483" s="9"/>
      <c r="N483" s="9"/>
      <c r="O483" s="9"/>
      <c r="P483" s="9"/>
    </row>
    <row r="484" spans="2:17" hidden="1" x14ac:dyDescent="0.25">
      <c r="B484" s="9" t="s">
        <v>270</v>
      </c>
      <c r="C484" s="9"/>
      <c r="D484" s="9"/>
      <c r="E484" s="9"/>
      <c r="F484" s="9"/>
      <c r="G484" s="9"/>
      <c r="H484" s="9"/>
      <c r="I484" s="9"/>
      <c r="J484" s="9"/>
      <c r="K484" s="9"/>
      <c r="L484" s="9"/>
      <c r="M484" s="9"/>
      <c r="N484" s="9"/>
      <c r="O484" s="9"/>
      <c r="P484" s="9"/>
    </row>
    <row r="485" spans="2:17" hidden="1" x14ac:dyDescent="0.25">
      <c r="B485" s="9" t="s">
        <v>271</v>
      </c>
    </row>
    <row r="486" spans="2:17" hidden="1" x14ac:dyDescent="0.25">
      <c r="B486" s="9" t="str">
        <f>"criteria. "</f>
        <v xml:space="preserve">criteria. </v>
      </c>
    </row>
    <row r="487" spans="2:17" hidden="1" x14ac:dyDescent="0.25">
      <c r="B487" s="9"/>
    </row>
    <row r="488" spans="2:17" ht="13" hidden="1" x14ac:dyDescent="0.3">
      <c r="B488" s="6" t="s">
        <v>272</v>
      </c>
      <c r="N488" s="179"/>
    </row>
    <row r="489" spans="2:17" hidden="1" x14ac:dyDescent="0.25"/>
    <row r="490" spans="2:17" ht="13" hidden="1" thickBot="1" x14ac:dyDescent="0.3">
      <c r="F490" s="217" t="s">
        <v>273</v>
      </c>
      <c r="H490" s="217" t="s">
        <v>274</v>
      </c>
      <c r="K490" s="217" t="s">
        <v>275</v>
      </c>
    </row>
    <row r="491" spans="2:17" ht="5.25" hidden="1" customHeight="1" x14ac:dyDescent="0.25">
      <c r="F491" s="193"/>
      <c r="K491" s="193"/>
    </row>
    <row r="492" spans="2:17" ht="18" hidden="1" customHeight="1" x14ac:dyDescent="0.25">
      <c r="B492" s="218"/>
      <c r="C492" s="218"/>
      <c r="D492" s="218"/>
      <c r="E492" s="218"/>
      <c r="F492" s="219">
        <v>0.2</v>
      </c>
      <c r="G492" s="220"/>
      <c r="H492" s="221"/>
      <c r="I492" s="220"/>
      <c r="J492" s="220"/>
      <c r="K492" s="222">
        <f>IF(H$504=0,0,H492/H$504)</f>
        <v>0</v>
      </c>
    </row>
    <row r="493" spans="2:17" ht="18" hidden="1" customHeight="1" x14ac:dyDescent="0.25">
      <c r="B493" s="218"/>
      <c r="C493" s="218"/>
      <c r="D493" s="218"/>
      <c r="E493" s="223" t="s">
        <v>276</v>
      </c>
      <c r="F493" s="224">
        <v>0.3</v>
      </c>
      <c r="G493" s="225"/>
      <c r="H493" s="226"/>
      <c r="I493" s="225"/>
      <c r="J493" s="225"/>
      <c r="K493" s="227">
        <f t="shared" ref="K493:K498" si="0">IF(H$504=0,0,H493/H$504)</f>
        <v>0</v>
      </c>
      <c r="L493" s="228"/>
      <c r="M493" s="228"/>
      <c r="Q493" s="229" t="str">
        <f>IF(AND(K493+K492&lt;$H$690,H504&gt;0),"Income Averaging Test requires a minimum of "&amp;TEXT($H$690,"0%")&amp;" of total units set-aside at 30% AMI or less.","")</f>
        <v/>
      </c>
    </row>
    <row r="494" spans="2:17" ht="18" hidden="1" customHeight="1" x14ac:dyDescent="0.25">
      <c r="B494" s="218"/>
      <c r="C494" s="218"/>
      <c r="D494" s="218"/>
      <c r="E494" s="218"/>
      <c r="F494" s="224">
        <v>0.4</v>
      </c>
      <c r="G494" s="225"/>
      <c r="H494" s="226"/>
      <c r="I494" s="225"/>
      <c r="J494" s="225"/>
      <c r="K494" s="227">
        <f t="shared" si="0"/>
        <v>0</v>
      </c>
    </row>
    <row r="495" spans="2:17" ht="18" hidden="1" customHeight="1" x14ac:dyDescent="0.25">
      <c r="B495" s="218"/>
      <c r="C495" s="218"/>
      <c r="D495" s="218"/>
      <c r="E495" s="218"/>
      <c r="F495" s="224">
        <v>0.5</v>
      </c>
      <c r="G495" s="225"/>
      <c r="H495" s="226"/>
      <c r="I495" s="225"/>
      <c r="J495" s="225"/>
      <c r="K495" s="227">
        <f t="shared" si="0"/>
        <v>0</v>
      </c>
    </row>
    <row r="496" spans="2:17" ht="18" hidden="1" customHeight="1" x14ac:dyDescent="0.25">
      <c r="B496" s="218"/>
      <c r="C496" s="218"/>
      <c r="D496" s="218"/>
      <c r="E496" s="218"/>
      <c r="F496" s="224">
        <v>0.6</v>
      </c>
      <c r="G496" s="225"/>
      <c r="H496" s="226"/>
      <c r="I496" s="225"/>
      <c r="J496" s="225"/>
      <c r="K496" s="227">
        <f t="shared" si="0"/>
        <v>0</v>
      </c>
    </row>
    <row r="497" spans="1:16" ht="18" hidden="1" customHeight="1" x14ac:dyDescent="0.25">
      <c r="B497" s="218"/>
      <c r="C497" s="218"/>
      <c r="D497" s="218"/>
      <c r="E497" s="218"/>
      <c r="F497" s="224">
        <v>0.7</v>
      </c>
      <c r="G497" s="225"/>
      <c r="H497" s="226"/>
      <c r="I497" s="225"/>
      <c r="J497" s="225"/>
      <c r="K497" s="227">
        <f t="shared" si="0"/>
        <v>0</v>
      </c>
    </row>
    <row r="498" spans="1:16" ht="18" hidden="1" customHeight="1" x14ac:dyDescent="0.25">
      <c r="B498" s="218"/>
      <c r="C498" s="218"/>
      <c r="D498" s="218"/>
      <c r="E498" s="218"/>
      <c r="F498" s="224">
        <v>0.8</v>
      </c>
      <c r="G498" s="225"/>
      <c r="H498" s="226"/>
      <c r="I498" s="225"/>
      <c r="J498" s="225"/>
      <c r="K498" s="227">
        <f t="shared" si="0"/>
        <v>0</v>
      </c>
    </row>
    <row r="499" spans="1:16" ht="5.25" hidden="1" customHeight="1" x14ac:dyDescent="0.25">
      <c r="F499" s="193"/>
      <c r="G499" s="193"/>
      <c r="H499" s="193"/>
      <c r="I499" s="193"/>
      <c r="J499" s="193"/>
      <c r="K499" s="193"/>
      <c r="M499" s="425" t="s">
        <v>277</v>
      </c>
      <c r="N499" s="425"/>
      <c r="O499" s="425"/>
      <c r="P499" s="425"/>
    </row>
    <row r="500" spans="1:16" ht="18" hidden="1" customHeight="1" thickBot="1" x14ac:dyDescent="0.3">
      <c r="D500" s="230"/>
      <c r="E500" s="230"/>
      <c r="F500" s="231" t="s">
        <v>278</v>
      </c>
      <c r="G500" s="220"/>
      <c r="H500" s="232">
        <f>SUM(H492:H499)</f>
        <v>0</v>
      </c>
      <c r="I500" s="220"/>
      <c r="J500" s="220"/>
      <c r="K500" s="233">
        <f>IF(H$504=0,0,H500/H$504)</f>
        <v>0</v>
      </c>
      <c r="M500" s="425"/>
      <c r="N500" s="425"/>
      <c r="O500" s="425"/>
      <c r="P500" s="425"/>
    </row>
    <row r="501" spans="1:16" ht="5.25" hidden="1" customHeight="1" x14ac:dyDescent="0.25">
      <c r="F501" s="193"/>
      <c r="G501" s="193"/>
      <c r="H501" s="193"/>
      <c r="I501" s="193"/>
      <c r="J501" s="193"/>
      <c r="K501" s="193"/>
      <c r="M501" s="425"/>
      <c r="N501" s="425"/>
      <c r="O501" s="425"/>
      <c r="P501" s="425"/>
    </row>
    <row r="502" spans="1:16" ht="18" hidden="1" customHeight="1" x14ac:dyDescent="0.25">
      <c r="D502" s="230"/>
      <c r="E502" s="230"/>
      <c r="F502" s="231" t="s">
        <v>279</v>
      </c>
      <c r="G502" s="220"/>
      <c r="H502" s="221"/>
      <c r="I502" s="220"/>
      <c r="J502" s="220"/>
      <c r="K502" s="222">
        <f>IF(H$504=0,0,H502/H$504)</f>
        <v>0</v>
      </c>
    </row>
    <row r="503" spans="1:16" ht="5.25" hidden="1" customHeight="1" thickBot="1" x14ac:dyDescent="0.3">
      <c r="F503" s="193"/>
      <c r="G503" s="193"/>
      <c r="H503" s="193"/>
      <c r="I503" s="193"/>
      <c r="J503" s="193"/>
      <c r="K503" s="193"/>
      <c r="M503" s="425" t="str">
        <f>IF(H504&gt;0,IF(H504=K$37,"(Total Units here matches the Total Units entered on row 33 above)","(Total Units here does NOT match the Total Units entered on row 33 above)"),"")</f>
        <v/>
      </c>
      <c r="N503" s="425"/>
      <c r="O503" s="425"/>
      <c r="P503" s="425"/>
    </row>
    <row r="504" spans="1:16" ht="18" hidden="1" customHeight="1" thickBot="1" x14ac:dyDescent="0.3">
      <c r="D504" s="230"/>
      <c r="E504" s="230"/>
      <c r="F504" s="231" t="s">
        <v>40</v>
      </c>
      <c r="G504" s="220"/>
      <c r="H504" s="234">
        <f>H500+H502</f>
        <v>0</v>
      </c>
      <c r="I504" s="220"/>
      <c r="J504" s="220"/>
      <c r="K504" s="235">
        <f>IF(H$504=0,0,H504/H$504)</f>
        <v>0</v>
      </c>
      <c r="M504" s="425"/>
      <c r="N504" s="425"/>
      <c r="O504" s="425"/>
      <c r="P504" s="425"/>
    </row>
    <row r="505" spans="1:16" ht="5.25" hidden="1" customHeight="1" thickTop="1" thickBot="1" x14ac:dyDescent="0.3">
      <c r="F505" s="193"/>
      <c r="G505" s="193"/>
      <c r="H505" s="193"/>
      <c r="I505" s="193"/>
      <c r="J505" s="193"/>
      <c r="K505" s="193"/>
      <c r="M505" s="425"/>
      <c r="N505" s="425"/>
      <c r="O505" s="425"/>
      <c r="P505" s="425"/>
    </row>
    <row r="506" spans="1:16" ht="24.9" hidden="1" customHeight="1" thickBot="1" x14ac:dyDescent="0.3">
      <c r="A506" s="210"/>
      <c r="B506" s="210"/>
      <c r="C506" s="210"/>
      <c r="D506" s="426" t="s">
        <v>280</v>
      </c>
      <c r="E506" s="427"/>
      <c r="F506" s="427"/>
      <c r="G506" s="236"/>
      <c r="H506" s="237">
        <f>IF(H500=0,0,SUMPRODUCT(F492:F498,H492:H498)/H500)</f>
        <v>0</v>
      </c>
      <c r="I506" s="210"/>
      <c r="J506" s="210"/>
      <c r="K506" s="303" t="str">
        <f>IF(H506=60%,"(equal to 60% maximum)",IF(AND(H506&lt;60%,H506&gt;0%),"(less than 60% maximum)",IF(H506&gt;60%,"(greater than 60% maximum)","")))</f>
        <v/>
      </c>
      <c r="L506" s="210"/>
      <c r="M506" s="210"/>
      <c r="N506" s="210"/>
      <c r="O506" s="210"/>
      <c r="P506" s="210"/>
    </row>
    <row r="507" spans="1:16" ht="3.75" customHeight="1" x14ac:dyDescent="0.25">
      <c r="A507" s="1"/>
      <c r="B507" s="1"/>
      <c r="C507" s="1"/>
      <c r="D507" s="1"/>
      <c r="E507" s="1"/>
      <c r="F507" s="1"/>
      <c r="G507" s="1"/>
      <c r="H507" s="1"/>
      <c r="I507" s="1"/>
      <c r="J507" s="1"/>
      <c r="K507" s="1"/>
      <c r="L507" s="1"/>
      <c r="M507" s="1"/>
      <c r="N507" s="1"/>
      <c r="O507" s="1"/>
      <c r="P507" s="1"/>
    </row>
    <row r="508" spans="1:16" ht="13" x14ac:dyDescent="0.3">
      <c r="B508" s="6" t="str">
        <f>B$2</f>
        <v>RFA 2021-211 DEVELOPMENT COST PRO FORMA</v>
      </c>
      <c r="P508" s="5" t="s">
        <v>484</v>
      </c>
    </row>
    <row r="510" spans="1:16" x14ac:dyDescent="0.25">
      <c r="B510" s="9" t="s">
        <v>496</v>
      </c>
      <c r="C510" s="9"/>
      <c r="D510" s="9"/>
      <c r="E510" s="9"/>
      <c r="F510" s="9"/>
      <c r="G510" s="9"/>
      <c r="H510" s="9"/>
      <c r="I510" s="9"/>
      <c r="J510" s="9"/>
      <c r="K510" s="9"/>
      <c r="L510" s="9"/>
      <c r="M510" s="9"/>
      <c r="N510" s="9"/>
      <c r="O510" s="9"/>
      <c r="P510" s="9"/>
    </row>
    <row r="511" spans="1:16" x14ac:dyDescent="0.25">
      <c r="B511" s="9" t="s">
        <v>497</v>
      </c>
      <c r="C511" s="9"/>
      <c r="D511" s="9"/>
      <c r="E511" s="9"/>
      <c r="F511" s="9"/>
      <c r="G511" s="9"/>
      <c r="H511" s="9"/>
      <c r="I511" s="9"/>
      <c r="J511" s="9"/>
      <c r="K511" s="9"/>
      <c r="L511" s="9"/>
      <c r="M511" s="9"/>
      <c r="N511" s="9"/>
      <c r="O511" s="9"/>
      <c r="P511" s="9"/>
    </row>
    <row r="512" spans="1:16" x14ac:dyDescent="0.25">
      <c r="B512" s="9" t="s">
        <v>498</v>
      </c>
      <c r="C512" s="9"/>
      <c r="D512" s="9"/>
      <c r="E512" s="9"/>
      <c r="F512" s="9"/>
      <c r="G512" s="9"/>
      <c r="H512" s="9"/>
      <c r="I512" s="9"/>
      <c r="J512" s="9"/>
      <c r="K512" s="9"/>
      <c r="L512" s="9"/>
      <c r="M512" s="9"/>
      <c r="N512" s="9"/>
      <c r="O512" s="9"/>
      <c r="P512" s="9"/>
    </row>
    <row r="513" spans="2:23" x14ac:dyDescent="0.25">
      <c r="B513" s="9" t="s">
        <v>499</v>
      </c>
      <c r="C513" s="9"/>
      <c r="D513" s="9"/>
      <c r="E513" s="9"/>
      <c r="F513" s="9"/>
      <c r="G513" s="9"/>
      <c r="H513" s="9"/>
      <c r="I513" s="9"/>
      <c r="J513" s="9"/>
      <c r="K513" s="9"/>
      <c r="L513" s="9"/>
      <c r="M513" s="9"/>
      <c r="N513" s="9"/>
      <c r="O513" s="9"/>
      <c r="P513" s="9"/>
    </row>
    <row r="514" spans="2:23" x14ac:dyDescent="0.25">
      <c r="B514" s="9" t="s">
        <v>500</v>
      </c>
      <c r="C514" s="9"/>
      <c r="D514" s="9"/>
      <c r="E514" s="9"/>
      <c r="F514" s="9"/>
      <c r="G514" s="9"/>
      <c r="H514" s="9"/>
      <c r="I514" s="9"/>
      <c r="J514" s="9"/>
      <c r="K514" s="9"/>
      <c r="L514" s="9"/>
      <c r="M514" s="9"/>
      <c r="N514" s="9"/>
      <c r="O514" s="9"/>
      <c r="P514" s="9"/>
    </row>
    <row r="515" spans="2:23" x14ac:dyDescent="0.25">
      <c r="B515" s="9" t="s">
        <v>501</v>
      </c>
    </row>
    <row r="516" spans="2:23" x14ac:dyDescent="0.25">
      <c r="B516" s="9"/>
    </row>
    <row r="517" spans="2:23" ht="20" customHeight="1" collapsed="1" x14ac:dyDescent="0.25">
      <c r="H517" s="30" t="str">
        <f>H$40</f>
        <v>Original Application</v>
      </c>
      <c r="I517" s="27"/>
      <c r="J517" s="27"/>
      <c r="K517" s="30" t="str">
        <f>K$40</f>
        <v>Approved CUR</v>
      </c>
      <c r="L517" s="93"/>
      <c r="M517" s="94"/>
      <c r="N517" s="30" t="str">
        <f>N$40</f>
        <v>Current Application</v>
      </c>
    </row>
    <row r="519" spans="2:23" ht="13" x14ac:dyDescent="0.3">
      <c r="B519" s="6" t="s">
        <v>281</v>
      </c>
    </row>
    <row r="521" spans="2:23" x14ac:dyDescent="0.25">
      <c r="B521" t="s">
        <v>282</v>
      </c>
      <c r="H521" s="238"/>
      <c r="K521" s="238"/>
      <c r="N521" s="239">
        <f>N42</f>
        <v>0</v>
      </c>
    </row>
    <row r="522" spans="2:23" x14ac:dyDescent="0.25">
      <c r="N522" s="240"/>
    </row>
    <row r="523" spans="2:23" x14ac:dyDescent="0.25">
      <c r="B523" t="s">
        <v>283</v>
      </c>
      <c r="H523" s="238"/>
      <c r="K523" s="238"/>
      <c r="N523" s="241">
        <f>MAX(N(N46),0.9)</f>
        <v>0.9</v>
      </c>
    </row>
    <row r="524" spans="2:23" x14ac:dyDescent="0.25">
      <c r="N524" s="240"/>
    </row>
    <row r="525" spans="2:23" x14ac:dyDescent="0.25">
      <c r="B525" t="s">
        <v>284</v>
      </c>
      <c r="H525" s="238"/>
      <c r="K525" s="238"/>
      <c r="N525" s="242">
        <f>N521*10*N44*N523</f>
        <v>0</v>
      </c>
    </row>
    <row r="526" spans="2:23" x14ac:dyDescent="0.25">
      <c r="N526" s="239"/>
    </row>
    <row r="527" spans="2:23" x14ac:dyDescent="0.25">
      <c r="B527" t="s">
        <v>285</v>
      </c>
      <c r="H527" s="238"/>
      <c r="K527" s="238"/>
      <c r="N527" s="243" t="str">
        <f>IF(N206="","",Developer_fee_total*0.4)</f>
        <v/>
      </c>
      <c r="W527" s="244"/>
    </row>
    <row r="528" spans="2:23" x14ac:dyDescent="0.25">
      <c r="N528" s="239"/>
    </row>
    <row r="529" spans="2:19" x14ac:dyDescent="0.25">
      <c r="B529" t="s">
        <v>286</v>
      </c>
      <c r="H529" s="242" t="str">
        <f>IF(H371="","",H371-H369-H367)</f>
        <v/>
      </c>
      <c r="I529" s="245"/>
      <c r="J529" s="245"/>
      <c r="K529" s="242" t="str">
        <f>IF(K371="","",K371-K369-K367)</f>
        <v/>
      </c>
      <c r="L529" s="246"/>
      <c r="M529" s="246"/>
      <c r="N529" s="247" t="str">
        <f>IF(N371="","",N371-N369-N367)</f>
        <v/>
      </c>
    </row>
    <row r="530" spans="2:19" x14ac:dyDescent="0.25">
      <c r="N530" s="240"/>
    </row>
    <row r="531" spans="2:19" x14ac:dyDescent="0.25">
      <c r="B531" t="s">
        <v>287</v>
      </c>
      <c r="N531" s="239"/>
    </row>
    <row r="532" spans="2:19" ht="13" thickBot="1" x14ac:dyDescent="0.3">
      <c r="B532" t="s">
        <v>288</v>
      </c>
      <c r="N532" s="248">
        <f>MAX(H529,K529,N529)</f>
        <v>0</v>
      </c>
      <c r="S532" s="249"/>
    </row>
    <row r="533" spans="2:19" ht="13" thickTop="1" x14ac:dyDescent="0.25">
      <c r="B533" s="301"/>
      <c r="C533" s="301"/>
      <c r="D533" s="301"/>
      <c r="E533" s="301"/>
      <c r="F533" s="301"/>
      <c r="G533" s="301"/>
      <c r="H533" s="301"/>
      <c r="I533" s="301"/>
      <c r="J533" s="301"/>
      <c r="K533" s="301"/>
      <c r="L533" s="301"/>
      <c r="M533" s="301"/>
      <c r="N533" s="306"/>
      <c r="O533" s="215"/>
      <c r="P533" s="215"/>
    </row>
    <row r="534" spans="2:19" ht="4.5" customHeight="1" thickBot="1" x14ac:dyDescent="0.3">
      <c r="B534" s="216"/>
      <c r="C534" s="216"/>
      <c r="D534" s="216"/>
      <c r="E534" s="216"/>
      <c r="F534" s="216"/>
      <c r="G534" s="216"/>
      <c r="H534" s="216"/>
      <c r="I534" s="216"/>
      <c r="J534" s="216"/>
      <c r="K534" s="216"/>
      <c r="L534" s="216"/>
      <c r="M534" s="216"/>
      <c r="N534" s="250"/>
      <c r="O534" s="215"/>
      <c r="P534" s="215"/>
    </row>
    <row r="535" spans="2:19" ht="4.5" customHeight="1" x14ac:dyDescent="0.25">
      <c r="B535" s="301"/>
      <c r="C535" s="301"/>
      <c r="D535" s="301"/>
      <c r="E535" s="301"/>
      <c r="F535" s="301"/>
      <c r="G535" s="301"/>
      <c r="H535" s="301"/>
      <c r="I535" s="301"/>
      <c r="J535" s="301"/>
      <c r="K535" s="301"/>
      <c r="L535" s="301"/>
      <c r="M535" s="301"/>
      <c r="N535" s="306"/>
    </row>
    <row r="536" spans="2:19" ht="13" x14ac:dyDescent="0.3">
      <c r="B536" s="132" t="s">
        <v>289</v>
      </c>
      <c r="N536" s="91"/>
    </row>
    <row r="537" spans="2:19" x14ac:dyDescent="0.25">
      <c r="N537" s="91"/>
    </row>
    <row r="538" spans="2:19" ht="13" x14ac:dyDescent="0.3">
      <c r="B538" s="251" t="s">
        <v>290</v>
      </c>
      <c r="C538" s="428" t="str">
        <f ca="1">"Total Development Cost of "&amp;TEXT(N(N212),"$#,##0")&amp;", less minimum developer fee (@40%) of "&amp;TEXT(N(N206)*0.4,"$#,##0")&amp;", less Resulting HC Equity for sizing of "&amp;TEXT(N(N525),"$#,##0")&amp;", less the greater amount of other permanent sources of "&amp;TEXT(N(N532),"$#,##0")&amp;" equals the Viability Loan Amount via gap analysis:"</f>
        <v>Total Development Cost of $0, less minimum developer fee (@40%) of $0, less Resulting HC Equity for sizing of $0, less the greater amount of other permanent sources of $0 equals the Viability Loan Amount via gap analysis:</v>
      </c>
      <c r="D538" s="428"/>
      <c r="E538" s="428"/>
      <c r="F538" s="428"/>
      <c r="G538" s="428"/>
      <c r="H538" s="428"/>
      <c r="I538" s="428"/>
      <c r="J538" s="428"/>
      <c r="K538" s="428"/>
      <c r="N538" s="91"/>
    </row>
    <row r="539" spans="2:19" ht="13" x14ac:dyDescent="0.3">
      <c r="B539" s="251"/>
      <c r="C539" s="428"/>
      <c r="D539" s="428"/>
      <c r="E539" s="428"/>
      <c r="F539" s="428"/>
      <c r="G539" s="428"/>
      <c r="H539" s="428"/>
      <c r="I539" s="428"/>
      <c r="J539" s="428"/>
      <c r="K539" s="428"/>
    </row>
    <row r="540" spans="2:19" ht="13" x14ac:dyDescent="0.3">
      <c r="B540" s="251"/>
      <c r="C540" s="428"/>
      <c r="D540" s="428"/>
      <c r="E540" s="428"/>
      <c r="F540" s="428"/>
      <c r="G540" s="428"/>
      <c r="H540" s="428"/>
      <c r="I540" s="428"/>
      <c r="J540" s="428"/>
      <c r="K540" s="428"/>
      <c r="N540" s="252" t="str">
        <f ca="1">IF(N(N212)=0,"",N212-N527-N525-N532)</f>
        <v/>
      </c>
      <c r="Q540" s="253" t="s">
        <v>291</v>
      </c>
    </row>
    <row r="541" spans="2:19" ht="13" x14ac:dyDescent="0.3">
      <c r="B541" s="251"/>
      <c r="N541" s="254"/>
    </row>
    <row r="542" spans="2:19" ht="15.5" x14ac:dyDescent="0.35">
      <c r="B542" s="255" t="s">
        <v>292</v>
      </c>
      <c r="C542" s="428" t="str">
        <f ca="1">"51% Test: Total Development Cost of "&amp;TEXT(N(N212),"$#,##0")&amp;", less minimum developer fee (@51%) of "&amp;TEXT(N(N206)*0.51,"$#,##0")&amp;", less Resulting HC Equity for sizing of "&amp;TEXT(N(N525),"$#,##0")&amp;", less the greater amount of other permanent sources of "&amp;TEXT(N(N532),"$#,##0")&amp;" equals the Viability Loan Amount via gap analysis:"</f>
        <v>51% Test: Total Development Cost of $0, less minimum developer fee (@51%) of $0, less Resulting HC Equity for sizing of $0, less the greater amount of other permanent sources of $0 equals the Viability Loan Amount via gap analysis:</v>
      </c>
      <c r="D542" s="428"/>
      <c r="E542" s="428"/>
      <c r="F542" s="428"/>
      <c r="G542" s="428"/>
      <c r="H542" s="428"/>
      <c r="I542" s="428"/>
      <c r="J542" s="428"/>
      <c r="K542" s="428"/>
      <c r="N542" s="254"/>
    </row>
    <row r="543" spans="2:19" ht="13" x14ac:dyDescent="0.3">
      <c r="B543" s="251"/>
      <c r="C543" s="428"/>
      <c r="D543" s="428"/>
      <c r="E543" s="428"/>
      <c r="F543" s="428"/>
      <c r="G543" s="428"/>
      <c r="H543" s="428"/>
      <c r="I543" s="428"/>
      <c r="J543" s="428"/>
      <c r="K543" s="428"/>
    </row>
    <row r="544" spans="2:19" ht="13" x14ac:dyDescent="0.3">
      <c r="B544" s="251"/>
      <c r="C544" s="428"/>
      <c r="D544" s="428"/>
      <c r="E544" s="428"/>
      <c r="F544" s="428"/>
      <c r="G544" s="428"/>
      <c r="H544" s="428"/>
      <c r="I544" s="428"/>
      <c r="J544" s="428"/>
      <c r="K544" s="428"/>
      <c r="N544" s="256" t="str">
        <f ca="1">IF(N(N212)=0,"",N212-(N206)*0.51-N532-N525)</f>
        <v/>
      </c>
      <c r="Q544" s="253" t="s">
        <v>293</v>
      </c>
    </row>
    <row r="545" spans="2:17" ht="18" customHeight="1" x14ac:dyDescent="0.3">
      <c r="B545" s="251"/>
      <c r="C545" s="150"/>
      <c r="D545" s="150"/>
      <c r="E545" s="421" t="str">
        <f ca="1">IF(N544&gt;0,"The Applicant has passed the 51% Test, and may proceed with Sizing.","The Applicant has failed the 51% Test, and qualifies for a maximum Viability Loan of $0.")</f>
        <v>The Applicant has passed the 51% Test, and may proceed with Sizing.</v>
      </c>
      <c r="F545" s="421"/>
      <c r="G545" s="421"/>
      <c r="H545" s="421"/>
      <c r="I545" s="421"/>
      <c r="J545" s="421"/>
      <c r="K545" s="421"/>
      <c r="L545" s="421"/>
      <c r="N545" s="254"/>
    </row>
    <row r="546" spans="2:17" ht="13" x14ac:dyDescent="0.3">
      <c r="B546" s="251"/>
      <c r="N546" s="254"/>
    </row>
    <row r="547" spans="2:17" ht="13" x14ac:dyDescent="0.3">
      <c r="B547" s="251" t="s">
        <v>294</v>
      </c>
      <c r="C547" t="s">
        <v>295</v>
      </c>
      <c r="N547" s="252">
        <f>N48*40000</f>
        <v>0</v>
      </c>
    </row>
    <row r="548" spans="2:17" ht="13" x14ac:dyDescent="0.3">
      <c r="B548" s="251"/>
      <c r="N548" s="254"/>
    </row>
    <row r="549" spans="2:17" ht="13" x14ac:dyDescent="0.3">
      <c r="B549" s="251" t="s">
        <v>296</v>
      </c>
      <c r="C549" t="s">
        <v>297</v>
      </c>
      <c r="N549" s="257">
        <f>2250000</f>
        <v>2250000</v>
      </c>
    </row>
    <row r="550" spans="2:17" ht="13" x14ac:dyDescent="0.3">
      <c r="B550" s="251"/>
      <c r="N550" s="258"/>
    </row>
    <row r="551" spans="2:17" ht="13" x14ac:dyDescent="0.3">
      <c r="B551" s="251" t="s">
        <v>298</v>
      </c>
      <c r="C551" t="s">
        <v>299</v>
      </c>
      <c r="N551" s="259">
        <f ca="1">IF(N544&gt;0,MIN(N540,N549,N547,N365),"NA")</f>
        <v>0</v>
      </c>
      <c r="Q551" s="253" t="s">
        <v>300</v>
      </c>
    </row>
    <row r="552" spans="2:17" ht="13" x14ac:dyDescent="0.3">
      <c r="B552" s="132"/>
      <c r="N552" s="260"/>
    </row>
    <row r="553" spans="2:17" ht="13.5" thickBot="1" x14ac:dyDescent="0.35">
      <c r="B553" s="251" t="s">
        <v>301</v>
      </c>
      <c r="C553" s="132" t="s">
        <v>302</v>
      </c>
      <c r="N553" s="305" t="str">
        <f ca="1">IF(N544&gt;0,IF(N551&gt;=N(IF(H367&gt;0,500000,200000)),N551,"Below Minimum"),0)</f>
        <v>Below Minimum</v>
      </c>
    </row>
    <row r="554" spans="2:17" ht="13.5" thickTop="1" x14ac:dyDescent="0.3">
      <c r="B554" s="132"/>
      <c r="C554" s="215"/>
      <c r="D554" s="215"/>
      <c r="E554" s="215"/>
      <c r="F554" s="215"/>
      <c r="G554" s="215"/>
      <c r="H554" s="215"/>
      <c r="I554" s="215"/>
      <c r="J554" s="215"/>
      <c r="K554" s="215"/>
      <c r="L554" s="215"/>
      <c r="M554" s="215"/>
      <c r="N554" s="215"/>
    </row>
    <row r="555" spans="2:17" ht="4.5" customHeight="1" thickBot="1" x14ac:dyDescent="0.3">
      <c r="B555" s="216"/>
      <c r="C555" s="210"/>
      <c r="D555" s="210"/>
      <c r="E555" s="210"/>
      <c r="F555" s="210"/>
      <c r="G555" s="210"/>
      <c r="H555" s="210"/>
      <c r="I555" s="210"/>
      <c r="J555" s="210"/>
      <c r="K555" s="210"/>
      <c r="L555" s="210"/>
      <c r="M555" s="210"/>
      <c r="N555" s="210"/>
    </row>
    <row r="556" spans="2:17" ht="4.5" customHeight="1" x14ac:dyDescent="0.25"/>
    <row r="557" spans="2:17" ht="13" x14ac:dyDescent="0.3">
      <c r="B557" s="132" t="s">
        <v>303</v>
      </c>
      <c r="P557" s="5"/>
    </row>
    <row r="559" spans="2:17" x14ac:dyDescent="0.25">
      <c r="B559" t="s">
        <v>304</v>
      </c>
      <c r="N559" s="261" t="str">
        <f ca="1">N339</f>
        <v/>
      </c>
    </row>
    <row r="561" spans="2:19" x14ac:dyDescent="0.25">
      <c r="B561" s="2" t="s">
        <v>305</v>
      </c>
      <c r="N561" s="247">
        <f>N367</f>
        <v>0</v>
      </c>
    </row>
    <row r="562" spans="2:19" x14ac:dyDescent="0.25">
      <c r="N562" s="262"/>
    </row>
    <row r="563" spans="2:19" x14ac:dyDescent="0.25">
      <c r="B563" t="s">
        <v>306</v>
      </c>
      <c r="K563" s="68" t="str">
        <f ca="1">IF(K569&lt;0.4,"See Adustment Table below...","")</f>
        <v/>
      </c>
      <c r="N563" s="247" t="str">
        <f ca="1">N553</f>
        <v>Below Minimum</v>
      </c>
    </row>
    <row r="564" spans="2:19" x14ac:dyDescent="0.25">
      <c r="N564" s="262"/>
    </row>
    <row r="565" spans="2:19" x14ac:dyDescent="0.25">
      <c r="B565" t="s">
        <v>307</v>
      </c>
      <c r="N565" s="247">
        <f>SUM(N343:N363)</f>
        <v>0</v>
      </c>
    </row>
    <row r="566" spans="2:19" x14ac:dyDescent="0.25">
      <c r="N566" s="262"/>
    </row>
    <row r="567" spans="2:19" ht="13.5" thickBot="1" x14ac:dyDescent="0.35">
      <c r="B567" s="132" t="s">
        <v>308</v>
      </c>
      <c r="N567" s="263">
        <f ca="1">SUM(N561,N563,N565)</f>
        <v>0</v>
      </c>
      <c r="Q567" s="239"/>
      <c r="S567" s="130"/>
    </row>
    <row r="568" spans="2:19" ht="13" thickTop="1" x14ac:dyDescent="0.25">
      <c r="N568" s="262"/>
      <c r="Q568" s="239"/>
    </row>
    <row r="569" spans="2:19" ht="13.5" thickBot="1" x14ac:dyDescent="0.35">
      <c r="B569" s="132" t="s">
        <v>309</v>
      </c>
      <c r="J569" s="264" t="s">
        <v>310</v>
      </c>
      <c r="K569" s="265" t="str">
        <f ca="1">IF(N(N569)=0,"",N569/Developer_fee_total)</f>
        <v/>
      </c>
      <c r="N569" s="266" t="str">
        <f ca="1">IF(N(N559)=0,"",IF(N559-N567&lt;0,0,N559-N567))</f>
        <v/>
      </c>
    </row>
    <row r="570" spans="2:19" ht="7" customHeight="1" thickTop="1" x14ac:dyDescent="0.25">
      <c r="E570" s="304"/>
      <c r="F570" s="304"/>
      <c r="G570" s="304"/>
      <c r="H570" s="304"/>
      <c r="I570" s="304"/>
      <c r="J570" s="304"/>
      <c r="K570" s="304"/>
      <c r="L570" s="304"/>
      <c r="M570" s="304"/>
    </row>
    <row r="571" spans="2:19" ht="21" customHeight="1" x14ac:dyDescent="0.25">
      <c r="E571" s="429" t="str">
        <f ca="1">IF(N(K569)=0,"",IF(K569&lt;0.4,"After Viability Loan Sizing, the resulting deferred Developer Fee must be increased to meet the minimum of 40% TDF. See table below for adjusted DDF and Qualified Viability Loan amounts.",IF(AND(K569&gt;=0.4,K569&lt;=1),"After Viability Loan sizing, a Permanent Funding shortfall of "&amp;TEXT(N(N569),"$#,##0")&amp;" or "&amp;TEXT(N569/Developer_fee_total,"0.00%")&amp;" of TDF remains to be offset by DDF. Final Qualifying Viability Loan is "&amp;TEXT(N(N563),"$#,##0")&amp;", and Final deferred Developer Fee is "&amp;TEXT(N(N569),"$#,##0")&amp;".",IF(K569&gt;=1,"After Viability Loan Sizing and deferring 100% of the Total Developer Fee, a Permanent Funding Shortfall remains. The Application is ineligible.",""))))</f>
        <v/>
      </c>
      <c r="F571" s="429"/>
      <c r="G571" s="429"/>
      <c r="H571" s="429"/>
      <c r="I571" s="429"/>
      <c r="J571" s="429"/>
      <c r="K571" s="429"/>
      <c r="L571" s="429"/>
      <c r="M571" s="429"/>
      <c r="N571" s="429"/>
    </row>
    <row r="572" spans="2:19" ht="15" customHeight="1" x14ac:dyDescent="0.25">
      <c r="E572" s="429"/>
      <c r="F572" s="429"/>
      <c r="G572" s="429"/>
      <c r="H572" s="429"/>
      <c r="I572" s="429"/>
      <c r="J572" s="429"/>
      <c r="K572" s="429"/>
      <c r="L572" s="429"/>
      <c r="M572" s="429"/>
      <c r="N572" s="429"/>
    </row>
    <row r="573" spans="2:19" ht="15" customHeight="1" x14ac:dyDescent="0.25">
      <c r="E573" s="429"/>
      <c r="F573" s="429"/>
      <c r="G573" s="429"/>
      <c r="H573" s="429"/>
      <c r="I573" s="429"/>
      <c r="J573" s="429"/>
      <c r="K573" s="429"/>
      <c r="L573" s="429"/>
      <c r="M573" s="429"/>
      <c r="N573" s="429"/>
    </row>
    <row r="574" spans="2:19" ht="15" customHeight="1" x14ac:dyDescent="0.25">
      <c r="C574" s="301"/>
      <c r="D574" s="301"/>
      <c r="E574" s="429"/>
      <c r="F574" s="429"/>
      <c r="G574" s="429"/>
      <c r="H574" s="429"/>
      <c r="I574" s="429"/>
      <c r="J574" s="429"/>
      <c r="K574" s="429"/>
      <c r="L574" s="429"/>
      <c r="M574" s="429"/>
      <c r="N574" s="429"/>
    </row>
    <row r="575" spans="2:19" ht="7" customHeight="1" x14ac:dyDescent="0.25">
      <c r="C575" s="301"/>
      <c r="D575" s="301"/>
      <c r="E575" s="301"/>
      <c r="F575" s="301"/>
      <c r="G575" s="301"/>
      <c r="H575" s="301"/>
      <c r="I575" s="301"/>
      <c r="J575" s="301"/>
      <c r="K575" s="301"/>
      <c r="L575" s="301"/>
      <c r="M575" s="301"/>
      <c r="N575" s="301"/>
      <c r="O575" s="215"/>
      <c r="P575" s="215"/>
    </row>
    <row r="576" spans="2:19" x14ac:dyDescent="0.25">
      <c r="C576" s="302"/>
      <c r="D576" s="302"/>
      <c r="E576" s="302"/>
      <c r="F576" s="302"/>
      <c r="G576" s="302"/>
      <c r="H576" s="302"/>
      <c r="I576" s="302"/>
      <c r="J576" s="302"/>
      <c r="K576" s="302"/>
      <c r="L576" s="302"/>
      <c r="M576" s="302"/>
      <c r="N576" s="302"/>
    </row>
    <row r="611" spans="2:17" ht="13" thickBot="1" x14ac:dyDescent="0.3">
      <c r="B611" s="422" t="s">
        <v>311</v>
      </c>
      <c r="C611" s="422"/>
      <c r="D611" s="422"/>
      <c r="E611" s="422"/>
      <c r="F611" s="422"/>
      <c r="G611" s="422"/>
      <c r="H611" s="422"/>
      <c r="I611" s="422"/>
      <c r="J611" s="422"/>
      <c r="K611" s="422"/>
      <c r="L611" s="422"/>
      <c r="M611" s="422"/>
      <c r="N611" s="422"/>
    </row>
    <row r="613" spans="2:17" x14ac:dyDescent="0.25">
      <c r="C613" t="s">
        <v>202</v>
      </c>
      <c r="E613" t="s">
        <v>312</v>
      </c>
      <c r="F613" t="s">
        <v>313</v>
      </c>
    </row>
    <row r="614" spans="2:17" x14ac:dyDescent="0.25">
      <c r="C614" t="s">
        <v>190</v>
      </c>
      <c r="E614" s="267">
        <v>0.21</v>
      </c>
      <c r="F614" s="268" t="s">
        <v>314</v>
      </c>
      <c r="K614" s="268" t="s">
        <v>315</v>
      </c>
      <c r="N614" t="s">
        <v>202</v>
      </c>
    </row>
    <row r="615" spans="2:17" x14ac:dyDescent="0.25">
      <c r="C615" t="s">
        <v>316</v>
      </c>
      <c r="E615" s="267">
        <v>0.18</v>
      </c>
      <c r="F615" s="268" t="s">
        <v>317</v>
      </c>
      <c r="K615" s="268" t="s">
        <v>318</v>
      </c>
      <c r="N615" t="s">
        <v>190</v>
      </c>
    </row>
    <row r="616" spans="2:17" x14ac:dyDescent="0.25">
      <c r="C616" t="s">
        <v>319</v>
      </c>
      <c r="E616" s="267">
        <v>0.16</v>
      </c>
      <c r="F616" s="268" t="s">
        <v>27</v>
      </c>
      <c r="K616" s="268" t="s">
        <v>320</v>
      </c>
      <c r="N616" t="s">
        <v>316</v>
      </c>
    </row>
    <row r="617" spans="2:17" ht="13" x14ac:dyDescent="0.3">
      <c r="E617" s="269"/>
      <c r="F617" s="268" t="s">
        <v>321</v>
      </c>
      <c r="K617" s="268" t="s">
        <v>322</v>
      </c>
    </row>
    <row r="619" spans="2:17" x14ac:dyDescent="0.25">
      <c r="H619" s="270"/>
      <c r="K619" t="str">
        <f>IF(OR(K390="Broward",K390="Miami-Dade"),"SF","PF")&amp;"-"&amp;IF(OR(K36="New Construction (w/ or w/o Acquisition)",K36="Redevelopment (w/ or w/o Acquisition)"),"NC","RC")&amp;"-"&amp;IF(K411=K614,"GA",IF(OR(K36="New Construction (w/ or w/o Acquisition)",K36="Redevelopment (w/ or w/o Acquisition)"),IF(OR(K411=K615,K411=K617),"MR","HR"),"NG"))&amp;"-"&amp;IF(OR(K36="Rehabilitation (w/ or w/o Acquisition)",K36="Preservation (w/ or w/o Acquisition)",K36=F613,K36=F616,K36=F617),"",IF(OR(K415=C614,K411=K616),"ESSC","W"))</f>
        <v>PF-RC-NG-</v>
      </c>
    </row>
    <row r="620" spans="2:17" ht="13" x14ac:dyDescent="0.3">
      <c r="E620" t="s">
        <v>202</v>
      </c>
      <c r="F620" s="271" t="s">
        <v>323</v>
      </c>
      <c r="G620" s="272"/>
      <c r="H620" s="272"/>
      <c r="N620" s="273" t="s">
        <v>324</v>
      </c>
      <c r="Q620" s="46"/>
    </row>
    <row r="621" spans="2:17" x14ac:dyDescent="0.25">
      <c r="E621" s="274" t="s">
        <v>325</v>
      </c>
      <c r="F621" t="s">
        <v>326</v>
      </c>
      <c r="G621" s="272"/>
      <c r="H621" s="275"/>
      <c r="K621" t="s">
        <v>327</v>
      </c>
      <c r="N621" s="276">
        <v>264300</v>
      </c>
      <c r="Q621" s="274"/>
    </row>
    <row r="622" spans="2:17" x14ac:dyDescent="0.25">
      <c r="E622" s="274" t="s">
        <v>328</v>
      </c>
      <c r="F622" t="s">
        <v>329</v>
      </c>
      <c r="G622" s="272"/>
      <c r="H622" s="275"/>
      <c r="K622" t="s">
        <v>330</v>
      </c>
      <c r="N622" s="276">
        <v>219600</v>
      </c>
      <c r="Q622" s="274"/>
    </row>
    <row r="623" spans="2:17" x14ac:dyDescent="0.25">
      <c r="E623" s="274" t="s">
        <v>331</v>
      </c>
      <c r="F623" t="s">
        <v>326</v>
      </c>
      <c r="G623" s="272"/>
      <c r="H623" s="275"/>
      <c r="K623" t="s">
        <v>332</v>
      </c>
      <c r="N623" s="276">
        <v>328000</v>
      </c>
      <c r="Q623" s="274"/>
    </row>
    <row r="624" spans="2:17" x14ac:dyDescent="0.25">
      <c r="E624" s="274" t="s">
        <v>333</v>
      </c>
      <c r="F624" t="s">
        <v>329</v>
      </c>
      <c r="G624" s="272"/>
      <c r="H624" s="275"/>
      <c r="K624" t="s">
        <v>334</v>
      </c>
      <c r="N624" s="276">
        <v>292100</v>
      </c>
      <c r="Q624" s="274"/>
    </row>
    <row r="625" spans="5:17" x14ac:dyDescent="0.25">
      <c r="E625" s="274" t="s">
        <v>335</v>
      </c>
      <c r="F625" t="s">
        <v>326</v>
      </c>
      <c r="G625" s="272"/>
      <c r="H625" s="275"/>
      <c r="K625" t="s">
        <v>336</v>
      </c>
      <c r="N625" s="276">
        <v>264300</v>
      </c>
      <c r="Q625" s="274"/>
    </row>
    <row r="626" spans="5:17" x14ac:dyDescent="0.25">
      <c r="E626" s="274" t="s">
        <v>215</v>
      </c>
      <c r="F626" t="s">
        <v>337</v>
      </c>
      <c r="G626" s="272"/>
      <c r="H626" s="275"/>
      <c r="K626" t="s">
        <v>338</v>
      </c>
      <c r="N626" s="276">
        <v>124500</v>
      </c>
      <c r="Q626" s="274"/>
    </row>
    <row r="627" spans="5:17" x14ac:dyDescent="0.25">
      <c r="E627" s="274" t="s">
        <v>339</v>
      </c>
      <c r="F627" t="s">
        <v>329</v>
      </c>
      <c r="G627" s="272"/>
      <c r="H627" s="275"/>
      <c r="K627" s="277" t="s">
        <v>340</v>
      </c>
      <c r="L627" s="277"/>
      <c r="M627" s="277"/>
      <c r="N627" s="276">
        <v>187800</v>
      </c>
      <c r="Q627" s="274"/>
    </row>
    <row r="628" spans="5:17" x14ac:dyDescent="0.25">
      <c r="E628" s="274" t="s">
        <v>341</v>
      </c>
      <c r="F628" t="s">
        <v>326</v>
      </c>
      <c r="G628" s="272"/>
      <c r="H628" s="275"/>
      <c r="K628" s="2" t="s">
        <v>342</v>
      </c>
      <c r="L628" s="278"/>
      <c r="M628" s="278"/>
      <c r="N628" s="276">
        <v>277200</v>
      </c>
      <c r="Q628" s="274"/>
    </row>
    <row r="629" spans="5:17" x14ac:dyDescent="0.25">
      <c r="E629" s="274" t="s">
        <v>343</v>
      </c>
      <c r="F629" t="s">
        <v>326</v>
      </c>
      <c r="G629" s="272"/>
      <c r="H629" s="275"/>
      <c r="K629" s="2" t="s">
        <v>344</v>
      </c>
      <c r="L629" s="278"/>
      <c r="M629" s="278"/>
      <c r="N629" s="276">
        <v>231300</v>
      </c>
      <c r="Q629" s="274"/>
    </row>
    <row r="630" spans="5:17" x14ac:dyDescent="0.25">
      <c r="E630" s="274" t="s">
        <v>345</v>
      </c>
      <c r="F630" t="s">
        <v>326</v>
      </c>
      <c r="G630" s="272"/>
      <c r="H630" s="275"/>
      <c r="K630" s="2" t="s">
        <v>346</v>
      </c>
      <c r="L630" s="278"/>
      <c r="M630" s="278"/>
      <c r="N630" s="276">
        <v>343000</v>
      </c>
      <c r="Q630" s="274"/>
    </row>
    <row r="631" spans="5:17" x14ac:dyDescent="0.25">
      <c r="E631" s="274" t="s">
        <v>347</v>
      </c>
      <c r="F631" t="s">
        <v>326</v>
      </c>
      <c r="G631" s="272"/>
      <c r="H631" s="275"/>
      <c r="K631" s="2" t="s">
        <v>348</v>
      </c>
      <c r="L631" s="278"/>
      <c r="M631" s="278"/>
      <c r="N631" s="276">
        <v>305900</v>
      </c>
      <c r="Q631" s="274"/>
    </row>
    <row r="632" spans="5:17" x14ac:dyDescent="0.25">
      <c r="E632" s="279" t="s">
        <v>349</v>
      </c>
      <c r="F632" t="s">
        <v>329</v>
      </c>
      <c r="G632" s="272"/>
      <c r="H632" s="275"/>
      <c r="K632" s="2" t="s">
        <v>350</v>
      </c>
      <c r="L632" s="278"/>
      <c r="M632" s="278"/>
      <c r="N632" s="276">
        <v>277200</v>
      </c>
      <c r="Q632" s="279"/>
    </row>
    <row r="633" spans="5:17" x14ac:dyDescent="0.25">
      <c r="E633" s="279" t="s">
        <v>351</v>
      </c>
      <c r="F633" t="s">
        <v>329</v>
      </c>
      <c r="G633" s="272"/>
      <c r="H633" s="275"/>
      <c r="K633" s="2" t="s">
        <v>352</v>
      </c>
      <c r="L633" s="278"/>
      <c r="M633" s="278"/>
      <c r="N633" s="276">
        <v>130200</v>
      </c>
      <c r="Q633" s="279"/>
    </row>
    <row r="634" spans="5:17" x14ac:dyDescent="0.25">
      <c r="E634" s="279" t="s">
        <v>353</v>
      </c>
      <c r="F634" t="s">
        <v>329</v>
      </c>
      <c r="G634" s="272"/>
      <c r="H634" s="275"/>
      <c r="K634" s="2" t="s">
        <v>354</v>
      </c>
      <c r="L634" s="278"/>
      <c r="M634" s="278"/>
      <c r="N634" s="276">
        <v>197100</v>
      </c>
      <c r="Q634" s="279"/>
    </row>
    <row r="635" spans="5:17" x14ac:dyDescent="0.25">
      <c r="E635" s="279" t="s">
        <v>355</v>
      </c>
      <c r="F635" t="s">
        <v>337</v>
      </c>
      <c r="G635" s="272"/>
      <c r="H635" s="275"/>
      <c r="Q635" s="279"/>
    </row>
    <row r="636" spans="5:17" x14ac:dyDescent="0.25">
      <c r="E636" s="279" t="s">
        <v>356</v>
      </c>
      <c r="F636" t="s">
        <v>326</v>
      </c>
      <c r="G636" s="272"/>
      <c r="H636" s="275"/>
      <c r="K636" s="2" t="s">
        <v>357</v>
      </c>
      <c r="L636" s="2"/>
      <c r="M636" s="2"/>
      <c r="N636" s="276">
        <v>5000</v>
      </c>
      <c r="Q636" s="279"/>
    </row>
    <row r="637" spans="5:17" x14ac:dyDescent="0.25">
      <c r="E637" s="279" t="s">
        <v>358</v>
      </c>
      <c r="F637" t="s">
        <v>326</v>
      </c>
      <c r="G637" s="272"/>
      <c r="H637" s="275"/>
      <c r="K637" s="2" t="s">
        <v>359</v>
      </c>
      <c r="L637" s="2"/>
      <c r="M637" s="2"/>
      <c r="N637" s="276">
        <v>5000</v>
      </c>
      <c r="Q637" s="279"/>
    </row>
    <row r="638" spans="5:17" x14ac:dyDescent="0.25">
      <c r="E638" s="279" t="s">
        <v>360</v>
      </c>
      <c r="F638" t="s">
        <v>329</v>
      </c>
      <c r="G638" s="272"/>
      <c r="H638" s="275"/>
      <c r="K638" s="2" t="s">
        <v>361</v>
      </c>
      <c r="L638" s="2"/>
      <c r="M638" s="2"/>
      <c r="N638" s="280">
        <v>0.65</v>
      </c>
      <c r="Q638" s="279"/>
    </row>
    <row r="639" spans="5:17" x14ac:dyDescent="0.25">
      <c r="E639" s="279" t="s">
        <v>362</v>
      </c>
      <c r="F639" t="s">
        <v>329</v>
      </c>
      <c r="G639" s="272"/>
      <c r="H639" s="275"/>
      <c r="K639" s="2" t="s">
        <v>363</v>
      </c>
      <c r="L639" s="2"/>
      <c r="M639" s="2"/>
      <c r="N639" s="280">
        <v>0.5</v>
      </c>
      <c r="Q639" s="279"/>
    </row>
    <row r="640" spans="5:17" x14ac:dyDescent="0.25">
      <c r="E640" s="279" t="s">
        <v>364</v>
      </c>
      <c r="F640" t="s">
        <v>329</v>
      </c>
      <c r="G640" s="272"/>
      <c r="H640" s="275"/>
      <c r="K640" s="2" t="s">
        <v>365</v>
      </c>
      <c r="L640" s="2"/>
      <c r="M640" s="2"/>
      <c r="N640" s="280">
        <v>0.9</v>
      </c>
      <c r="Q640" s="279"/>
    </row>
    <row r="641" spans="5:17" x14ac:dyDescent="0.25">
      <c r="E641" s="279" t="s">
        <v>366</v>
      </c>
      <c r="F641" t="s">
        <v>329</v>
      </c>
      <c r="G641" s="272"/>
      <c r="H641" s="275"/>
      <c r="K641" s="2" t="s">
        <v>367</v>
      </c>
      <c r="L641" s="2"/>
      <c r="M641" s="2"/>
      <c r="N641" s="280">
        <v>0.9</v>
      </c>
      <c r="Q641" s="279"/>
    </row>
    <row r="642" spans="5:17" x14ac:dyDescent="0.25">
      <c r="E642" s="279" t="s">
        <v>368</v>
      </c>
      <c r="F642" t="s">
        <v>329</v>
      </c>
      <c r="G642" s="272"/>
      <c r="H642" s="275"/>
      <c r="K642" s="2" t="s">
        <v>369</v>
      </c>
      <c r="L642" s="2"/>
      <c r="M642" s="2"/>
      <c r="N642" s="281">
        <v>0.6</v>
      </c>
      <c r="Q642" s="279"/>
    </row>
    <row r="643" spans="5:17" x14ac:dyDescent="0.25">
      <c r="E643" s="279" t="s">
        <v>370</v>
      </c>
      <c r="F643" t="s">
        <v>329</v>
      </c>
      <c r="G643" s="272"/>
      <c r="H643" s="275"/>
      <c r="K643" s="2" t="s">
        <v>371</v>
      </c>
      <c r="L643" s="2"/>
      <c r="M643" s="2"/>
      <c r="N643" s="280">
        <v>0.9</v>
      </c>
      <c r="Q643" s="279"/>
    </row>
    <row r="644" spans="5:17" x14ac:dyDescent="0.25">
      <c r="E644" s="279" t="s">
        <v>372</v>
      </c>
      <c r="F644" t="s">
        <v>329</v>
      </c>
      <c r="G644" s="272"/>
      <c r="H644" s="275"/>
      <c r="K644" s="2" t="s">
        <v>373</v>
      </c>
      <c r="L644" s="2"/>
      <c r="M644" s="2"/>
      <c r="N644" s="280">
        <v>0.9</v>
      </c>
      <c r="Q644" s="279"/>
    </row>
    <row r="645" spans="5:17" x14ac:dyDescent="0.25">
      <c r="E645" s="279" t="s">
        <v>374</v>
      </c>
      <c r="F645" t="s">
        <v>329</v>
      </c>
      <c r="G645" s="272"/>
      <c r="H645" s="275"/>
      <c r="K645" s="2" t="s">
        <v>375</v>
      </c>
      <c r="L645" s="2"/>
      <c r="M645" s="2"/>
      <c r="N645" s="280">
        <v>0.95</v>
      </c>
      <c r="Q645" s="279"/>
    </row>
    <row r="646" spans="5:17" x14ac:dyDescent="0.25">
      <c r="E646" s="279" t="s">
        <v>376</v>
      </c>
      <c r="F646" t="s">
        <v>326</v>
      </c>
      <c r="G646" s="272"/>
      <c r="H646" s="275"/>
      <c r="K646" s="177" t="s">
        <v>377</v>
      </c>
      <c r="L646" s="2"/>
      <c r="M646" s="2"/>
      <c r="N646" s="280">
        <v>0.9</v>
      </c>
      <c r="Q646" s="279"/>
    </row>
    <row r="647" spans="5:17" x14ac:dyDescent="0.25">
      <c r="E647" s="279" t="s">
        <v>378</v>
      </c>
      <c r="F647" t="s">
        <v>326</v>
      </c>
      <c r="G647" s="272"/>
      <c r="H647" s="275"/>
      <c r="K647" s="177" t="s">
        <v>379</v>
      </c>
      <c r="L647" s="2"/>
      <c r="M647" s="2"/>
      <c r="N647" s="280">
        <v>0.95</v>
      </c>
      <c r="Q647" s="279"/>
    </row>
    <row r="648" spans="5:17" x14ac:dyDescent="0.25">
      <c r="E648" s="279" t="s">
        <v>380</v>
      </c>
      <c r="F648" t="s">
        <v>337</v>
      </c>
      <c r="G648" s="272"/>
      <c r="H648" s="275"/>
      <c r="Q648" s="279"/>
    </row>
    <row r="649" spans="5:17" x14ac:dyDescent="0.25">
      <c r="E649" s="279" t="s">
        <v>381</v>
      </c>
      <c r="F649" t="s">
        <v>329</v>
      </c>
      <c r="G649" s="272"/>
      <c r="H649" s="275"/>
      <c r="K649" s="278"/>
      <c r="Q649" s="279"/>
    </row>
    <row r="650" spans="5:17" x14ac:dyDescent="0.25">
      <c r="E650" s="279" t="s">
        <v>382</v>
      </c>
      <c r="F650" t="s">
        <v>326</v>
      </c>
      <c r="G650" s="272"/>
      <c r="H650" s="275"/>
      <c r="Q650" s="279"/>
    </row>
    <row r="651" spans="5:17" x14ac:dyDescent="0.25">
      <c r="E651" s="279" t="s">
        <v>383</v>
      </c>
      <c r="F651" t="s">
        <v>329</v>
      </c>
      <c r="G651" s="272"/>
      <c r="H651" s="275"/>
      <c r="K651" s="372" t="s">
        <v>202</v>
      </c>
      <c r="L651" s="372"/>
      <c r="M651" s="372"/>
      <c r="Q651" s="279"/>
    </row>
    <row r="652" spans="5:17" x14ac:dyDescent="0.25">
      <c r="E652" s="279" t="s">
        <v>384</v>
      </c>
      <c r="F652" t="s">
        <v>329</v>
      </c>
      <c r="G652" s="272"/>
      <c r="H652" s="275"/>
      <c r="K652" s="423" t="s">
        <v>385</v>
      </c>
      <c r="L652" s="423"/>
      <c r="M652" s="423"/>
      <c r="Q652" s="279"/>
    </row>
    <row r="653" spans="5:17" x14ac:dyDescent="0.25">
      <c r="E653" s="279" t="s">
        <v>386</v>
      </c>
      <c r="F653" t="s">
        <v>329</v>
      </c>
      <c r="G653" s="272"/>
      <c r="H653" s="275"/>
      <c r="Q653" s="279"/>
    </row>
    <row r="654" spans="5:17" x14ac:dyDescent="0.25">
      <c r="E654" s="279" t="s">
        <v>387</v>
      </c>
      <c r="F654" t="s">
        <v>326</v>
      </c>
      <c r="G654" s="272"/>
      <c r="H654" s="275"/>
      <c r="Q654" s="279"/>
    </row>
    <row r="655" spans="5:17" x14ac:dyDescent="0.25">
      <c r="E655" s="279" t="s">
        <v>388</v>
      </c>
      <c r="F655" t="s">
        <v>326</v>
      </c>
      <c r="G655" s="272"/>
      <c r="H655" s="275"/>
      <c r="K655" t="s">
        <v>202</v>
      </c>
      <c r="Q655" s="279"/>
    </row>
    <row r="656" spans="5:17" x14ac:dyDescent="0.25">
      <c r="E656" s="279" t="s">
        <v>389</v>
      </c>
      <c r="F656" t="s">
        <v>326</v>
      </c>
      <c r="G656" s="272"/>
      <c r="H656" s="275"/>
      <c r="K656" t="s">
        <v>390</v>
      </c>
      <c r="Q656" s="279"/>
    </row>
    <row r="657" spans="5:17" x14ac:dyDescent="0.25">
      <c r="E657" s="279" t="s">
        <v>391</v>
      </c>
      <c r="F657" t="s">
        <v>329</v>
      </c>
      <c r="G657" s="272"/>
      <c r="H657" s="275"/>
      <c r="K657" t="s">
        <v>392</v>
      </c>
      <c r="Q657" s="279"/>
    </row>
    <row r="658" spans="5:17" x14ac:dyDescent="0.25">
      <c r="E658" s="279" t="s">
        <v>393</v>
      </c>
      <c r="F658" t="s">
        <v>329</v>
      </c>
      <c r="G658" s="272"/>
      <c r="H658" s="275"/>
      <c r="Q658" s="279"/>
    </row>
    <row r="659" spans="5:17" x14ac:dyDescent="0.25">
      <c r="E659" s="279" t="s">
        <v>394</v>
      </c>
      <c r="F659" t="s">
        <v>329</v>
      </c>
      <c r="G659" s="272"/>
      <c r="H659" s="275"/>
      <c r="K659" s="313" t="s">
        <v>313</v>
      </c>
      <c r="L659" s="313"/>
      <c r="M659" s="313"/>
      <c r="N659" s="313"/>
      <c r="Q659" s="279"/>
    </row>
    <row r="660" spans="5:17" x14ac:dyDescent="0.25">
      <c r="E660" s="279" t="s">
        <v>395</v>
      </c>
      <c r="F660" t="s">
        <v>326</v>
      </c>
      <c r="G660" s="272"/>
      <c r="H660" s="275"/>
      <c r="K660" s="282" t="s">
        <v>396</v>
      </c>
      <c r="Q660" s="279"/>
    </row>
    <row r="661" spans="5:17" x14ac:dyDescent="0.25">
      <c r="E661" s="279" t="s">
        <v>397</v>
      </c>
      <c r="F661" t="s">
        <v>326</v>
      </c>
      <c r="G661" s="272"/>
      <c r="H661" s="275"/>
      <c r="K661" s="419" t="s">
        <v>398</v>
      </c>
      <c r="L661" s="419"/>
      <c r="M661" s="419"/>
      <c r="Q661" s="279"/>
    </row>
    <row r="662" spans="5:17" x14ac:dyDescent="0.25">
      <c r="E662" s="279" t="s">
        <v>399</v>
      </c>
      <c r="F662" t="s">
        <v>326</v>
      </c>
      <c r="G662" s="272"/>
      <c r="H662" s="275"/>
      <c r="Q662" s="279"/>
    </row>
    <row r="663" spans="5:17" x14ac:dyDescent="0.25">
      <c r="E663" s="279" t="s">
        <v>400</v>
      </c>
      <c r="F663" t="s">
        <v>337</v>
      </c>
      <c r="G663" s="272"/>
      <c r="H663" s="275"/>
      <c r="K663" t="s">
        <v>401</v>
      </c>
      <c r="Q663" s="279"/>
    </row>
    <row r="664" spans="5:17" x14ac:dyDescent="0.25">
      <c r="E664" s="279" t="s">
        <v>402</v>
      </c>
      <c r="F664" t="s">
        <v>329</v>
      </c>
      <c r="G664" s="272"/>
      <c r="H664" s="275"/>
      <c r="Q664" s="279"/>
    </row>
    <row r="665" spans="5:17" x14ac:dyDescent="0.25">
      <c r="E665" s="279" t="s">
        <v>403</v>
      </c>
      <c r="F665" t="s">
        <v>329</v>
      </c>
      <c r="G665" s="272"/>
      <c r="H665" s="275"/>
      <c r="J665">
        <v>1</v>
      </c>
      <c r="K665" t="s">
        <v>202</v>
      </c>
      <c r="Q665" s="279"/>
    </row>
    <row r="666" spans="5:17" x14ac:dyDescent="0.25">
      <c r="E666" s="279" t="s">
        <v>404</v>
      </c>
      <c r="F666" t="s">
        <v>326</v>
      </c>
      <c r="G666" s="272"/>
      <c r="H666" s="275"/>
      <c r="J666">
        <v>2</v>
      </c>
      <c r="K666" t="s">
        <v>405</v>
      </c>
      <c r="Q666" s="279"/>
    </row>
    <row r="667" spans="5:17" x14ac:dyDescent="0.25">
      <c r="E667" s="279" t="s">
        <v>406</v>
      </c>
      <c r="F667" t="s">
        <v>329</v>
      </c>
      <c r="G667" s="272"/>
      <c r="H667" s="275"/>
      <c r="J667">
        <v>3</v>
      </c>
      <c r="K667" t="s">
        <v>407</v>
      </c>
      <c r="Q667" s="279"/>
    </row>
    <row r="668" spans="5:17" x14ac:dyDescent="0.25">
      <c r="E668" s="279" t="s">
        <v>408</v>
      </c>
      <c r="F668" t="s">
        <v>337</v>
      </c>
      <c r="G668" s="272"/>
      <c r="H668" s="275"/>
      <c r="J668">
        <v>4</v>
      </c>
      <c r="K668" t="s">
        <v>409</v>
      </c>
      <c r="Q668" s="279"/>
    </row>
    <row r="669" spans="5:17" x14ac:dyDescent="0.25">
      <c r="E669" s="279" t="s">
        <v>410</v>
      </c>
      <c r="F669" t="s">
        <v>326</v>
      </c>
      <c r="G669" s="272"/>
      <c r="H669" s="275"/>
      <c r="J669">
        <v>5</v>
      </c>
      <c r="K669" t="s">
        <v>411</v>
      </c>
      <c r="Q669" s="279"/>
    </row>
    <row r="670" spans="5:17" x14ac:dyDescent="0.25">
      <c r="E670" s="279" t="s">
        <v>412</v>
      </c>
      <c r="F670" t="s">
        <v>337</v>
      </c>
      <c r="G670" s="272"/>
      <c r="H670" s="275"/>
      <c r="J670">
        <v>6</v>
      </c>
      <c r="K670" t="s">
        <v>413</v>
      </c>
      <c r="Q670" s="279"/>
    </row>
    <row r="671" spans="5:17" x14ac:dyDescent="0.25">
      <c r="E671" s="279" t="s">
        <v>414</v>
      </c>
      <c r="F671" t="s">
        <v>326</v>
      </c>
      <c r="G671" s="272"/>
      <c r="H671" s="275"/>
      <c r="J671">
        <v>7</v>
      </c>
      <c r="K671" t="s">
        <v>415</v>
      </c>
      <c r="Q671" s="279"/>
    </row>
    <row r="672" spans="5:17" x14ac:dyDescent="0.25">
      <c r="E672" s="279" t="s">
        <v>416</v>
      </c>
      <c r="F672" t="s">
        <v>337</v>
      </c>
      <c r="G672" s="272"/>
      <c r="H672" s="275"/>
      <c r="J672">
        <v>8</v>
      </c>
      <c r="K672" t="s">
        <v>417</v>
      </c>
      <c r="Q672" s="279"/>
    </row>
    <row r="673" spans="5:17" x14ac:dyDescent="0.25">
      <c r="E673" s="279" t="s">
        <v>418</v>
      </c>
      <c r="F673" t="s">
        <v>326</v>
      </c>
      <c r="G673" s="272"/>
      <c r="H673" s="275"/>
      <c r="J673">
        <v>9</v>
      </c>
      <c r="K673" t="s">
        <v>419</v>
      </c>
      <c r="Q673" s="279"/>
    </row>
    <row r="674" spans="5:17" x14ac:dyDescent="0.25">
      <c r="E674" s="279" t="s">
        <v>420</v>
      </c>
      <c r="F674" t="s">
        <v>329</v>
      </c>
      <c r="G674" s="272"/>
      <c r="H674" s="275"/>
      <c r="J674">
        <v>10</v>
      </c>
      <c r="K674" t="s">
        <v>421</v>
      </c>
      <c r="Q674" s="279"/>
    </row>
    <row r="675" spans="5:17" x14ac:dyDescent="0.25">
      <c r="E675" s="279" t="s">
        <v>422</v>
      </c>
      <c r="F675" t="s">
        <v>326</v>
      </c>
      <c r="G675" s="272"/>
      <c r="H675" s="275"/>
      <c r="J675">
        <v>11</v>
      </c>
      <c r="K675" t="s">
        <v>423</v>
      </c>
      <c r="Q675" s="279"/>
    </row>
    <row r="676" spans="5:17" x14ac:dyDescent="0.25">
      <c r="E676" s="279" t="s">
        <v>424</v>
      </c>
      <c r="F676" t="s">
        <v>326</v>
      </c>
      <c r="G676" s="272"/>
      <c r="H676" s="275"/>
      <c r="J676">
        <v>12</v>
      </c>
      <c r="K676" t="s">
        <v>425</v>
      </c>
      <c r="Q676" s="279"/>
    </row>
    <row r="677" spans="5:17" x14ac:dyDescent="0.25">
      <c r="E677" s="279" t="s">
        <v>426</v>
      </c>
      <c r="F677" t="s">
        <v>326</v>
      </c>
      <c r="G677" s="272"/>
      <c r="H677" s="275"/>
      <c r="J677">
        <v>13</v>
      </c>
      <c r="K677" t="s">
        <v>427</v>
      </c>
      <c r="Q677" s="279"/>
    </row>
    <row r="678" spans="5:17" x14ac:dyDescent="0.25">
      <c r="E678" s="279" t="s">
        <v>428</v>
      </c>
      <c r="F678" t="s">
        <v>326</v>
      </c>
      <c r="G678" s="272"/>
      <c r="H678" s="275"/>
      <c r="J678">
        <v>14</v>
      </c>
      <c r="K678" t="s">
        <v>429</v>
      </c>
      <c r="Q678" s="279"/>
    </row>
    <row r="679" spans="5:17" x14ac:dyDescent="0.25">
      <c r="E679" s="279" t="s">
        <v>430</v>
      </c>
      <c r="F679" t="s">
        <v>326</v>
      </c>
      <c r="G679" s="272"/>
      <c r="H679" s="275"/>
      <c r="J679">
        <v>15</v>
      </c>
      <c r="K679" t="s">
        <v>431</v>
      </c>
      <c r="Q679" s="279"/>
    </row>
    <row r="680" spans="5:17" x14ac:dyDescent="0.25">
      <c r="E680" s="279" t="s">
        <v>432</v>
      </c>
      <c r="F680" t="s">
        <v>326</v>
      </c>
      <c r="G680" s="272"/>
      <c r="H680" s="275"/>
      <c r="J680">
        <f>J679+1</f>
        <v>16</v>
      </c>
      <c r="K680" t="s">
        <v>433</v>
      </c>
      <c r="Q680" s="279"/>
    </row>
    <row r="681" spans="5:17" x14ac:dyDescent="0.25">
      <c r="E681" s="279" t="s">
        <v>434</v>
      </c>
      <c r="F681" t="s">
        <v>329</v>
      </c>
      <c r="G681" s="272"/>
      <c r="H681" s="275"/>
      <c r="J681">
        <f>J680+1</f>
        <v>17</v>
      </c>
      <c r="K681" t="s">
        <v>435</v>
      </c>
      <c r="Q681" s="279"/>
    </row>
    <row r="682" spans="5:17" x14ac:dyDescent="0.25">
      <c r="E682" s="279" t="s">
        <v>436</v>
      </c>
      <c r="F682" t="s">
        <v>329</v>
      </c>
      <c r="G682" s="272"/>
      <c r="H682" s="275"/>
      <c r="J682">
        <v>18</v>
      </c>
      <c r="K682" t="s">
        <v>437</v>
      </c>
      <c r="Q682" s="279"/>
    </row>
    <row r="683" spans="5:17" x14ac:dyDescent="0.25">
      <c r="E683" s="279" t="s">
        <v>438</v>
      </c>
      <c r="F683" t="s">
        <v>329</v>
      </c>
      <c r="G683" s="272"/>
      <c r="H683" s="275"/>
      <c r="J683">
        <v>19</v>
      </c>
      <c r="K683" s="2" t="s">
        <v>439</v>
      </c>
      <c r="Q683" s="279"/>
    </row>
    <row r="684" spans="5:17" x14ac:dyDescent="0.25">
      <c r="E684" s="279" t="s">
        <v>440</v>
      </c>
      <c r="F684" t="s">
        <v>326</v>
      </c>
      <c r="G684" s="272"/>
      <c r="H684" s="275"/>
      <c r="J684">
        <v>20</v>
      </c>
      <c r="K684" s="2" t="s">
        <v>441</v>
      </c>
      <c r="Q684" s="279"/>
    </row>
    <row r="685" spans="5:17" x14ac:dyDescent="0.25">
      <c r="E685" s="279" t="s">
        <v>442</v>
      </c>
      <c r="F685" t="s">
        <v>329</v>
      </c>
      <c r="G685" s="272"/>
      <c r="H685" s="275"/>
      <c r="J685">
        <v>21</v>
      </c>
      <c r="K685" s="2" t="s">
        <v>443</v>
      </c>
      <c r="Q685" s="279"/>
    </row>
    <row r="686" spans="5:17" x14ac:dyDescent="0.25">
      <c r="E686" s="279" t="s">
        <v>444</v>
      </c>
      <c r="F686" t="s">
        <v>329</v>
      </c>
      <c r="G686" s="272"/>
      <c r="H686" s="275"/>
      <c r="J686">
        <v>22</v>
      </c>
      <c r="K686" t="s">
        <v>445</v>
      </c>
      <c r="Q686" s="279"/>
    </row>
    <row r="687" spans="5:17" x14ac:dyDescent="0.25">
      <c r="E687" s="279" t="s">
        <v>446</v>
      </c>
      <c r="F687" t="s">
        <v>329</v>
      </c>
      <c r="G687" s="272"/>
      <c r="H687" s="275"/>
      <c r="J687">
        <v>23</v>
      </c>
      <c r="K687" t="s">
        <v>447</v>
      </c>
      <c r="Q687" s="279"/>
    </row>
    <row r="688" spans="5:17" x14ac:dyDescent="0.25">
      <c r="E688" s="279"/>
      <c r="H688" s="283"/>
      <c r="J688">
        <v>24</v>
      </c>
      <c r="K688" t="s">
        <v>448</v>
      </c>
    </row>
    <row r="689" spans="5:14" x14ac:dyDescent="0.25">
      <c r="H689" s="284"/>
      <c r="J689">
        <v>25</v>
      </c>
      <c r="K689" t="s">
        <v>449</v>
      </c>
    </row>
    <row r="690" spans="5:14" x14ac:dyDescent="0.25">
      <c r="E690" s="296" t="s">
        <v>450</v>
      </c>
      <c r="F690" s="98"/>
      <c r="G690" s="98"/>
      <c r="H690" s="297">
        <v>0.05</v>
      </c>
      <c r="K690" s="272"/>
    </row>
    <row r="691" spans="5:14" x14ac:dyDescent="0.25">
      <c r="E691" s="296" t="s">
        <v>451</v>
      </c>
      <c r="F691" s="98"/>
      <c r="G691" s="98"/>
      <c r="H691" s="297">
        <v>0.15</v>
      </c>
    </row>
    <row r="692" spans="5:14" x14ac:dyDescent="0.25">
      <c r="E692" s="296" t="s">
        <v>452</v>
      </c>
      <c r="F692" s="98"/>
      <c r="G692" s="98"/>
      <c r="H692" s="298">
        <f>600000+400000*0</f>
        <v>600000</v>
      </c>
      <c r="K692" t="s">
        <v>453</v>
      </c>
    </row>
    <row r="693" spans="5:14" x14ac:dyDescent="0.25">
      <c r="E693" s="296" t="s">
        <v>454</v>
      </c>
      <c r="F693" s="98"/>
      <c r="G693" s="98"/>
      <c r="H693" s="299" t="e">
        <f>IF(OR(ConstrAnalysis__1st_Type=K$681,ConstrAnalysis__1st_Type=K$682,ConstrAnalysis__2nd_Type=K$681,ConstrAnalysis__2nd_Type=K$682,ConstrAnalysis__3rd_Type=K$681,ConstrAnalysis__3rd_Type=K$682,ConstrAnalysis__4th_Type=K$681,ConstrAnalysis__4th_Type=K$682,ConstrAnalysis__5th_Type=K$681,ConstrAnalysis__5th_Type=K$682,ConstrAnalysis__6th_Type=K$681,ConstrAnalysis__6th_Type=K$682,ConstrAnalysis__7th_Type=K$681,ConstrAnalysis__7th_Type=K$682,ConstrAnalysis__8th_Type=K$681,ConstrAnalysis__8th_Type=K$682,ConstrAnalysis__9th_Type=K$681,ConstrAnalysis__9th_Type=K$682,ConstrAnalysis_10th_Type=K$681,ConstrAnalysis_10th_Type=K$682),IF(SUMIF(K$293:K$315,K$681,H$293:H$315)+SUMIF(K$293:K$315,K$682,H$293:H$315)&gt;=MAX(1000000,50%*SUMIF(K$293:K$315,K$678,H$293:H$315)),"Yes","No"),"No")</f>
        <v>#NAME?</v>
      </c>
      <c r="K693" t="s">
        <v>455</v>
      </c>
      <c r="N693" t="s">
        <v>456</v>
      </c>
    </row>
    <row r="694" spans="5:14" x14ac:dyDescent="0.25">
      <c r="E694" s="296" t="s">
        <v>457</v>
      </c>
      <c r="F694" s="98"/>
      <c r="G694" s="98"/>
      <c r="H694" s="300" t="str">
        <f>IF(OR(PermAnalysis__1st_Type=K$681,PermAnalysis__1st_Type=K$682,PermAnalysis__2nd_Type=K$681,PermAnalysis__2nd_Type=K$682,PermAnalysis__3rd_Type=K$681,PermAnalysis__3rd_Type=K$682,PermAnalysis__4th_Type=K$681,PermAnalysis__4th_Type=K$682,PermAnalysis__5th_Type=K$681,PermAnalysis__5th_Type=K$682,PermAnalysis__6th_Type=K$681,PermAnalysis__6th_Type=K$682,PermAnalysis__7th_Type=K$681,PermAnalysis__7th_Type=K$682,PermAnalysis__8th_Type=K$681,PermAnalysis__8th_Type=K$682,PermAnalysis__9th_Type=K$681,PermAnalysis__9th_Type=K$682,PermAnalysis_10th_Type=K$681,PermAnalysis_10th_Type=K$682),IF(SUMIF(K$343:K$365,K$681,H$343:H$365)+SUMIF(K$343:K$365,K$682,H$343:H$365)&gt;=MAX(1000000,50%*SUMIF(K$343:K$365,K$678,H$343:H$365)),"Yes","No"),"No")</f>
        <v>No</v>
      </c>
      <c r="K694" t="s">
        <v>458</v>
      </c>
    </row>
    <row r="695" spans="5:14" x14ac:dyDescent="0.25">
      <c r="E695" s="296" t="s">
        <v>459</v>
      </c>
      <c r="F695" s="98"/>
      <c r="G695" s="98"/>
      <c r="H695" s="298">
        <v>70000</v>
      </c>
      <c r="K695" t="s">
        <v>460</v>
      </c>
    </row>
    <row r="696" spans="5:14" x14ac:dyDescent="0.25">
      <c r="E696" s="296" t="s">
        <v>461</v>
      </c>
      <c r="F696" s="98"/>
      <c r="G696" s="98"/>
      <c r="H696" s="298">
        <v>30000</v>
      </c>
      <c r="K696" t="s">
        <v>462</v>
      </c>
    </row>
    <row r="697" spans="5:14" x14ac:dyDescent="0.25">
      <c r="E697" s="296" t="s">
        <v>463</v>
      </c>
      <c r="F697" s="98"/>
      <c r="G697" s="98"/>
      <c r="H697" s="298">
        <v>7000000</v>
      </c>
    </row>
    <row r="698" spans="5:14" x14ac:dyDescent="0.25">
      <c r="E698" s="296" t="s">
        <v>464</v>
      </c>
      <c r="F698" s="98"/>
      <c r="G698" s="98"/>
      <c r="H698" s="298">
        <v>6000000</v>
      </c>
      <c r="K698" s="2" t="s">
        <v>202</v>
      </c>
    </row>
    <row r="699" spans="5:14" x14ac:dyDescent="0.25">
      <c r="E699" s="420" t="s">
        <v>465</v>
      </c>
      <c r="F699" s="420"/>
      <c r="G699" s="420"/>
      <c r="H699" s="298">
        <v>5000000</v>
      </c>
      <c r="K699" s="2" t="s">
        <v>411</v>
      </c>
    </row>
    <row r="700" spans="5:14" x14ac:dyDescent="0.25">
      <c r="E700" s="296" t="s">
        <v>466</v>
      </c>
      <c r="F700" s="98"/>
      <c r="G700" s="98"/>
      <c r="H700" s="297">
        <v>0.25</v>
      </c>
      <c r="K700" s="2" t="s">
        <v>415</v>
      </c>
    </row>
    <row r="701" spans="5:14" x14ac:dyDescent="0.25">
      <c r="E701" s="296" t="s">
        <v>477</v>
      </c>
      <c r="F701" s="98"/>
      <c r="G701" s="98"/>
      <c r="H701" s="297">
        <v>0.35</v>
      </c>
      <c r="K701" s="2" t="s">
        <v>476</v>
      </c>
    </row>
    <row r="702" spans="5:14" x14ac:dyDescent="0.25">
      <c r="E702" s="296" t="s">
        <v>467</v>
      </c>
      <c r="F702" s="98"/>
      <c r="G702" s="98"/>
      <c r="H702" s="298">
        <v>3000000</v>
      </c>
      <c r="K702" s="2" t="s">
        <v>419</v>
      </c>
    </row>
    <row r="703" spans="5:14" x14ac:dyDescent="0.25">
      <c r="E703" s="296"/>
      <c r="F703" s="98"/>
      <c r="G703" s="98"/>
      <c r="H703" s="98"/>
      <c r="K703" s="2" t="s">
        <v>425</v>
      </c>
    </row>
    <row r="704" spans="5:14" x14ac:dyDescent="0.25">
      <c r="E704" s="274"/>
      <c r="K704" s="2" t="s">
        <v>433</v>
      </c>
    </row>
    <row r="705" spans="5:5" x14ac:dyDescent="0.25">
      <c r="E705" s="279"/>
    </row>
    <row r="706" spans="5:5" x14ac:dyDescent="0.25">
      <c r="E706" s="279"/>
    </row>
    <row r="707" spans="5:5" x14ac:dyDescent="0.25">
      <c r="E707" s="279"/>
    </row>
    <row r="708" spans="5:5" x14ac:dyDescent="0.25">
      <c r="E708" s="279"/>
    </row>
    <row r="709" spans="5:5" x14ac:dyDescent="0.25">
      <c r="E709" s="279"/>
    </row>
    <row r="710" spans="5:5" x14ac:dyDescent="0.25">
      <c r="E710" s="279"/>
    </row>
    <row r="711" spans="5:5" x14ac:dyDescent="0.25">
      <c r="E711" s="279"/>
    </row>
    <row r="712" spans="5:5" x14ac:dyDescent="0.25">
      <c r="E712" s="279"/>
    </row>
    <row r="713" spans="5:5" x14ac:dyDescent="0.25">
      <c r="E713" s="279"/>
    </row>
    <row r="714" spans="5:5" x14ac:dyDescent="0.25">
      <c r="E714" s="279"/>
    </row>
    <row r="715" spans="5:5" x14ac:dyDescent="0.25">
      <c r="E715" s="279"/>
    </row>
    <row r="716" spans="5:5" x14ac:dyDescent="0.25">
      <c r="E716" s="279"/>
    </row>
    <row r="717" spans="5:5" x14ac:dyDescent="0.25">
      <c r="E717" s="279"/>
    </row>
    <row r="718" spans="5:5" x14ac:dyDescent="0.25">
      <c r="E718" s="279"/>
    </row>
    <row r="719" spans="5:5" x14ac:dyDescent="0.25">
      <c r="E719" s="279"/>
    </row>
    <row r="720" spans="5:5" x14ac:dyDescent="0.25">
      <c r="E720" s="279"/>
    </row>
    <row r="721" spans="5:5" x14ac:dyDescent="0.25">
      <c r="E721" s="279"/>
    </row>
    <row r="722" spans="5:5" x14ac:dyDescent="0.25">
      <c r="E722" s="279"/>
    </row>
    <row r="723" spans="5:5" x14ac:dyDescent="0.25">
      <c r="E723" s="279"/>
    </row>
    <row r="724" spans="5:5" x14ac:dyDescent="0.25">
      <c r="E724" s="279"/>
    </row>
    <row r="725" spans="5:5" x14ac:dyDescent="0.25">
      <c r="E725" s="279"/>
    </row>
    <row r="726" spans="5:5" x14ac:dyDescent="0.25">
      <c r="E726" s="279"/>
    </row>
    <row r="727" spans="5:5" x14ac:dyDescent="0.25">
      <c r="E727" s="279"/>
    </row>
    <row r="728" spans="5:5" x14ac:dyDescent="0.25">
      <c r="E728" s="279"/>
    </row>
    <row r="729" spans="5:5" x14ac:dyDescent="0.25">
      <c r="E729" s="279"/>
    </row>
    <row r="730" spans="5:5" x14ac:dyDescent="0.25">
      <c r="E730" s="279"/>
    </row>
    <row r="731" spans="5:5" x14ac:dyDescent="0.25">
      <c r="E731" s="279"/>
    </row>
    <row r="732" spans="5:5" x14ac:dyDescent="0.25">
      <c r="E732" s="279"/>
    </row>
    <row r="733" spans="5:5" x14ac:dyDescent="0.25">
      <c r="E733" s="274"/>
    </row>
    <row r="734" spans="5:5" x14ac:dyDescent="0.25">
      <c r="E734" s="274"/>
    </row>
    <row r="735" spans="5:5" x14ac:dyDescent="0.25">
      <c r="E735" s="274"/>
    </row>
    <row r="736" spans="5:5" x14ac:dyDescent="0.25">
      <c r="E736" s="274"/>
    </row>
    <row r="737" spans="5:5" x14ac:dyDescent="0.25">
      <c r="E737" s="274"/>
    </row>
    <row r="738" spans="5:5" x14ac:dyDescent="0.25">
      <c r="E738" s="274"/>
    </row>
    <row r="739" spans="5:5" x14ac:dyDescent="0.25">
      <c r="E739" s="274"/>
    </row>
    <row r="740" spans="5:5" x14ac:dyDescent="0.25">
      <c r="E740" s="279"/>
    </row>
    <row r="741" spans="5:5" x14ac:dyDescent="0.25">
      <c r="E741" s="279"/>
    </row>
    <row r="742" spans="5:5" x14ac:dyDescent="0.25">
      <c r="E742" s="279"/>
    </row>
    <row r="743" spans="5:5" x14ac:dyDescent="0.25">
      <c r="E743" s="279"/>
    </row>
    <row r="744" spans="5:5" x14ac:dyDescent="0.25">
      <c r="E744" s="279"/>
    </row>
    <row r="745" spans="5:5" x14ac:dyDescent="0.25">
      <c r="E745" s="279"/>
    </row>
    <row r="746" spans="5:5" x14ac:dyDescent="0.25">
      <c r="E746" s="279"/>
    </row>
    <row r="747" spans="5:5" x14ac:dyDescent="0.25">
      <c r="E747" s="279"/>
    </row>
    <row r="748" spans="5:5" x14ac:dyDescent="0.25">
      <c r="E748" s="279"/>
    </row>
    <row r="749" spans="5:5" x14ac:dyDescent="0.25">
      <c r="E749" s="279"/>
    </row>
    <row r="750" spans="5:5" x14ac:dyDescent="0.25">
      <c r="E750" s="279"/>
    </row>
    <row r="751" spans="5:5" x14ac:dyDescent="0.25">
      <c r="E751" s="279"/>
    </row>
    <row r="752" spans="5:5" x14ac:dyDescent="0.25">
      <c r="E752" s="279"/>
    </row>
    <row r="753" spans="5:5" x14ac:dyDescent="0.25">
      <c r="E753" s="279"/>
    </row>
    <row r="754" spans="5:5" x14ac:dyDescent="0.25">
      <c r="E754" s="279"/>
    </row>
    <row r="755" spans="5:5" x14ac:dyDescent="0.25">
      <c r="E755" s="279"/>
    </row>
    <row r="756" spans="5:5" x14ac:dyDescent="0.25">
      <c r="E756" s="279"/>
    </row>
    <row r="757" spans="5:5" x14ac:dyDescent="0.25">
      <c r="E757" s="279"/>
    </row>
    <row r="758" spans="5:5" x14ac:dyDescent="0.25">
      <c r="E758" s="279"/>
    </row>
    <row r="759" spans="5:5" x14ac:dyDescent="0.25">
      <c r="E759" s="279"/>
    </row>
    <row r="760" spans="5:5" x14ac:dyDescent="0.25">
      <c r="E760" s="279"/>
    </row>
    <row r="761" spans="5:5" x14ac:dyDescent="0.25">
      <c r="E761" s="279"/>
    </row>
  </sheetData>
  <sheetProtection algorithmName="SHA-512" hashValue="FaQQfV7QFM5iruvFigjQL8WJHDEnEzIfXVa5/zwtxtaQo1VwpdbUxLwQehhS3vzQLJ3aMh6KnKdAgJVnStbRHQ==" saltValue="8dHehLYxYrwm1MjZI3nxVw==" spinCount="100000" sheet="1" selectLockedCells="1"/>
  <sortState xmlns:xlrd2="http://schemas.microsoft.com/office/spreadsheetml/2017/richdata2" ref="K699:K704">
    <sortCondition ref="K699:K704"/>
  </sortState>
  <mergeCells count="151">
    <mergeCell ref="K661:M661"/>
    <mergeCell ref="E699:G699"/>
    <mergeCell ref="E545:L545"/>
    <mergeCell ref="B611:N611"/>
    <mergeCell ref="K651:M651"/>
    <mergeCell ref="K652:M652"/>
    <mergeCell ref="K659:N659"/>
    <mergeCell ref="C473:O475"/>
    <mergeCell ref="M499:P501"/>
    <mergeCell ref="M503:P505"/>
    <mergeCell ref="D506:F506"/>
    <mergeCell ref="C538:K540"/>
    <mergeCell ref="C542:K544"/>
    <mergeCell ref="E571:N574"/>
    <mergeCell ref="K465:M465"/>
    <mergeCell ref="K466:M466"/>
    <mergeCell ref="K467:M467"/>
    <mergeCell ref="K468:M468"/>
    <mergeCell ref="K469:M469"/>
    <mergeCell ref="K470:M471"/>
    <mergeCell ref="K459:M459"/>
    <mergeCell ref="K460:M460"/>
    <mergeCell ref="K461:M461"/>
    <mergeCell ref="K462:M462"/>
    <mergeCell ref="K463:M463"/>
    <mergeCell ref="K464:M464"/>
    <mergeCell ref="K453:M453"/>
    <mergeCell ref="K454:M454"/>
    <mergeCell ref="K455:M455"/>
    <mergeCell ref="K456:M456"/>
    <mergeCell ref="K457:M457"/>
    <mergeCell ref="K458:M458"/>
    <mergeCell ref="E440:M440"/>
    <mergeCell ref="C442:I443"/>
    <mergeCell ref="K442:M443"/>
    <mergeCell ref="C445:I446"/>
    <mergeCell ref="K445:M446"/>
    <mergeCell ref="K447:M447"/>
    <mergeCell ref="K434:M434"/>
    <mergeCell ref="K435:M435"/>
    <mergeCell ref="K436:M436"/>
    <mergeCell ref="K437:M437"/>
    <mergeCell ref="K438:M438"/>
    <mergeCell ref="N438:N439"/>
    <mergeCell ref="K439:M439"/>
    <mergeCell ref="K426:M426"/>
    <mergeCell ref="K427:M427"/>
    <mergeCell ref="N427:N428"/>
    <mergeCell ref="K428:M428"/>
    <mergeCell ref="K429:M429"/>
    <mergeCell ref="K430:M430"/>
    <mergeCell ref="N430:N434"/>
    <mergeCell ref="K431:M431"/>
    <mergeCell ref="K432:M432"/>
    <mergeCell ref="K433:M433"/>
    <mergeCell ref="K421:M421"/>
    <mergeCell ref="N421:N423"/>
    <mergeCell ref="K422:M422"/>
    <mergeCell ref="K423:M423"/>
    <mergeCell ref="K424:M424"/>
    <mergeCell ref="K425:M425"/>
    <mergeCell ref="C414:H415"/>
    <mergeCell ref="K414:M414"/>
    <mergeCell ref="K415:M415"/>
    <mergeCell ref="K417:M417"/>
    <mergeCell ref="K418:M418"/>
    <mergeCell ref="K420:M420"/>
    <mergeCell ref="Q406:S406"/>
    <mergeCell ref="C408:H409"/>
    <mergeCell ref="K409:N409"/>
    <mergeCell ref="C411:H412"/>
    <mergeCell ref="K411:M411"/>
    <mergeCell ref="Q411:W412"/>
    <mergeCell ref="K412:M412"/>
    <mergeCell ref="D405:F405"/>
    <mergeCell ref="G405:H405"/>
    <mergeCell ref="I405:K405"/>
    <mergeCell ref="L405:N405"/>
    <mergeCell ref="D406:F406"/>
    <mergeCell ref="G406:H406"/>
    <mergeCell ref="I406:K406"/>
    <mergeCell ref="L406:N406"/>
    <mergeCell ref="D403:F403"/>
    <mergeCell ref="G403:H403"/>
    <mergeCell ref="I403:K403"/>
    <mergeCell ref="L403:N403"/>
    <mergeCell ref="D404:F404"/>
    <mergeCell ref="G404:H404"/>
    <mergeCell ref="I404:K404"/>
    <mergeCell ref="L404:N404"/>
    <mergeCell ref="D401:F401"/>
    <mergeCell ref="G401:H401"/>
    <mergeCell ref="I401:K401"/>
    <mergeCell ref="L401:N401"/>
    <mergeCell ref="D402:F402"/>
    <mergeCell ref="G402:H402"/>
    <mergeCell ref="I402:K402"/>
    <mergeCell ref="L402:N402"/>
    <mergeCell ref="D399:F399"/>
    <mergeCell ref="G399:H399"/>
    <mergeCell ref="I399:K399"/>
    <mergeCell ref="L399:N399"/>
    <mergeCell ref="D400:F400"/>
    <mergeCell ref="G400:H400"/>
    <mergeCell ref="I400:K400"/>
    <mergeCell ref="L400:N400"/>
    <mergeCell ref="K390:M390"/>
    <mergeCell ref="K391:M391"/>
    <mergeCell ref="K393:M393"/>
    <mergeCell ref="D394:N395"/>
    <mergeCell ref="D397:N397"/>
    <mergeCell ref="D398:F398"/>
    <mergeCell ref="G398:H398"/>
    <mergeCell ref="I398:K398"/>
    <mergeCell ref="L398:N398"/>
    <mergeCell ref="F254:O256"/>
    <mergeCell ref="F261:O263"/>
    <mergeCell ref="I270:K270"/>
    <mergeCell ref="I271:K271"/>
    <mergeCell ref="Q282:AA285"/>
    <mergeCell ref="Q332:AA335"/>
    <mergeCell ref="Q201:R201"/>
    <mergeCell ref="Q210:AD211"/>
    <mergeCell ref="F228:O230"/>
    <mergeCell ref="F232:O234"/>
    <mergeCell ref="F239:O243"/>
    <mergeCell ref="F245:O249"/>
    <mergeCell ref="Q196:R196"/>
    <mergeCell ref="Q197:R197"/>
    <mergeCell ref="Q198:R198"/>
    <mergeCell ref="AD198:AN200"/>
    <mergeCell ref="Q199:R199"/>
    <mergeCell ref="Q200:R200"/>
    <mergeCell ref="Q147:R147"/>
    <mergeCell ref="Q148:R148"/>
    <mergeCell ref="Q149:R149"/>
    <mergeCell ref="Q166:AA167"/>
    <mergeCell ref="Q168:AA169"/>
    <mergeCell ref="Q174:AA175"/>
    <mergeCell ref="Q78:R78"/>
    <mergeCell ref="Q80:R80"/>
    <mergeCell ref="Q81:R81"/>
    <mergeCell ref="Q82:R82"/>
    <mergeCell ref="Q83:R83"/>
    <mergeCell ref="Q146:R146"/>
    <mergeCell ref="K36:N36"/>
    <mergeCell ref="G38:N38"/>
    <mergeCell ref="Q38:AA40"/>
    <mergeCell ref="Q75:R75"/>
    <mergeCell ref="Q76:R76"/>
    <mergeCell ref="Q77:R77"/>
  </mergeCells>
  <conditionalFormatting sqref="S78">
    <cfRule type="cellIs" dxfId="185" priority="88" operator="equal">
      <formula>"Yes"</formula>
    </cfRule>
    <cfRule type="cellIs" dxfId="184" priority="89" operator="equal">
      <formula>"No"</formula>
    </cfRule>
  </conditionalFormatting>
  <conditionalFormatting sqref="S83 S201">
    <cfRule type="cellIs" dxfId="183" priority="91" operator="equal">
      <formula>"No"</formula>
    </cfRule>
    <cfRule type="cellIs" dxfId="182" priority="92" operator="equal">
      <formula>"Yes"</formula>
    </cfRule>
  </conditionalFormatting>
  <conditionalFormatting sqref="S149">
    <cfRule type="cellIs" dxfId="181" priority="94" operator="equal">
      <formula>"No"</formula>
    </cfRule>
    <cfRule type="cellIs" dxfId="180" priority="95" operator="equal">
      <formula>"Yes"</formula>
    </cfRule>
  </conditionalFormatting>
  <conditionalFormatting sqref="S206">
    <cfRule type="cellIs" dxfId="179" priority="102" operator="equal">
      <formula>"No"</formula>
    </cfRule>
    <cfRule type="cellIs" dxfId="178" priority="103" operator="equal">
      <formula>"Yes"</formula>
    </cfRule>
  </conditionalFormatting>
  <conditionalFormatting sqref="S198">
    <cfRule type="cellIs" dxfId="177" priority="99" operator="equal">
      <formula>"No"</formula>
    </cfRule>
    <cfRule type="cellIs" dxfId="176" priority="100" operator="equal">
      <formula>"Yes"</formula>
    </cfRule>
  </conditionalFormatting>
  <conditionalFormatting sqref="F254:M256">
    <cfRule type="expression" dxfId="175" priority="112">
      <formula>AND(F254="",N181&lt;&gt;"")</formula>
    </cfRule>
  </conditionalFormatting>
  <conditionalFormatting sqref="F245:H249">
    <cfRule type="expression" dxfId="174" priority="110">
      <formula>AND(F245="",N144&lt;&gt;"")</formula>
    </cfRule>
  </conditionalFormatting>
  <conditionalFormatting sqref="F239:H243">
    <cfRule type="expression" dxfId="173" priority="108">
      <formula>AND(F239="",N120&lt;&gt;"")</formula>
    </cfRule>
  </conditionalFormatting>
  <conditionalFormatting sqref="F232:H234">
    <cfRule type="expression" dxfId="172" priority="106">
      <formula>AND(F232="",N73&lt;&gt;"")</formula>
    </cfRule>
  </conditionalFormatting>
  <conditionalFormatting sqref="F228:M230">
    <cfRule type="expression" dxfId="171" priority="104">
      <formula>AND(F228="",N63&lt;&gt;"")</formula>
    </cfRule>
  </conditionalFormatting>
  <conditionalFormatting sqref="F261:O263">
    <cfRule type="expression" dxfId="170" priority="114">
      <formula>AND(F261="",$N$189&lt;&gt;"")</formula>
    </cfRule>
  </conditionalFormatting>
  <conditionalFormatting sqref="P198:P199">
    <cfRule type="cellIs" dxfId="169" priority="96" operator="equal">
      <formula>"**"</formula>
    </cfRule>
  </conditionalFormatting>
  <conditionalFormatting sqref="P149">
    <cfRule type="cellIs" dxfId="168" priority="93" operator="equal">
      <formula>"**"</formula>
    </cfRule>
  </conditionalFormatting>
  <conditionalFormatting sqref="P83">
    <cfRule type="cellIs" dxfId="167" priority="90" operator="equal">
      <formula>"**"</formula>
    </cfRule>
  </conditionalFormatting>
  <conditionalFormatting sqref="P78">
    <cfRule type="cellIs" dxfId="166" priority="87" operator="equal">
      <formula>"**"</formula>
    </cfRule>
  </conditionalFormatting>
  <conditionalFormatting sqref="P228">
    <cfRule type="cellIs" dxfId="165" priority="105" operator="equal">
      <formula>"**"</formula>
    </cfRule>
  </conditionalFormatting>
  <conditionalFormatting sqref="P232">
    <cfRule type="cellIs" dxfId="164" priority="107" operator="equal">
      <formula>"**"</formula>
    </cfRule>
  </conditionalFormatting>
  <conditionalFormatting sqref="P239">
    <cfRule type="cellIs" dxfId="163" priority="109" operator="equal">
      <formula>"**"</formula>
    </cfRule>
  </conditionalFormatting>
  <conditionalFormatting sqref="P245">
    <cfRule type="cellIs" dxfId="162" priority="111" operator="equal">
      <formula>"**"</formula>
    </cfRule>
  </conditionalFormatting>
  <conditionalFormatting sqref="P254">
    <cfRule type="cellIs" dxfId="161" priority="113" operator="equal">
      <formula>"**"</formula>
    </cfRule>
  </conditionalFormatting>
  <conditionalFormatting sqref="P261">
    <cfRule type="cellIs" dxfId="160" priority="115" operator="equal">
      <formula>"**"</formula>
    </cfRule>
  </conditionalFormatting>
  <conditionalFormatting sqref="P36:P37">
    <cfRule type="cellIs" dxfId="159" priority="85" operator="equal">
      <formula>"**"</formula>
    </cfRule>
  </conditionalFormatting>
  <conditionalFormatting sqref="P329">
    <cfRule type="cellIs" dxfId="158" priority="116" operator="equal">
      <formula>"**"</formula>
    </cfRule>
  </conditionalFormatting>
  <conditionalFormatting sqref="P471">
    <cfRule type="cellIs" dxfId="157" priority="133" operator="equal">
      <formula>"**"</formula>
    </cfRule>
  </conditionalFormatting>
  <conditionalFormatting sqref="K470:M471">
    <cfRule type="cellIs" dxfId="156" priority="132" operator="equal">
      <formula>"No"</formula>
    </cfRule>
  </conditionalFormatting>
  <conditionalFormatting sqref="S196:S197 W196">
    <cfRule type="cellIs" dxfId="155" priority="97" operator="equal">
      <formula>$E$613</formula>
    </cfRule>
    <cfRule type="cellIs" dxfId="154" priority="98" operator="equal">
      <formula>"(select below)"</formula>
    </cfRule>
  </conditionalFormatting>
  <conditionalFormatting sqref="S199 U199">
    <cfRule type="cellIs" dxfId="153" priority="101" operator="equal">
      <formula>$E$613</formula>
    </cfRule>
  </conditionalFormatting>
  <conditionalFormatting sqref="I36:I37">
    <cfRule type="expression" dxfId="152" priority="82">
      <formula>$P36="**"</formula>
    </cfRule>
  </conditionalFormatting>
  <conditionalFormatting sqref="Q375">
    <cfRule type="expression" dxfId="151" priority="129">
      <formula>H375&gt;=0</formula>
    </cfRule>
    <cfRule type="expression" dxfId="150" priority="130">
      <formula>H375&lt;0</formula>
    </cfRule>
  </conditionalFormatting>
  <conditionalFormatting sqref="K621:N634">
    <cfRule type="expression" dxfId="149" priority="139">
      <formula>$K$619=$K621</formula>
    </cfRule>
  </conditionalFormatting>
  <conditionalFormatting sqref="C408">
    <cfRule type="expression" dxfId="148" priority="131">
      <formula>$P408="**"</formula>
    </cfRule>
  </conditionalFormatting>
  <conditionalFormatting sqref="K506">
    <cfRule type="cellIs" dxfId="147" priority="136" operator="equal">
      <formula>"(less than 60% maximum)"</formula>
    </cfRule>
    <cfRule type="cellIs" dxfId="146" priority="137" operator="equal">
      <formula>"(equal to 60% maximum)"</formula>
    </cfRule>
    <cfRule type="cellIs" dxfId="145" priority="138" operator="equal">
      <formula>"(greater than 60% maximum)"</formula>
    </cfRule>
  </conditionalFormatting>
  <conditionalFormatting sqref="M503:P505">
    <cfRule type="cellIs" dxfId="144" priority="134" operator="equal">
      <formula>"(Total Units here matches the Total Units entered on row 33 above)"</formula>
    </cfRule>
    <cfRule type="cellIs" dxfId="143" priority="135" operator="equal">
      <formula>"(Total Units here does NOT match the Total Units entered on row 33 above)"</formula>
    </cfRule>
  </conditionalFormatting>
  <conditionalFormatting sqref="L37:M37">
    <cfRule type="cellIs" dxfId="142" priority="86" operator="equal">
      <formula>$F$613</formula>
    </cfRule>
  </conditionalFormatting>
  <conditionalFormatting sqref="K660">
    <cfRule type="expression" dxfId="141" priority="142">
      <formula>OR(K660=0,K660="(enter a value)")</formula>
    </cfRule>
  </conditionalFormatting>
  <conditionalFormatting sqref="K659:N659">
    <cfRule type="cellIs" dxfId="140" priority="141" operator="equal">
      <formula>$F$613</formula>
    </cfRule>
  </conditionalFormatting>
  <conditionalFormatting sqref="K659:N659">
    <cfRule type="cellIs" dxfId="139" priority="140" operator="equal">
      <formula>""</formula>
    </cfRule>
  </conditionalFormatting>
  <conditionalFormatting sqref="L343">
    <cfRule type="expression" dxfId="138" priority="119">
      <formula>AND(L343=$K$665,N(I343)&gt;0)</formula>
    </cfRule>
  </conditionalFormatting>
  <conditionalFormatting sqref="L345">
    <cfRule type="expression" dxfId="137" priority="120">
      <formula>AND(L345=$K$665,N(I345)&gt;0)</formula>
    </cfRule>
  </conditionalFormatting>
  <conditionalFormatting sqref="L347">
    <cfRule type="expression" dxfId="136" priority="121">
      <formula>AND(L347=$K$665,N(I347)&gt;0)</formula>
    </cfRule>
  </conditionalFormatting>
  <conditionalFormatting sqref="L349">
    <cfRule type="expression" dxfId="135" priority="122">
      <formula>AND(L349=$K$665,N(I349)&gt;0)</formula>
    </cfRule>
  </conditionalFormatting>
  <conditionalFormatting sqref="L355">
    <cfRule type="expression" dxfId="134" priority="123">
      <formula>AND(L355=$K$665,N(I355)&gt;0)</formula>
    </cfRule>
  </conditionalFormatting>
  <conditionalFormatting sqref="L357">
    <cfRule type="expression" dxfId="133" priority="124">
      <formula>AND(L357=$K$665,N(I357)&gt;0)</formula>
    </cfRule>
  </conditionalFormatting>
  <conditionalFormatting sqref="L359">
    <cfRule type="expression" dxfId="132" priority="125">
      <formula>AND(L359=$K$665,N(I359)&gt;0)</formula>
    </cfRule>
  </conditionalFormatting>
  <conditionalFormatting sqref="L361">
    <cfRule type="expression" dxfId="131" priority="126">
      <formula>AND(L361=$K$665,N(I361)&gt;0)</formula>
    </cfRule>
  </conditionalFormatting>
  <conditionalFormatting sqref="L363">
    <cfRule type="expression" dxfId="130" priority="127">
      <formula>AND(L363=$K$665,N(I363)&gt;0)</formula>
    </cfRule>
  </conditionalFormatting>
  <conditionalFormatting sqref="L365">
    <cfRule type="expression" dxfId="129" priority="128">
      <formula>AND(L365=$K$665,N(I365)&gt;0)</formula>
    </cfRule>
  </conditionalFormatting>
  <conditionalFormatting sqref="K36:N36">
    <cfRule type="cellIs" dxfId="128" priority="84" operator="equal">
      <formula>$F$613</formula>
    </cfRule>
  </conditionalFormatting>
  <conditionalFormatting sqref="K36:N36">
    <cfRule type="cellIs" dxfId="127" priority="83" operator="equal">
      <formula>""</formula>
    </cfRule>
  </conditionalFormatting>
  <conditionalFormatting sqref="G38">
    <cfRule type="cellIs" dxfId="126" priority="81" operator="notEqual">
      <formula>""</formula>
    </cfRule>
  </conditionalFormatting>
  <conditionalFormatting sqref="K59">
    <cfRule type="expression" dxfId="125" priority="80">
      <formula>K59&lt;&gt;ROUNDDOWN(K59,0)</formula>
    </cfRule>
  </conditionalFormatting>
  <conditionalFormatting sqref="I399:N405">
    <cfRule type="expression" dxfId="124" priority="79">
      <formula>$G399=""</formula>
    </cfRule>
  </conditionalFormatting>
  <conditionalFormatting sqref="G399:H405">
    <cfRule type="expression" dxfId="123" priority="78">
      <formula>$K$393&lt;&gt;"Yes"</formula>
    </cfRule>
  </conditionalFormatting>
  <conditionalFormatting sqref="G399:N406">
    <cfRule type="expression" dxfId="122" priority="77">
      <formula>$K$393&lt;&gt;"Yes"</formula>
    </cfRule>
  </conditionalFormatting>
  <conditionalFormatting sqref="K409:N409 K411:M411 K415:M415">
    <cfRule type="expression" dxfId="121" priority="76">
      <formula>$K$393="Yes"</formula>
    </cfRule>
  </conditionalFormatting>
  <conditionalFormatting sqref="L406:N406">
    <cfRule type="expression" dxfId="120" priority="75">
      <formula>$G$406=""</formula>
    </cfRule>
  </conditionalFormatting>
  <conditionalFormatting sqref="N270">
    <cfRule type="cellIs" dxfId="119" priority="74" operator="equal">
      <formula>"Inputs Needed"</formula>
    </cfRule>
  </conditionalFormatting>
  <conditionalFormatting sqref="G406:H406">
    <cfRule type="cellIs" dxfId="118" priority="143" operator="equal">
      <formula>""</formula>
    </cfRule>
    <cfRule type="expression" dxfId="117" priority="144">
      <formula>AND($K$393="Yes",$G$406&lt;&gt;"",$G$406&lt;&gt;#REF!)</formula>
    </cfRule>
  </conditionalFormatting>
  <conditionalFormatting sqref="Q406:S406">
    <cfRule type="expression" dxfId="116" priority="145">
      <formula>AND($K$393="Yes",$G$406&lt;&gt;"",$G$406&lt;&gt;#REF!)</formula>
    </cfRule>
  </conditionalFormatting>
  <conditionalFormatting sqref="P270">
    <cfRule type="expression" dxfId="115" priority="70">
      <formula>$N$270="Inputs Needed"</formula>
    </cfRule>
    <cfRule type="expression" dxfId="114" priority="73">
      <formula>$N$270="Inputs Needed"</formula>
    </cfRule>
  </conditionalFormatting>
  <conditionalFormatting sqref="N411">
    <cfRule type="cellIs" dxfId="113" priority="72" operator="equal">
      <formula>"Select Dev Type"</formula>
    </cfRule>
  </conditionalFormatting>
  <conditionalFormatting sqref="N271">
    <cfRule type="cellIs" dxfId="112" priority="71" operator="equal">
      <formula>"Inputs Needed"</formula>
    </cfRule>
  </conditionalFormatting>
  <conditionalFormatting sqref="P271">
    <cfRule type="expression" dxfId="111" priority="69">
      <formula>$N$271="Inputs Needed"</formula>
    </cfRule>
  </conditionalFormatting>
  <conditionalFormatting sqref="N415">
    <cfRule type="cellIs" dxfId="110" priority="68" operator="equal">
      <formula>"Select ESSC Type"</formula>
    </cfRule>
  </conditionalFormatting>
  <conditionalFormatting sqref="K37">
    <cfRule type="cellIs" dxfId="109" priority="4" operator="equal">
      <formula>"TBD"</formula>
    </cfRule>
    <cfRule type="expression" dxfId="108" priority="67">
      <formula>OR(K37=0,K37="(enter a value)")</formula>
    </cfRule>
  </conditionalFormatting>
  <conditionalFormatting sqref="U289:AC289 AA339:AC339">
    <cfRule type="expression" dxfId="107" priority="66">
      <formula>$K$34="(enter a value)"</formula>
    </cfRule>
  </conditionalFormatting>
  <conditionalFormatting sqref="U339:Y339">
    <cfRule type="expression" dxfId="106" priority="65">
      <formula>$K$34="(enter a value)"</formula>
    </cfRule>
  </conditionalFormatting>
  <conditionalFormatting sqref="H59">
    <cfRule type="expression" dxfId="105" priority="64">
      <formula>H59&lt;&gt;ROUNDDOWN(H59,0)</formula>
    </cfRule>
  </conditionalFormatting>
  <conditionalFormatting sqref="J232:J233 N232:N233 J234:O234">
    <cfRule type="expression" dxfId="104" priority="146">
      <formula>AND(J232="",#REF!&lt;&gt;"")</formula>
    </cfRule>
  </conditionalFormatting>
  <conditionalFormatting sqref="W78">
    <cfRule type="cellIs" dxfId="103" priority="60" operator="equal">
      <formula>"Yes"</formula>
    </cfRule>
    <cfRule type="cellIs" dxfId="102" priority="61" operator="equal">
      <formula>"No"</formula>
    </cfRule>
  </conditionalFormatting>
  <conditionalFormatting sqref="U78:V78">
    <cfRule type="cellIs" dxfId="101" priority="62" operator="equal">
      <formula>"Yes"</formula>
    </cfRule>
    <cfRule type="cellIs" dxfId="100" priority="63" operator="equal">
      <formula>"No"</formula>
    </cfRule>
  </conditionalFormatting>
  <conditionalFormatting sqref="M232:M233">
    <cfRule type="expression" dxfId="99" priority="147">
      <formula>AND(M232="",#REF!&lt;&gt;"")</formula>
    </cfRule>
  </conditionalFormatting>
  <conditionalFormatting sqref="U83:V83">
    <cfRule type="cellIs" dxfId="98" priority="58" operator="equal">
      <formula>"No"</formula>
    </cfRule>
    <cfRule type="cellIs" dxfId="97" priority="59" operator="equal">
      <formula>"Yes"</formula>
    </cfRule>
  </conditionalFormatting>
  <conditionalFormatting sqref="W83">
    <cfRule type="cellIs" dxfId="96" priority="56" operator="equal">
      <formula>"No"</formula>
    </cfRule>
    <cfRule type="cellIs" dxfId="95" priority="57" operator="equal">
      <formula>"Yes"</formula>
    </cfRule>
  </conditionalFormatting>
  <conditionalFormatting sqref="K249">
    <cfRule type="expression" dxfId="94" priority="148">
      <formula>AND(K249="",#REF!&lt;&gt;"")</formula>
    </cfRule>
  </conditionalFormatting>
  <conditionalFormatting sqref="N254:O256">
    <cfRule type="expression" dxfId="93" priority="149">
      <formula>AND(N254="",W181&lt;&gt;"")</formula>
    </cfRule>
  </conditionalFormatting>
  <conditionalFormatting sqref="N228:O230">
    <cfRule type="expression" dxfId="92" priority="150">
      <formula>AND(N228="",W63&lt;&gt;"")</formula>
    </cfRule>
  </conditionalFormatting>
  <conditionalFormatting sqref="W149 U149">
    <cfRule type="cellIs" dxfId="91" priority="54" operator="equal">
      <formula>"No"</formula>
    </cfRule>
    <cfRule type="cellIs" dxfId="90" priority="55" operator="equal">
      <formula>"Yes"</formula>
    </cfRule>
  </conditionalFormatting>
  <conditionalFormatting sqref="Z82">
    <cfRule type="cellIs" dxfId="89" priority="53" operator="equal">
      <formula>"**"</formula>
    </cfRule>
  </conditionalFormatting>
  <conditionalFormatting sqref="U340:V340 U290:V290">
    <cfRule type="expression" dxfId="88" priority="151">
      <formula>$K$33=$F$498</formula>
    </cfRule>
  </conditionalFormatting>
  <conditionalFormatting sqref="D204">
    <cfRule type="expression" dxfId="87" priority="153">
      <formula>#REF!="No"</formula>
    </cfRule>
  </conditionalFormatting>
  <conditionalFormatting sqref="N206 N199">
    <cfRule type="expression" dxfId="86" priority="154">
      <formula>S199="No"</formula>
    </cfRule>
  </conditionalFormatting>
  <conditionalFormatting sqref="C206:F206 D198:F199 D201:F201">
    <cfRule type="expression" dxfId="85" priority="155">
      <formula>$S198="No"</formula>
    </cfRule>
  </conditionalFormatting>
  <conditionalFormatting sqref="W197">
    <cfRule type="cellIs" dxfId="84" priority="45" operator="equal">
      <formula>$E$613</formula>
    </cfRule>
    <cfRule type="cellIs" dxfId="83" priority="46" operator="equal">
      <formula>"(select below)"</formula>
    </cfRule>
  </conditionalFormatting>
  <conditionalFormatting sqref="U198">
    <cfRule type="cellIs" dxfId="82" priority="51" operator="equal">
      <formula>"No"</formula>
    </cfRule>
    <cfRule type="cellIs" dxfId="81" priority="52" operator="equal">
      <formula>"Yes"</formula>
    </cfRule>
  </conditionalFormatting>
  <conditionalFormatting sqref="U196:U197">
    <cfRule type="cellIs" dxfId="80" priority="49" operator="equal">
      <formula>$E$613</formula>
    </cfRule>
    <cfRule type="cellIs" dxfId="79" priority="50" operator="equal">
      <formula>"(select below)"</formula>
    </cfRule>
  </conditionalFormatting>
  <conditionalFormatting sqref="W198">
    <cfRule type="cellIs" dxfId="78" priority="47" operator="equal">
      <formula>"No"</formula>
    </cfRule>
    <cfRule type="cellIs" dxfId="77" priority="48" operator="equal">
      <formula>"Yes"</formula>
    </cfRule>
  </conditionalFormatting>
  <conditionalFormatting sqref="H204 N204">
    <cfRule type="expression" dxfId="76" priority="156">
      <formula>$S$199=21%</formula>
    </cfRule>
  </conditionalFormatting>
  <conditionalFormatting sqref="I245:K248 L245:M249">
    <cfRule type="expression" dxfId="75" priority="157">
      <formula>AND(I245="",Q143&lt;&gt;"")</formula>
    </cfRule>
  </conditionalFormatting>
  <conditionalFormatting sqref="I239:M243">
    <cfRule type="expression" dxfId="74" priority="158">
      <formula>AND(I239="",Q119&lt;&gt;"")</formula>
    </cfRule>
  </conditionalFormatting>
  <conditionalFormatting sqref="K232:L232">
    <cfRule type="expression" dxfId="73" priority="159">
      <formula>AND(K232="",#REF!&lt;&gt;"")</formula>
    </cfRule>
  </conditionalFormatting>
  <conditionalFormatting sqref="K233:L233">
    <cfRule type="expression" dxfId="72" priority="160">
      <formula>AND(K233="",T75&lt;&gt;"")</formula>
    </cfRule>
  </conditionalFormatting>
  <conditionalFormatting sqref="I234">
    <cfRule type="expression" dxfId="71" priority="161">
      <formula>AND(I234="",#REF!&lt;&gt;"")</formula>
    </cfRule>
  </conditionalFormatting>
  <conditionalFormatting sqref="C78:F78 C83:F83 C149:F149 D198:F198 D201:F201 C206:F206">
    <cfRule type="expression" dxfId="70" priority="162">
      <formula>$P78="**"</formula>
    </cfRule>
  </conditionalFormatting>
  <conditionalFormatting sqref="I232">
    <cfRule type="expression" dxfId="69" priority="163">
      <formula>AND(I232="",#REF!&lt;&gt;"")</formula>
    </cfRule>
  </conditionalFormatting>
  <conditionalFormatting sqref="I233">
    <cfRule type="expression" dxfId="68" priority="164">
      <formula>AND(I233="",S75&lt;&gt;"")</formula>
    </cfRule>
  </conditionalFormatting>
  <conditionalFormatting sqref="O232">
    <cfRule type="expression" dxfId="67" priority="165">
      <formula>AND(O232="",#REF!&lt;&gt;"")</formula>
    </cfRule>
  </conditionalFormatting>
  <conditionalFormatting sqref="O233">
    <cfRule type="expression" dxfId="66" priority="166">
      <formula>AND(O233="",W75&lt;&gt;"")</formula>
    </cfRule>
  </conditionalFormatting>
  <conditionalFormatting sqref="C83:F83">
    <cfRule type="expression" dxfId="65" priority="167">
      <formula>AND(N($N83)&gt;0,$S83="TBD")</formula>
    </cfRule>
  </conditionalFormatting>
  <conditionalFormatting sqref="I249">
    <cfRule type="expression" dxfId="64" priority="168">
      <formula>AND(I249="",S147&lt;&gt;"")</formula>
    </cfRule>
  </conditionalFormatting>
  <conditionalFormatting sqref="N249">
    <cfRule type="expression" dxfId="63" priority="169">
      <formula>AND(N249="",S148&lt;&gt;"")</formula>
    </cfRule>
  </conditionalFormatting>
  <conditionalFormatting sqref="N245:O248">
    <cfRule type="expression" dxfId="62" priority="170">
      <formula>AND(N245="",W143&lt;&gt;"")</formula>
    </cfRule>
  </conditionalFormatting>
  <conditionalFormatting sqref="N239:O243">
    <cfRule type="expression" dxfId="61" priority="171">
      <formula>AND(N239="",W119&lt;&gt;"")</formula>
    </cfRule>
  </conditionalFormatting>
  <conditionalFormatting sqref="J249">
    <cfRule type="expression" dxfId="60" priority="172">
      <formula>AND(J249="",Q147&lt;&gt;"")</formula>
    </cfRule>
  </conditionalFormatting>
  <conditionalFormatting sqref="O249">
    <cfRule type="expression" dxfId="59" priority="173">
      <formula>AND(O249="",Q148&lt;&gt;"")</formula>
    </cfRule>
  </conditionalFormatting>
  <conditionalFormatting sqref="P201">
    <cfRule type="cellIs" dxfId="58" priority="44" operator="equal">
      <formula>"**"</formula>
    </cfRule>
  </conditionalFormatting>
  <conditionalFormatting sqref="P206">
    <cfRule type="cellIs" dxfId="57" priority="43" operator="equal">
      <formula>"**"</formula>
    </cfRule>
  </conditionalFormatting>
  <conditionalFormatting sqref="W201 U201">
    <cfRule type="cellIs" dxfId="56" priority="41" operator="equal">
      <formula>"No"</formula>
    </cfRule>
    <cfRule type="cellIs" dxfId="55" priority="42" operator="equal">
      <formula>"Yes"</formula>
    </cfRule>
  </conditionalFormatting>
  <conditionalFormatting sqref="N198">
    <cfRule type="expression" dxfId="54" priority="40">
      <formula>N198&lt;&gt;ROUNDDOWN(N198,0)</formula>
    </cfRule>
  </conditionalFormatting>
  <conditionalFormatting sqref="N201">
    <cfRule type="expression" dxfId="53" priority="39">
      <formula>N201&lt;&gt;ROUNDDOWN(N201,0)</formula>
    </cfRule>
  </conditionalFormatting>
  <conditionalFormatting sqref="N75 K75 H75">
    <cfRule type="expression" dxfId="52" priority="38">
      <formula>H75&lt;&gt;ROUNDDOWN(H75,0)</formula>
    </cfRule>
  </conditionalFormatting>
  <conditionalFormatting sqref="N59 N57">
    <cfRule type="expression" dxfId="51" priority="37">
      <formula>N57&lt;&gt;ROUNDDOWN(N57,0)</formula>
    </cfRule>
  </conditionalFormatting>
  <conditionalFormatting sqref="N78">
    <cfRule type="expression" dxfId="50" priority="36">
      <formula>N78&lt;&gt;ROUNDDOWN(N78,0)</formula>
    </cfRule>
  </conditionalFormatting>
  <conditionalFormatting sqref="N83">
    <cfRule type="expression" dxfId="49" priority="35">
      <formula>N83&lt;&gt;ROUNDDOWN(N83,0)</formula>
    </cfRule>
  </conditionalFormatting>
  <conditionalFormatting sqref="N138">
    <cfRule type="expression" dxfId="48" priority="34">
      <formula>N138&lt;&gt;ROUNDDOWN(N138,0)</formula>
    </cfRule>
  </conditionalFormatting>
  <conditionalFormatting sqref="H147 K147">
    <cfRule type="expression" dxfId="47" priority="33">
      <formula>H147&lt;&gt;ROUNDDOWN(H147,0)</formula>
    </cfRule>
  </conditionalFormatting>
  <conditionalFormatting sqref="N147">
    <cfRule type="expression" dxfId="46" priority="32">
      <formula>N147&lt;&gt;ROUNDDOWN(N147,0)</formula>
    </cfRule>
  </conditionalFormatting>
  <conditionalFormatting sqref="N149">
    <cfRule type="expression" dxfId="45" priority="31">
      <formula>N149&lt;&gt;ROUNDDOWN(N149,0)</formula>
    </cfRule>
  </conditionalFormatting>
  <conditionalFormatting sqref="W206 U206">
    <cfRule type="cellIs" dxfId="44" priority="29" operator="equal">
      <formula>"No"</formula>
    </cfRule>
    <cfRule type="cellIs" dxfId="43" priority="30" operator="equal">
      <formula>"Yes"</formula>
    </cfRule>
  </conditionalFormatting>
  <conditionalFormatting sqref="N210 N208">
    <cfRule type="expression" dxfId="42" priority="28">
      <formula>N208&lt;&gt;ROUNDDOWN(N208,0)</formula>
    </cfRule>
  </conditionalFormatting>
  <conditionalFormatting sqref="D203">
    <cfRule type="expression" dxfId="41" priority="174">
      <formula>#REF!="No"</formula>
    </cfRule>
  </conditionalFormatting>
  <conditionalFormatting sqref="W199">
    <cfRule type="cellIs" dxfId="40" priority="27" operator="equal">
      <formula>$E$613</formula>
    </cfRule>
  </conditionalFormatting>
  <conditionalFormatting sqref="K204">
    <cfRule type="expression" dxfId="39" priority="26">
      <formula>$S$199=21%</formula>
    </cfRule>
  </conditionalFormatting>
  <conditionalFormatting sqref="H183 K183">
    <cfRule type="expression" dxfId="38" priority="25">
      <formula>H183&lt;&gt;ROUNDDOWN(H183,0)</formula>
    </cfRule>
  </conditionalFormatting>
  <conditionalFormatting sqref="N183">
    <cfRule type="expression" dxfId="37" priority="24">
      <formula>N183&lt;&gt;ROUNDDOWN(N183,0)</formula>
    </cfRule>
  </conditionalFormatting>
  <conditionalFormatting sqref="H187 K187">
    <cfRule type="expression" dxfId="36" priority="23">
      <formula>H187&lt;&gt;ROUNDDOWN(H187,0)</formula>
    </cfRule>
  </conditionalFormatting>
  <conditionalFormatting sqref="N187">
    <cfRule type="expression" dxfId="35" priority="22">
      <formula>N187&lt;&gt;ROUNDDOWN(N187,0)</formula>
    </cfRule>
  </conditionalFormatting>
  <conditionalFormatting sqref="H192 K192">
    <cfRule type="expression" dxfId="34" priority="21">
      <formula>H192&lt;&gt;ROUNDDOWN(H192,0)</formula>
    </cfRule>
  </conditionalFormatting>
  <conditionalFormatting sqref="N192">
    <cfRule type="expression" dxfId="33" priority="20">
      <formula>N192&lt;&gt;ROUNDDOWN(N192,0)</formula>
    </cfRule>
  </conditionalFormatting>
  <conditionalFormatting sqref="H194 K194">
    <cfRule type="expression" dxfId="32" priority="19">
      <formula>H194&lt;&gt;ROUNDDOWN(H194,0)</formula>
    </cfRule>
  </conditionalFormatting>
  <conditionalFormatting sqref="K569 N569 E570">
    <cfRule type="expression" dxfId="31" priority="18">
      <formula>AND(N($K$569)&lt;0.4,$E$570&lt;&gt;"")</formula>
    </cfRule>
  </conditionalFormatting>
  <conditionalFormatting sqref="E570">
    <cfRule type="expression" dxfId="30" priority="17">
      <formula>N($K$569)&gt;1</formula>
    </cfRule>
  </conditionalFormatting>
  <conditionalFormatting sqref="I563:N563">
    <cfRule type="expression" dxfId="29" priority="16">
      <formula>$K$569&lt;0.4</formula>
    </cfRule>
  </conditionalFormatting>
  <conditionalFormatting sqref="N563 N567 N569">
    <cfRule type="expression" dxfId="28" priority="15">
      <formula>$K$569&lt;0.4</formula>
    </cfRule>
  </conditionalFormatting>
  <conditionalFormatting sqref="Q329:W329 Q375:X375">
    <cfRule type="expression" dxfId="27" priority="118">
      <formula>AND(OR($H329=0,$H329=""),OR($K329=0,$K329=""),OR($N329=0,$N329=""))</formula>
    </cfRule>
  </conditionalFormatting>
  <conditionalFormatting sqref="P375">
    <cfRule type="expression" dxfId="26" priority="13">
      <formula>$N$329&lt;0</formula>
    </cfRule>
  </conditionalFormatting>
  <conditionalFormatting sqref="P375">
    <cfRule type="cellIs" dxfId="25" priority="14" operator="equal">
      <formula>"**"</formula>
    </cfRule>
  </conditionalFormatting>
  <conditionalFormatting sqref="Q329:X329 Q375:X375">
    <cfRule type="expression" dxfId="24" priority="117">
      <formula>OR(N($H329)&lt;&gt;0,N($K329)&lt;&gt;0,N($N329)&lt;&gt;0)</formula>
    </cfRule>
  </conditionalFormatting>
  <conditionalFormatting sqref="H329 K329 N329 H375 K375 N375">
    <cfRule type="expression" dxfId="23" priority="12">
      <formula>N($H$329)&lt;&gt;0</formula>
    </cfRule>
  </conditionalFormatting>
  <conditionalFormatting sqref="N194">
    <cfRule type="expression" dxfId="22" priority="11">
      <formula>N194&lt;&gt;ROUNDDOWN(N194,0)</formula>
    </cfRule>
  </conditionalFormatting>
  <conditionalFormatting sqref="E545 N544 N551 N553">
    <cfRule type="expression" dxfId="21" priority="175">
      <formula>$N$544&lt;=0</formula>
    </cfRule>
  </conditionalFormatting>
  <conditionalFormatting sqref="H208">
    <cfRule type="expression" dxfId="20" priority="10">
      <formula>$S$199=21%</formula>
    </cfRule>
  </conditionalFormatting>
  <conditionalFormatting sqref="Q208">
    <cfRule type="expression" dxfId="19" priority="9">
      <formula>Q208&lt;&gt;ROUNDDOWN(Q208,0)</formula>
    </cfRule>
  </conditionalFormatting>
  <conditionalFormatting sqref="F493:K493">
    <cfRule type="expression" dxfId="18" priority="176">
      <formula>AND($K493+$K492&lt;$H$690,$H504&gt;0)</formula>
    </cfRule>
  </conditionalFormatting>
  <conditionalFormatting sqref="R344 R294">
    <cfRule type="expression" dxfId="17" priority="183">
      <formula>N(SUMIF($K293:$K315,$K$653,$H293:$H315))&gt;$H$665</formula>
    </cfRule>
  </conditionalFormatting>
  <conditionalFormatting sqref="R340:Y340 AA340:AC340 R290:V290 S291 Y290:AC290">
    <cfRule type="expression" dxfId="16" priority="184">
      <formula>OR($R290&lt;N(SUMIF($K293:$K315,$K$652,$H293:$H315)),$R290="&lt;Select County on Row 388&gt;",$Q290="&lt;Select Dev. Cat. on Row 32&gt;")</formula>
    </cfRule>
  </conditionalFormatting>
  <conditionalFormatting sqref="R348 R298">
    <cfRule type="cellIs" dxfId="15" priority="185" operator="lessThan">
      <formula>N(SUMIF($K293:$K315,$K$652,$H293:$H315))+N(SUMIF($K293:$K315,$K$653,$H293:$H315))</formula>
    </cfRule>
  </conditionalFormatting>
  <conditionalFormatting sqref="R355">
    <cfRule type="expression" dxfId="14" priority="186">
      <formula>N(SUMIF($K343:$K365,$K$652,$H343:$H365))&lt;$H$675</formula>
    </cfRule>
  </conditionalFormatting>
  <conditionalFormatting sqref="C411">
    <cfRule type="expression" dxfId="13" priority="8">
      <formula>$P411="**"</formula>
    </cfRule>
  </conditionalFormatting>
  <conditionalFormatting sqref="C414">
    <cfRule type="expression" dxfId="12" priority="7">
      <formula>$P414="**"</formula>
    </cfRule>
  </conditionalFormatting>
  <conditionalFormatting sqref="N421 N427 N430 N438">
    <cfRule type="expression" dxfId="11" priority="204">
      <formula>$P421&gt;1</formula>
    </cfRule>
  </conditionalFormatting>
  <conditionalFormatting sqref="N430:N434">
    <cfRule type="expression" dxfId="10" priority="5">
      <formula>$P$430&gt;1</formula>
    </cfRule>
  </conditionalFormatting>
  <conditionalFormatting sqref="K393:M393">
    <cfRule type="expression" dxfId="9" priority="211">
      <formula>AND(K393=C503,K12&lt;&gt;F503)</formula>
    </cfRule>
  </conditionalFormatting>
  <conditionalFormatting sqref="I271:K271">
    <cfRule type="expression" dxfId="8" priority="224">
      <formula>OR(K$36=F$616,K$36=F$617)</formula>
    </cfRule>
  </conditionalFormatting>
  <conditionalFormatting sqref="I271:K271">
    <cfRule type="expression" dxfId="7" priority="225">
      <formula>AND(OR(K36=F616,K36=F617),OR(I271="",I271=$N$614))</formula>
    </cfRule>
  </conditionalFormatting>
  <conditionalFormatting sqref="I270:K270 K661:M661">
    <cfRule type="expression" dxfId="6" priority="226">
      <formula>OR(K$36=F$616,K$36=F$617)</formula>
    </cfRule>
    <cfRule type="expression" dxfId="5" priority="227">
      <formula>AND(OR(K$36=F$616,K$36=F$617),N(I270)=0)</formula>
    </cfRule>
  </conditionalFormatting>
  <conditionalFormatting sqref="K411:M411">
    <cfRule type="expression" dxfId="4" priority="230">
      <formula>AND(K411=K617,K36&lt;&gt;F616)</formula>
    </cfRule>
  </conditionalFormatting>
  <conditionalFormatting sqref="K415:M415">
    <cfRule type="expression" dxfId="3" priority="231">
      <formula>AND(K415=C616,K36&lt;&gt;F616)</formula>
    </cfRule>
  </conditionalFormatting>
  <conditionalFormatting sqref="R289:AC289 R339:Y339 AA339:AC339">
    <cfRule type="expression" dxfId="2" priority="238">
      <formula>N(SUMIF($K293:$K315,$K$652,$H293:$H315))&gt;$R289*N($K$34)</formula>
    </cfRule>
  </conditionalFormatting>
  <conditionalFormatting sqref="R291 R341:Y341 T291:V291 Y291:AC291 AA341:AC341">
    <cfRule type="expression" dxfId="1" priority="241">
      <formula>N(SUMIF($K293:$K315,$K$652,$H293:$H315))&gt;MIN($R289*N($K$34),N(R290))</formula>
    </cfRule>
  </conditionalFormatting>
  <conditionalFormatting sqref="U298:AC298 U348:AC348">
    <cfRule type="expression" dxfId="0" priority="246">
      <formula>N(SUMIF($K293:$K315,$K$652,$H293:$H315))+N(SUMIF($K293:$K315,$K$653,$H293:$H315))&gt;ROUNDDOWN(N($H$281)*35%,2)</formula>
    </cfRule>
  </conditionalFormatting>
  <dataValidations count="11">
    <dataValidation type="list" allowBlank="1" showInputMessage="1" showErrorMessage="1" sqref="S199" xr:uid="{4EF9002D-E6E7-42BA-BF6E-92844EE6F893}">
      <formula1>$E$613:$E$616</formula1>
    </dataValidation>
    <dataValidation type="list" allowBlank="1" showInputMessage="1" showErrorMessage="1" sqref="I271:K271 K393:M393" xr:uid="{1363DD37-3E18-4631-9968-B789894B5D74}">
      <formula1>$N$614:$N$616</formula1>
    </dataValidation>
    <dataValidation type="list" allowBlank="1" showInputMessage="1" showErrorMessage="1" sqref="K390:M390" xr:uid="{92114C30-8DF5-42AC-8FE8-C9FC891182BD}">
      <formula1>$E$620:$E$687</formula1>
    </dataValidation>
    <dataValidation type="whole" allowBlank="1" showInputMessage="1" showErrorMessage="1" error="Only whole numbers are allowed to be entered and exist in the Application's Development Cost Pro Forma._x000a_Please adjust your entry accordingly." sqref="H55 K55 K57 H57 H61 K61 K63 H63 H65 K65 H67 K67 H69 K69 H71 K71 H73 K73 H78 K78 H83 K83 H91 K91 H93 K93 H95 K95 H97 K97 H99 K99 H101 K101 H103 K103 H105 K105 H107 K107 H109 K109 H111 K111 H113 K113 H115 K115 H118 K118 H120 K120 H122 K122 H124 K124 H126 K126 H128 K128 H130 K130 H132 K132 H134 K134 H136 K136 H138 K138 H140 K140 H142 K142 H144 K144 H149 K149 H158 K158 H161 K161 H163 K163 H166 K166 H169 K169 H174 K174 H177 K177 H179 K179 H181 K181 H187 K187 H189 K189 K59 K210 H172 K172 H198:H199 K198:K199 H201 K201 H59" xr:uid="{82B2E372-B1F2-4B1F-AFEF-19203435C34E}">
      <formula1>-1000000000</formula1>
      <formula2>1000000000</formula2>
    </dataValidation>
    <dataValidation type="list" allowBlank="1" showInputMessage="1" showErrorMessage="1" sqref="L347 L349 L355 L357 L359 L361 L365 L343 L363 L345" xr:uid="{670B6D60-A91B-4A17-AC89-CE8DA3AE772A}">
      <formula1>SourceType</formula1>
    </dataValidation>
    <dataValidation type="whole" allowBlank="1" showInputMessage="1" showErrorMessage="1" prompt="Please enter a whole number of at least 20." sqref="K660" xr:uid="{0E1809F0-6351-463B-AAF9-105CF2ED7B96}">
      <formula1>20</formula1>
      <formula2>999</formula2>
    </dataValidation>
    <dataValidation type="list" allowBlank="1" showInputMessage="1" showErrorMessage="1" sqref="K411:M411" xr:uid="{478027E0-9341-4171-8711-14B146A2B2CB}">
      <formula1>$K$613:$K$617</formula1>
    </dataValidation>
    <dataValidation type="list" allowBlank="1" showInputMessage="1" showErrorMessage="1" sqref="K415:M415" xr:uid="{04AEAF56-A69D-413E-9F5B-47A747638CED}">
      <formula1>$C$613:$C$616</formula1>
    </dataValidation>
    <dataValidation type="list" allowBlank="1" showInputMessage="1" showErrorMessage="1" sqref="K421:K423 K651:K652 K425 K427:K428 K436 K430:K434 K438:K439" xr:uid="{C884380D-E3F1-46F6-AFB0-20969E6F1310}">
      <formula1>$C$613:$C$615</formula1>
    </dataValidation>
    <dataValidation type="list" allowBlank="1" showInputMessage="1" showErrorMessage="1" sqref="K659:N659 K36:N36" xr:uid="{4588920A-F76A-47F5-99E3-2216BBF4AECB}">
      <formula1>$F$613:$F$617</formula1>
    </dataValidation>
    <dataValidation type="list" showInputMessage="1" showErrorMessage="1" sqref="F311 F313 F361 F363" xr:uid="{A0168A87-436F-40E6-A72B-2DCB4FC3C9D1}">
      <formula1>$K$698:$K$704</formula1>
    </dataValidation>
  </dataValidations>
  <printOptions horizontalCentered="1"/>
  <pageMargins left="0.5" right="0.5" top="0.75" bottom="0.75" header="0.25" footer="0.25"/>
  <pageSetup scale="71" orientation="portrait" r:id="rId1"/>
  <rowBreaks count="6" manualBreakCount="6">
    <brk id="150" max="15" man="1"/>
    <brk id="281" max="16383" man="1"/>
    <brk id="331" max="16383" man="1"/>
    <brk id="377" max="16383" man="1"/>
    <brk id="447" max="15" man="1"/>
    <brk id="506" max="16383" man="1"/>
  </rowBreaks>
  <ignoredErrors>
    <ignoredError sqref="I40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DBB481-9738-40F0-B889-BD75813C0B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CAB442-1470-46E7-9046-3098C7788B82}">
  <ds:schemaRefs>
    <ds:schemaRef ds:uri="http://schemas.microsoft.com/sharepoint/v3/contenttype/forms"/>
  </ds:schemaRefs>
</ds:datastoreItem>
</file>

<file path=customXml/itemProps3.xml><?xml version="1.0" encoding="utf-8"?>
<ds:datastoreItem xmlns:ds="http://schemas.openxmlformats.org/officeDocument/2006/customXml" ds:itemID="{0E528D35-2F8A-4DDA-AD6F-ACB2B0581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308</vt:i4>
      </vt:variant>
    </vt:vector>
  </HeadingPairs>
  <TitlesOfParts>
    <vt:vector size="309" baseType="lpstr">
      <vt:lpstr>2021-211</vt:lpstr>
      <vt:lpstr>'2021-211'!Acq_elig</vt:lpstr>
      <vt:lpstr>'2021-211'!Acq_inelig</vt:lpstr>
      <vt:lpstr>'2021-211'!Acq_total</vt:lpstr>
      <vt:lpstr>'2021-211'!Acquisition_eligible</vt:lpstr>
      <vt:lpstr>'2021-211'!Acquisition_ineligible</vt:lpstr>
      <vt:lpstr>'2021-211'!Acquisition_total</vt:lpstr>
      <vt:lpstr>'2021-211'!Actual_Accessory_eligible</vt:lpstr>
      <vt:lpstr>'2021-211'!Actual_Accessory_ineligible</vt:lpstr>
      <vt:lpstr>'2021-211'!Actual_Accessory_total</vt:lpstr>
      <vt:lpstr>'2021-211'!Actual_Comm_Retail_eligible</vt:lpstr>
      <vt:lpstr>'2021-211'!Actual_Comm_Retail_ineligible</vt:lpstr>
      <vt:lpstr>'2021-211'!Actual_Comm_Retail_total</vt:lpstr>
      <vt:lpstr>'2021-211'!Actual_commonareas_eligible</vt:lpstr>
      <vt:lpstr>'2021-211'!Actual_commonareas_ineligible</vt:lpstr>
      <vt:lpstr>'2021-211'!Actual_commonareas_total</vt:lpstr>
      <vt:lpstr>'2021-211'!Actual_Constructioncost_eligible</vt:lpstr>
      <vt:lpstr>'2021-211'!Actual_Constructioncost_ineligible</vt:lpstr>
      <vt:lpstr>'2021-211'!Actual_Constructioncost_total</vt:lpstr>
      <vt:lpstr>'2021-211'!Actual_Demolition_eligible</vt:lpstr>
      <vt:lpstr>'2021-211'!Actual_Demolition_ineligible</vt:lpstr>
      <vt:lpstr>'2021-211'!Actual_Demolition_total</vt:lpstr>
      <vt:lpstr>'2021-211'!Actual_existingrental_eligible</vt:lpstr>
      <vt:lpstr>'2021-211'!Actual_existingrental_ineligible</vt:lpstr>
      <vt:lpstr>'2021-211'!Actual_existingrental_total</vt:lpstr>
      <vt:lpstr>'2021-211'!Actual_GCfee_eligible</vt:lpstr>
      <vt:lpstr>'2021-211'!Actual_GCfee_ineligible</vt:lpstr>
      <vt:lpstr>'2021-211'!Actual_GCfee_total</vt:lpstr>
      <vt:lpstr>'2021-211'!Actual_NewUnits_eligible</vt:lpstr>
      <vt:lpstr>'2021-211'!Actual_NewUnits_ineligible</vt:lpstr>
      <vt:lpstr>'2021-211'!Actual_NewUnits_total</vt:lpstr>
      <vt:lpstr>'2021-211'!Actual_Offsite_eligible</vt:lpstr>
      <vt:lpstr>'2021-211'!Actual_Offsite_ineligible</vt:lpstr>
      <vt:lpstr>'2021-211'!Actual_Offsite_total</vt:lpstr>
      <vt:lpstr>'2021-211'!Actual_Other_eligible</vt:lpstr>
      <vt:lpstr>'2021-211'!Actual_Other_ineligible</vt:lpstr>
      <vt:lpstr>'2021-211'!Actual_Other_total</vt:lpstr>
      <vt:lpstr>'2021-211'!Actual_recreational_eligible</vt:lpstr>
      <vt:lpstr>'2021-211'!Actual_recreational_ineligible</vt:lpstr>
      <vt:lpstr>'2021-211'!Actual_recreational_total</vt:lpstr>
      <vt:lpstr>'2021-211'!Actual_sitework_eligible</vt:lpstr>
      <vt:lpstr>'2021-211'!Actual_sitework_ineligible</vt:lpstr>
      <vt:lpstr>'2021-211'!Actual_sitework_total</vt:lpstr>
      <vt:lpstr>'2021-211'!Actual_TotalConstructioncost_eligible</vt:lpstr>
      <vt:lpstr>'2021-211'!Actual_TotalConstructioncost_ineligible</vt:lpstr>
      <vt:lpstr>'2021-211'!Actual_TotalConstructioncost_total</vt:lpstr>
      <vt:lpstr>Constr_FHFC_FUND_TYPE_1</vt:lpstr>
      <vt:lpstr>Constr_FHFC_FUND_TYPE_2</vt:lpstr>
      <vt:lpstr>'2021-211'!ConstrAnalysis__10th_Mtg</vt:lpstr>
      <vt:lpstr>ConstrAnalysis__10th_N</vt:lpstr>
      <vt:lpstr>ConstrAnalysis__10th_Type</vt:lpstr>
      <vt:lpstr>'2021-211'!ConstrAnalysis__11th_Mtg</vt:lpstr>
      <vt:lpstr>ConstrAnalysis__11th_N</vt:lpstr>
      <vt:lpstr>ConstrAnalysis__11th_Type</vt:lpstr>
      <vt:lpstr>'2021-211'!ConstrAnalysis__1st_Mtg</vt:lpstr>
      <vt:lpstr>ConstrAnalysis__1st_N</vt:lpstr>
      <vt:lpstr>'2021-211'!ConstrAnalysis__1st_Type</vt:lpstr>
      <vt:lpstr>'2021-211'!ConstrAnalysis__2nd_Mtg</vt:lpstr>
      <vt:lpstr>ConstrAnalysis__2nd_N</vt:lpstr>
      <vt:lpstr>'2021-211'!ConstrAnalysis__2nd_Type</vt:lpstr>
      <vt:lpstr>'2021-211'!ConstrAnalysis__3rd_Mtg</vt:lpstr>
      <vt:lpstr>ConstrAnalysis__3rd_N</vt:lpstr>
      <vt:lpstr>'2021-211'!ConstrAnalysis__3rd_Type</vt:lpstr>
      <vt:lpstr>'2021-211'!ConstrAnalysis__4th_Mtg</vt:lpstr>
      <vt:lpstr>ConstrAnalysis__4th_N</vt:lpstr>
      <vt:lpstr>'2021-211'!ConstrAnalysis__4th_Type</vt:lpstr>
      <vt:lpstr>'2021-211'!ConstrAnalysis__5th_Mtg</vt:lpstr>
      <vt:lpstr>ConstrAnalysis__5th_N</vt:lpstr>
      <vt:lpstr>'2021-211'!ConstrAnalysis__5th_Type</vt:lpstr>
      <vt:lpstr>'2021-211'!ConstrAnalysis__6th_Mtg</vt:lpstr>
      <vt:lpstr>ConstrAnalysis__6th_N</vt:lpstr>
      <vt:lpstr>'2021-211'!ConstrAnalysis__6th_Type</vt:lpstr>
      <vt:lpstr>'2021-211'!ConstrAnalysis__7th_Mtg</vt:lpstr>
      <vt:lpstr>ConstrAnalysis__7th_N</vt:lpstr>
      <vt:lpstr>'2021-211'!ConstrAnalysis__7th_Type</vt:lpstr>
      <vt:lpstr>'2021-211'!ConstrAnalysis__8th_Mtg</vt:lpstr>
      <vt:lpstr>ConstrAnalysis__8th_N</vt:lpstr>
      <vt:lpstr>'2021-211'!ConstrAnalysis__8th_Type</vt:lpstr>
      <vt:lpstr>'2021-211'!ConstrAnalysis__9th_Mtg</vt:lpstr>
      <vt:lpstr>ConstrAnalysis__9th_N</vt:lpstr>
      <vt:lpstr>'2021-211'!ConstrAnalysis__9th_Type</vt:lpstr>
      <vt:lpstr>ConstrAnalysis__Viability_N</vt:lpstr>
      <vt:lpstr>'2021-211'!ConstrAnalysis_deferredfee_H</vt:lpstr>
      <vt:lpstr>ConstrAnalysis_deferredfee_K</vt:lpstr>
      <vt:lpstr>ConstrAnalysis_deferredfee_N</vt:lpstr>
      <vt:lpstr>'2021-211'!ConstrAnalysis_HC_H</vt:lpstr>
      <vt:lpstr>ConstrAnalysis_HC_K</vt:lpstr>
      <vt:lpstr>ConstrAnalysis_HC_N</vt:lpstr>
      <vt:lpstr>'2021-211'!ConstrAnalysis_other1_title</vt:lpstr>
      <vt:lpstr>'2021-211'!ConstrAnalysis_other2_title</vt:lpstr>
      <vt:lpstr>'2021-211'!ConstrAnalysis_surplus_H</vt:lpstr>
      <vt:lpstr>ConstrAnalysis_surplus_K</vt:lpstr>
      <vt:lpstr>ConstrAnalysis_surplus_N</vt:lpstr>
      <vt:lpstr>'2021-211'!ConstrAnalysis_totalsources_H</vt:lpstr>
      <vt:lpstr>ConstrAnalysis_totalsources_K</vt:lpstr>
      <vt:lpstr>ConstrAnalysis_totalsources_N</vt:lpstr>
      <vt:lpstr>'2021-211'!Contingency_Hard_eligible</vt:lpstr>
      <vt:lpstr>'2021-211'!Contingency_Hard_ineligible</vt:lpstr>
      <vt:lpstr>'2021-211'!Contingency_Hard_total</vt:lpstr>
      <vt:lpstr>'2021-211'!Contingency_Soft_eligible</vt:lpstr>
      <vt:lpstr>'2021-211'!Contingency_Soft_ineligible</vt:lpstr>
      <vt:lpstr>'2021-211'!Contingency_Soft_total</vt:lpstr>
      <vt:lpstr>'2021-211'!Description_acquisition_other</vt:lpstr>
      <vt:lpstr>'2021-211'!Description_Actual_offsite</vt:lpstr>
      <vt:lpstr>'2021-211'!Description_Actual_other</vt:lpstr>
      <vt:lpstr>'2021-211'!Description_financial_other</vt:lpstr>
      <vt:lpstr>'2021-211'!Description_General_impact</vt:lpstr>
      <vt:lpstr>'2021-211'!Description_General_other</vt:lpstr>
      <vt:lpstr>'2021-211'!Developer_fee_acq_eligible</vt:lpstr>
      <vt:lpstr>'2021-211'!Developer_fee_acq_ineligible</vt:lpstr>
      <vt:lpstr>'2021-211'!Developer_fee_acq_total</vt:lpstr>
      <vt:lpstr>'2021-211'!Developer_fee_eligible</vt:lpstr>
      <vt:lpstr>'2021-211'!Developer_fee_ineligible</vt:lpstr>
      <vt:lpstr>'2021-211'!Developer_fee_non_acq_eligible</vt:lpstr>
      <vt:lpstr>'2021-211'!Developer_fee_non_acq_ineligible</vt:lpstr>
      <vt:lpstr>'2021-211'!Developer_fee_non_acq_total</vt:lpstr>
      <vt:lpstr>'2021-211'!Developer_fee_Percentage_dropdown</vt:lpstr>
      <vt:lpstr>'2021-211'!Developer_fee_total</vt:lpstr>
      <vt:lpstr>'2021-211'!Development_Cost_eligible</vt:lpstr>
      <vt:lpstr>'2021-211'!Development_Cost_ineligible</vt:lpstr>
      <vt:lpstr>'2021-211'!Development_Cost_total</vt:lpstr>
      <vt:lpstr>'2021-211'!ELIData</vt:lpstr>
      <vt:lpstr>'2021-211'!Excel_RFA_Number</vt:lpstr>
      <vt:lpstr>'2021-211'!Financial_bridge_commitment_eligible</vt:lpstr>
      <vt:lpstr>'2021-211'!Financial_bridge_commitment_ineligible</vt:lpstr>
      <vt:lpstr>'2021-211'!Financial_bridge_commitment_total</vt:lpstr>
      <vt:lpstr>'2021-211'!Financial_bridge_interest_eligible</vt:lpstr>
      <vt:lpstr>'2021-211'!Financial_bridge_interest_ineligible</vt:lpstr>
      <vt:lpstr>'2021-211'!Financial_bridge_interest_total</vt:lpstr>
      <vt:lpstr>'2021-211'!Financial_constr_commitment_eligible</vt:lpstr>
      <vt:lpstr>'2021-211'!Financial_constr_commitment_ineligible</vt:lpstr>
      <vt:lpstr>'2021-211'!Financial_constr_commitment_total</vt:lpstr>
      <vt:lpstr>'2021-211'!Financial_constr_enhancement_eligible</vt:lpstr>
      <vt:lpstr>'2021-211'!Financial_constr_enhancement_ineligible</vt:lpstr>
      <vt:lpstr>'2021-211'!Financial_constr_enhancement_total</vt:lpstr>
      <vt:lpstr>'2021-211'!Financial_constr_interest_eligible</vt:lpstr>
      <vt:lpstr>'2021-211'!Financial_constr_interest_ineligible</vt:lpstr>
      <vt:lpstr>'2021-211'!Financial_constr_interest_total</vt:lpstr>
      <vt:lpstr>'2021-211'!Financial_nonperm_closing_eligible</vt:lpstr>
      <vt:lpstr>'2021-211'!Financial_nonperm_closing_ineligible</vt:lpstr>
      <vt:lpstr>'2021-211'!Financial_nonperm_closing_total</vt:lpstr>
      <vt:lpstr>'2021-211'!Financial_other_eligible</vt:lpstr>
      <vt:lpstr>'2021-211'!Financial_other_ineligible</vt:lpstr>
      <vt:lpstr>'2021-211'!Financial_other_total</vt:lpstr>
      <vt:lpstr>'2021-211'!Financial_perm_closing_ineligible</vt:lpstr>
      <vt:lpstr>'2021-211'!Financial_perm_closing_total</vt:lpstr>
      <vt:lpstr>'2021-211'!Financial_perm_commitment_ineligible</vt:lpstr>
      <vt:lpstr>'2021-211'!Financial_perm_commitment_total</vt:lpstr>
      <vt:lpstr>'2021-211'!Financial_perm_enhancement_ineligible</vt:lpstr>
      <vt:lpstr>'2021-211'!Financial_perm_enhancement_total</vt:lpstr>
      <vt:lpstr>'2021-211'!Financial_total_eligible</vt:lpstr>
      <vt:lpstr>'2021-211'!Financial_total_ineligible</vt:lpstr>
      <vt:lpstr>'2021-211'!Financial_totalcosts_total</vt:lpstr>
      <vt:lpstr>'2021-211'!FundingTable</vt:lpstr>
      <vt:lpstr>'2021-211'!General_Accounting_eligible</vt:lpstr>
      <vt:lpstr>'2021-211'!General_Accounting_ineligible</vt:lpstr>
      <vt:lpstr>'2021-211'!General_Accounting_total</vt:lpstr>
      <vt:lpstr>'2021-211'!General_adminfee_ineligible</vt:lpstr>
      <vt:lpstr>'2021-211'!General_adminfee_total</vt:lpstr>
      <vt:lpstr>'2021-211'!General_applicationfee_ineligible</vt:lpstr>
      <vt:lpstr>'2021-211'!General_applicationfee_total</vt:lpstr>
      <vt:lpstr>'2021-211'!General_Appraisal_eligible</vt:lpstr>
      <vt:lpstr>'2021-211'!General_Appraisal_ineligible</vt:lpstr>
      <vt:lpstr>'2021-211'!General_Appraisal_total</vt:lpstr>
      <vt:lpstr>'2021-211'!General_Architectfeedesign_eligible</vt:lpstr>
      <vt:lpstr>'2021-211'!General_Architectfeedesign_ineligible</vt:lpstr>
      <vt:lpstr>'2021-211'!General_Architectfeedesign_total</vt:lpstr>
      <vt:lpstr>'2021-211'!General_Architectfeesupervision_eligible</vt:lpstr>
      <vt:lpstr>'2021-211'!General_Architectfeesupervision_ineligible</vt:lpstr>
      <vt:lpstr>'2021-211'!General_Architectfeesupervision_total</vt:lpstr>
      <vt:lpstr>'2021-211'!General_builder_ins_eligible</vt:lpstr>
      <vt:lpstr>'2021-211'!General_builder_ins_ineligible</vt:lpstr>
      <vt:lpstr>'2021-211'!General_builder_ins_total</vt:lpstr>
      <vt:lpstr>'2021-211'!General_capitalneeds_eligible</vt:lpstr>
      <vt:lpstr>'2021-211'!General_capitalneeds_ineligible</vt:lpstr>
      <vt:lpstr>'2021-211'!General_capitalneeds_total</vt:lpstr>
      <vt:lpstr>'2021-211'!General_compliancefee_ineligible</vt:lpstr>
      <vt:lpstr>'2021-211'!General_compliancefee_total</vt:lpstr>
      <vt:lpstr>'2021-211'!General_cu_fee_eligible</vt:lpstr>
      <vt:lpstr>'2021-211'!General_cu_fee_ineligible</vt:lpstr>
      <vt:lpstr>'2021-211'!General_cu_fee_total</vt:lpstr>
      <vt:lpstr>'2021-211'!General_engineering_eligible</vt:lpstr>
      <vt:lpstr>'2021-211'!General_engineering_ineligible</vt:lpstr>
      <vt:lpstr>'2021-211'!General_engineering_total</vt:lpstr>
      <vt:lpstr>'2021-211'!General_environmental_eligible</vt:lpstr>
      <vt:lpstr>'2021-211'!General_environmental_ineligible</vt:lpstr>
      <vt:lpstr>'2021-211'!General_environmental_total</vt:lpstr>
      <vt:lpstr>'2021-211'!General_HERS_eligible</vt:lpstr>
      <vt:lpstr>'2021-211'!General_HERS_ineligible</vt:lpstr>
      <vt:lpstr>'2021-211'!General_HERS_total</vt:lpstr>
      <vt:lpstr>'2021-211'!General_Impact_eligible</vt:lpstr>
      <vt:lpstr>'2021-211'!General_Impact_ineligible</vt:lpstr>
      <vt:lpstr>'2021-211'!General_Impact_total</vt:lpstr>
      <vt:lpstr>'2021-211'!General_inspectionfee_eligible</vt:lpstr>
      <vt:lpstr>'2021-211'!General_inspectionfee_ineligible</vt:lpstr>
      <vt:lpstr>'2021-211'!General_inspectionfee_total</vt:lpstr>
      <vt:lpstr>'2021-211'!General_insurance_eligible</vt:lpstr>
      <vt:lpstr>'2021-211'!General_insurance_ineligible</vt:lpstr>
      <vt:lpstr>'2021-211'!General_insurance_total</vt:lpstr>
      <vt:lpstr>'2021-211'!General_legalfee_eligible</vt:lpstr>
      <vt:lpstr>'2021-211'!General_legalfee_ineligible</vt:lpstr>
      <vt:lpstr>'2021-211'!General_legalfee_total</vt:lpstr>
      <vt:lpstr>'2021-211'!General_marketing_ineligible</vt:lpstr>
      <vt:lpstr>'2021-211'!General_marketing_total</vt:lpstr>
      <vt:lpstr>'2021-211'!General_marketstudy_eligible</vt:lpstr>
      <vt:lpstr>'2021-211'!General_marketstudy_ineligible</vt:lpstr>
      <vt:lpstr>'2021-211'!General_marketstudy_total</vt:lpstr>
      <vt:lpstr>'2021-211'!General_other_eligible</vt:lpstr>
      <vt:lpstr>'2021-211'!General_other_ineligible</vt:lpstr>
      <vt:lpstr>'2021-211'!General_other_total</vt:lpstr>
      <vt:lpstr>'2021-211'!General_permit_eligible</vt:lpstr>
      <vt:lpstr>'2021-211'!General_permit_ineligible</vt:lpstr>
      <vt:lpstr>'2021-211'!General_permit_total</vt:lpstr>
      <vt:lpstr>'2021-211'!General_propertytaxes_eligible</vt:lpstr>
      <vt:lpstr>'2021-211'!General_propertytaxes_ineligible</vt:lpstr>
      <vt:lpstr>'2021-211'!General_propertytaxes_total</vt:lpstr>
      <vt:lpstr>'2021-211'!General_relocation_eligible</vt:lpstr>
      <vt:lpstr>'2021-211'!General_relocation_ineligible</vt:lpstr>
      <vt:lpstr>'2021-211'!General_relocation_total</vt:lpstr>
      <vt:lpstr>'2021-211'!General_soiltest_eligible</vt:lpstr>
      <vt:lpstr>'2021-211'!General_soiltest_ineligible</vt:lpstr>
      <vt:lpstr>'2021-211'!General_soiltest_total</vt:lpstr>
      <vt:lpstr>'2021-211'!General_survey_eligible</vt:lpstr>
      <vt:lpstr>'2021-211'!General_survey_ineligible</vt:lpstr>
      <vt:lpstr>'2021-211'!General_survey_total</vt:lpstr>
      <vt:lpstr>'2021-211'!General_titleinsurance_eligible</vt:lpstr>
      <vt:lpstr>'2021-211'!General_titleinsurance_ineligible</vt:lpstr>
      <vt:lpstr>'2021-211'!General_titleinsurance_total</vt:lpstr>
      <vt:lpstr>'2021-211'!General_totaldevelopmentcost_eligible</vt:lpstr>
      <vt:lpstr>'2021-211'!General_totaldevelopmentcost_ineligible</vt:lpstr>
      <vt:lpstr>'2021-211'!General_totaldevelopmentcost_total</vt:lpstr>
      <vt:lpstr>'2021-211'!General_utilityconnection_eligible</vt:lpstr>
      <vt:lpstr>'2021-211'!General_utilityconnection_ineligible</vt:lpstr>
      <vt:lpstr>'2021-211'!General_utilityconnection_total</vt:lpstr>
      <vt:lpstr>'2021-211'!HC_LOI_H</vt:lpstr>
      <vt:lpstr>'2021-211'!HC_LOI_K</vt:lpstr>
      <vt:lpstr>'2021-211'!HC_LOI_N</vt:lpstr>
      <vt:lpstr>'2021-211'!HC_Price_H</vt:lpstr>
      <vt:lpstr>'2021-211'!HC_Price_K</vt:lpstr>
      <vt:lpstr>'2021-211'!HC_Price_N</vt:lpstr>
      <vt:lpstr>'2021-211'!Land_eligible</vt:lpstr>
      <vt:lpstr>'2021-211'!Land_ineligible</vt:lpstr>
      <vt:lpstr>'2021-211'!Land_total</vt:lpstr>
      <vt:lpstr>'2021-211'!LP_Percent_H</vt:lpstr>
      <vt:lpstr>'2021-211'!LP_Percent_K</vt:lpstr>
      <vt:lpstr>'2021-211'!LP_Percent_N</vt:lpstr>
      <vt:lpstr>'2021-211'!New_LG_WAIV_N</vt:lpstr>
      <vt:lpstr>'2021-211'!ODR_eligible</vt:lpstr>
      <vt:lpstr>'2021-211'!ODR_ineligible</vt:lpstr>
      <vt:lpstr>'2021-211'!ODR_total</vt:lpstr>
      <vt:lpstr>'2021-211'!Other_eligible</vt:lpstr>
      <vt:lpstr>'2021-211'!Other_ineligible</vt:lpstr>
      <vt:lpstr>'2021-211'!Other_total</vt:lpstr>
      <vt:lpstr>PERM_FHFC_FUND_TYPE_1</vt:lpstr>
      <vt:lpstr>PERM_FHFC_FUND_TYPE_2</vt:lpstr>
      <vt:lpstr>PermAnalysis__10th_N</vt:lpstr>
      <vt:lpstr>PermAnalysis__11th_N</vt:lpstr>
      <vt:lpstr>'2021-211'!PermAnalysis__1st_Mtg</vt:lpstr>
      <vt:lpstr>PermAnalysis__1st_N</vt:lpstr>
      <vt:lpstr>'2021-211'!PermAnalysis__1st_Type</vt:lpstr>
      <vt:lpstr>'2021-211'!PermAnalysis__2nd_Mtg</vt:lpstr>
      <vt:lpstr>PermAnalysis__2nd_N</vt:lpstr>
      <vt:lpstr>'2021-211'!PermAnalysis__2nd_Type</vt:lpstr>
      <vt:lpstr>'2021-211'!PermAnalysis__3rd_Mtg</vt:lpstr>
      <vt:lpstr>PermAnalysis__3rd_N</vt:lpstr>
      <vt:lpstr>'2021-211'!PermAnalysis__3rd_Type</vt:lpstr>
      <vt:lpstr>'2021-211'!PermAnalysis__4th_Mtg</vt:lpstr>
      <vt:lpstr>PermAnalysis__4th_N</vt:lpstr>
      <vt:lpstr>'2021-211'!PermAnalysis__4th_Type</vt:lpstr>
      <vt:lpstr>'2021-211'!PermAnalysis__5th_Mtg</vt:lpstr>
      <vt:lpstr>PermAnalysis__5th_N</vt:lpstr>
      <vt:lpstr>'2021-211'!PermAnalysis__5th_Type</vt:lpstr>
      <vt:lpstr>'2021-211'!PermAnalysis__6th_Mtg</vt:lpstr>
      <vt:lpstr>PermAnalysis__6th_N</vt:lpstr>
      <vt:lpstr>'2021-211'!PermAnalysis__6th_Type</vt:lpstr>
      <vt:lpstr>'2021-211'!PermAnalysis__7th_Mtg</vt:lpstr>
      <vt:lpstr>PermAnalysis__7th_N</vt:lpstr>
      <vt:lpstr>'2021-211'!PermAnalysis__7th_Type</vt:lpstr>
      <vt:lpstr>'2021-211'!PermAnalysis__8th_Mtg</vt:lpstr>
      <vt:lpstr>PermAnalysis__8th_N</vt:lpstr>
      <vt:lpstr>'2021-211'!PermAnalysis__8th_Type</vt:lpstr>
      <vt:lpstr>'2021-211'!PermAnalysis__9th_Mtg</vt:lpstr>
      <vt:lpstr>PermAnalysis__9th_N</vt:lpstr>
      <vt:lpstr>'2021-211'!PermAnalysis__9th_Type</vt:lpstr>
      <vt:lpstr>PermAnalysis__Viability_N</vt:lpstr>
      <vt:lpstr>'2021-211'!PermAnalysis_10th_Mtg</vt:lpstr>
      <vt:lpstr>'2021-211'!PermAnalysis_10th_Type</vt:lpstr>
      <vt:lpstr>PermAnalysis_11th_Mtg</vt:lpstr>
      <vt:lpstr>PermAnalysis_11th_Type</vt:lpstr>
      <vt:lpstr>'2021-211'!PermAnalysis_deferredfee_H</vt:lpstr>
      <vt:lpstr>PermAnalysis_deferredfee_K</vt:lpstr>
      <vt:lpstr>PermAnalysis_deferredfee_N</vt:lpstr>
      <vt:lpstr>'2021-211'!PermAnalysis_HC_H</vt:lpstr>
      <vt:lpstr>PermAnalysis_HC_K</vt:lpstr>
      <vt:lpstr>PermAnalysis_HC_N</vt:lpstr>
      <vt:lpstr>'2021-211'!PermAnalysis_other1_title</vt:lpstr>
      <vt:lpstr>'2021-211'!PermAnalysis_other2_title</vt:lpstr>
      <vt:lpstr>'2021-211'!PermAnalysis_surplus_H</vt:lpstr>
      <vt:lpstr>PermAnalysis_surplus_K</vt:lpstr>
      <vt:lpstr>PermAnalysis_surplus_N</vt:lpstr>
      <vt:lpstr>'2021-211'!PermAnalysis_totalsources_H</vt:lpstr>
      <vt:lpstr>PermAnalysis_totalsources_K</vt:lpstr>
      <vt:lpstr>PermAnalysis_totalsources_N</vt:lpstr>
      <vt:lpstr>'2021-211'!Print_Area</vt:lpstr>
      <vt:lpstr>'2021-211'!Pro_Forma_Dev_Cat</vt:lpstr>
      <vt:lpstr>'2021-211'!SourceType</vt:lpstr>
      <vt:lpstr>'2021-211'!TDC_eligible</vt:lpstr>
      <vt:lpstr>'2021-211'!TDC_ineligible</vt:lpstr>
      <vt:lpstr>'2021-211'!TDC_total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Jugenheimer</dc:creator>
  <cp:lastModifiedBy>Jean Salmonsen</cp:lastModifiedBy>
  <cp:lastPrinted>2021-09-24T15:48:06Z</cp:lastPrinted>
  <dcterms:created xsi:type="dcterms:W3CDTF">2021-09-23T12:11:32Z</dcterms:created>
  <dcterms:modified xsi:type="dcterms:W3CDTF">2021-09-24T17:07:40Z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