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floridahousing.sharepoint.com/sites/MF/allocations/Combined Cycle/2022 Rules and RFAs/2022-103 Homeless/ELI worksheet/"/>
    </mc:Choice>
  </mc:AlternateContent>
  <xr:revisionPtr revIDLastSave="1" documentId="13_ncr:1_{CC9EF147-EA16-440C-AE88-8F41D3C95C81}" xr6:coauthVersionLast="46" xr6:coauthVersionMax="46" xr10:uidLastSave="{2B894E83-93BD-4689-8570-A50487279C10}"/>
  <workbookProtection workbookAlgorithmName="SHA-512" workbookHashValue="PtATi6fe/CI7R9z7Y5KdLhOXkhmSh4mPKRctF9rKWO8bvjN1XEn7ttaO7ZPiX43dGPOob1gMeOAuIfGqTncNVA==" workbookSaltValue="OzjM5yuniwdLfLEFB69Q1g==" workbookSpinCount="100000" lockStructure="1"/>
  <bookViews>
    <workbookView xWindow="22932" yWindow="-108" windowWidth="23256" windowHeight="12576" xr2:uid="{00000000-000D-0000-FFFF-FFFF00000000}"/>
  </bookViews>
  <sheets>
    <sheet name="Sheet1" sheetId="1" r:id="rId1"/>
  </sheets>
  <definedNames>
    <definedName name="ELI_PU">Sheet1!$B$42:$I$109</definedName>
    <definedName name="_xlnm.Print_Area" localSheetId="0">Sheet1!$A$1:$H$37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G16" i="1"/>
  <c r="G14" i="1" l="1"/>
  <c r="D123" i="1" l="1"/>
  <c r="I18" i="1" l="1"/>
  <c r="B20" i="1"/>
  <c r="B18" i="1"/>
  <c r="I109" i="1"/>
  <c r="I43" i="1"/>
  <c r="I94" i="1"/>
  <c r="I79" i="1"/>
  <c r="I56" i="1"/>
  <c r="I72" i="1"/>
  <c r="I80" i="1"/>
  <c r="I88" i="1"/>
  <c r="I96" i="1"/>
  <c r="I104" i="1"/>
  <c r="I54" i="1"/>
  <c r="I102" i="1"/>
  <c r="I71" i="1"/>
  <c r="I64" i="1"/>
  <c r="I49" i="1"/>
  <c r="I57" i="1"/>
  <c r="I65" i="1"/>
  <c r="I73" i="1"/>
  <c r="I81" i="1"/>
  <c r="I89" i="1"/>
  <c r="I97" i="1"/>
  <c r="I105" i="1"/>
  <c r="I50" i="1"/>
  <c r="I58" i="1"/>
  <c r="I66" i="1"/>
  <c r="I74" i="1"/>
  <c r="I82" i="1"/>
  <c r="I90" i="1"/>
  <c r="I98" i="1"/>
  <c r="I106" i="1"/>
  <c r="I46" i="1"/>
  <c r="I78" i="1"/>
  <c r="I87" i="1"/>
  <c r="I48" i="1"/>
  <c r="I51" i="1"/>
  <c r="I59" i="1"/>
  <c r="I67" i="1"/>
  <c r="I75" i="1"/>
  <c r="I83" i="1"/>
  <c r="I91" i="1"/>
  <c r="I99" i="1"/>
  <c r="I107" i="1"/>
  <c r="I70" i="1"/>
  <c r="I47" i="1"/>
  <c r="I63" i="1"/>
  <c r="I103" i="1"/>
  <c r="I44" i="1"/>
  <c r="I52" i="1"/>
  <c r="I60" i="1"/>
  <c r="I68" i="1"/>
  <c r="I76" i="1"/>
  <c r="I84" i="1"/>
  <c r="I92" i="1"/>
  <c r="I100" i="1"/>
  <c r="I108" i="1"/>
  <c r="I62" i="1"/>
  <c r="I86" i="1"/>
  <c r="I55" i="1"/>
  <c r="I95" i="1"/>
  <c r="I45" i="1"/>
  <c r="I53" i="1"/>
  <c r="I61" i="1"/>
  <c r="I69" i="1"/>
  <c r="I77" i="1"/>
  <c r="I85" i="1"/>
  <c r="I93" i="1"/>
  <c r="I101" i="1"/>
  <c r="H34" i="1" l="1"/>
  <c r="H24" i="1"/>
  <c r="G24" i="1"/>
  <c r="F24" i="1"/>
  <c r="E24" i="1"/>
  <c r="B21" i="1" l="1"/>
  <c r="G27" i="1"/>
  <c r="G31" i="1"/>
  <c r="G30" i="1"/>
  <c r="G29" i="1"/>
  <c r="G28" i="1"/>
  <c r="G26" i="1"/>
  <c r="J26" i="1" l="1"/>
  <c r="G123" i="1" l="1"/>
  <c r="D24" i="1"/>
  <c r="D26" i="1" l="1"/>
  <c r="E26" i="1" s="1"/>
  <c r="F26" i="1" l="1"/>
  <c r="H26" i="1" s="1"/>
  <c r="A7" i="1"/>
  <c r="A8" i="1" l="1"/>
  <c r="A9" i="1" s="1"/>
  <c r="G18" i="1"/>
  <c r="A10" i="1" l="1"/>
  <c r="A11" i="1" s="1"/>
  <c r="B130" i="1"/>
  <c r="A14" i="1" l="1"/>
  <c r="G8" i="1"/>
  <c r="B134" i="1" l="1"/>
  <c r="B132" i="1"/>
  <c r="A15" i="1"/>
  <c r="A16" i="1" s="1"/>
  <c r="G128" i="1"/>
  <c r="G127" i="1"/>
  <c r="G126" i="1"/>
  <c r="G125" i="1"/>
  <c r="G124" i="1"/>
  <c r="C33" i="1"/>
  <c r="B133" i="1" l="1"/>
  <c r="I19" i="1" s="1"/>
  <c r="J33" i="1"/>
  <c r="G20" i="1"/>
  <c r="I20" i="1" s="1"/>
  <c r="J30" i="1"/>
  <c r="J28" i="1"/>
  <c r="J27" i="1"/>
  <c r="A17" i="1"/>
  <c r="A18" i="1" s="1"/>
  <c r="D27" i="1"/>
  <c r="E27" i="1" s="1"/>
  <c r="I26" i="1"/>
  <c r="I31" i="1"/>
  <c r="I30" i="1"/>
  <c r="I29" i="1"/>
  <c r="I27" i="1"/>
  <c r="I28" i="1"/>
  <c r="F27" i="1" l="1"/>
  <c r="H27" i="1" s="1"/>
  <c r="D28" i="1"/>
  <c r="E28" i="1" s="1"/>
  <c r="I33" i="1"/>
  <c r="F28" i="1" l="1"/>
  <c r="H28" i="1" s="1"/>
  <c r="D29" i="1"/>
  <c r="E29" i="1" s="1"/>
  <c r="D30" i="1" l="1"/>
  <c r="E30" i="1" s="1"/>
  <c r="F29" i="1" l="1"/>
  <c r="H29" i="1" s="1"/>
  <c r="D31" i="1"/>
  <c r="F30" i="1" l="1"/>
  <c r="H30" i="1" s="1"/>
  <c r="E31" i="1"/>
  <c r="E33" i="1" s="1"/>
  <c r="D33" i="1"/>
  <c r="L41" i="1" s="1"/>
  <c r="E34" i="1" l="1"/>
  <c r="L45" i="1"/>
  <c r="F31" i="1"/>
  <c r="H31" i="1" s="1"/>
  <c r="H33" i="1" s="1"/>
  <c r="D34" i="1"/>
  <c r="G34" i="1" l="1"/>
  <c r="F33" i="1"/>
  <c r="J41" i="1" l="1"/>
  <c r="G33" i="1"/>
  <c r="F34" i="1"/>
</calcChain>
</file>

<file path=xl/sharedStrings.xml><?xml version="1.0" encoding="utf-8"?>
<sst xmlns="http://schemas.openxmlformats.org/spreadsheetml/2006/main" count="220" uniqueCount="142">
  <si>
    <t>A</t>
  </si>
  <si>
    <t>B</t>
  </si>
  <si>
    <t>C</t>
  </si>
  <si>
    <t>D</t>
  </si>
  <si>
    <t>E</t>
  </si>
  <si>
    <t>F</t>
  </si>
  <si>
    <t>G</t>
  </si>
  <si>
    <t># of Bedrooms</t>
  </si>
  <si>
    <t># of Proposed Units</t>
  </si>
  <si>
    <t>Cumulative Proposed Units</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</si>
  <si>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</si>
  <si>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</si>
  <si>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</si>
  <si>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</si>
  <si>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</si>
  <si>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</si>
  <si>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</si>
  <si>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</si>
  <si>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</si>
  <si>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</si>
  <si>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</si>
  <si>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</si>
  <si>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</si>
  <si>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</si>
  <si>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</si>
  <si>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</si>
  <si>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</si>
  <si>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</si>
  <si>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</si>
  <si>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</si>
  <si>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</si>
  <si>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</si>
  <si>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</si>
  <si>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</si>
  <si>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</si>
  <si>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</si>
  <si>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</si>
  <si>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</si>
  <si>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</si>
  <si>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</si>
  <si>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</si>
  <si>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</si>
  <si>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</si>
  <si>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</si>
  <si>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</si>
  <si>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</si>
  <si>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</si>
  <si>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</si>
  <si>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</si>
  <si>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</si>
  <si>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</si>
  <si>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</si>
  <si>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</si>
  <si>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</si>
  <si>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</si>
  <si>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</si>
  <si>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</si>
  <si>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</si>
  <si>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</si>
  <si>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</si>
  <si>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</si>
  <si>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</si>
  <si>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</si>
  <si>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</si>
  <si>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</si>
  <si>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</si>
  <si>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</si>
  <si>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</si>
  <si>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</si>
  <si>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</si>
  <si>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</si>
  <si>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</si>
  <si>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</si>
  <si>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</si>
  <si>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</si>
  <si>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</si>
  <si>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</si>
  <si>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</si>
  <si>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</si>
  <si>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</si>
  <si>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</si>
  <si>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</si>
  <si>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Input your unit mix into this column</t>
  </si>
  <si>
    <t>&lt;Select a County&gt;</t>
  </si>
  <si>
    <t>Medium</t>
  </si>
  <si>
    <t>Small</t>
  </si>
  <si>
    <t>Large</t>
  </si>
  <si>
    <t>County Size</t>
  </si>
  <si>
    <t>Yes</t>
  </si>
  <si>
    <t>No</t>
  </si>
  <si>
    <t>&lt;Select&gt;</t>
  </si>
  <si>
    <t>&lt;Enter %&gt;</t>
  </si>
  <si>
    <t>ELI Loan cap</t>
  </si>
  <si>
    <t>Avg Inc Test</t>
  </si>
  <si>
    <t>40% @ 60%</t>
  </si>
  <si>
    <t>20% @ 50%</t>
  </si>
  <si>
    <t>RFA ELI AMI</t>
  </si>
  <si>
    <t>Garden (Not ESSC)</t>
  </si>
  <si>
    <t>Garden (ESSC)</t>
  </si>
  <si>
    <t>Mid-Rise (not ESSC)</t>
  </si>
  <si>
    <t>Mid-Rise (ESSC)</t>
  </si>
  <si>
    <t>High-Rise</t>
  </si>
  <si>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</si>
  <si>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</si>
  <si>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</si>
  <si>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</si>
  <si>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t>Maximum ELI Loan Determination Worksheet</t>
  </si>
  <si>
    <t>ELI Loan Amounts Per Bedroom Count for each County.</t>
  </si>
  <si>
    <t>Select the County in which your proposed Development is located…...........................................................................</t>
  </si>
  <si>
    <t>County size designation….......................................................................................................................................................</t>
  </si>
  <si>
    <t>Indicate the IRS Minimum Set-Aside Commitment…........................................................................................................</t>
  </si>
  <si>
    <t>Is the proposed Development located in an LDA?............................................................................................................</t>
  </si>
  <si>
    <t>What is the Demographic Commitment?...................................................................................................................................</t>
  </si>
  <si>
    <t>Is the proposed Development 100% New Construction?....................................................................................................</t>
  </si>
  <si>
    <t>Persons with Developmental Disabilities</t>
  </si>
  <si>
    <t>Persons with Disabling Condition</t>
  </si>
  <si>
    <t>What is the maximum ELI Set-Aside funded with SAIL-ELI (% of Total Units)?.................................................</t>
  </si>
  <si>
    <r>
      <t>(</t>
    </r>
    <r>
      <rPr>
        <i/>
        <sz val="10"/>
        <color theme="2" tint="-0.499984740745262"/>
        <rFont val="Calibri"/>
        <family val="2"/>
      </rPr>
      <t>§</t>
    </r>
    <r>
      <rPr>
        <i/>
        <sz val="9"/>
        <color theme="2" tint="-0.499984740745262"/>
        <rFont val="Arial"/>
        <family val="2"/>
      </rPr>
      <t xml:space="preserve"> Four, A, 2. a.)</t>
    </r>
  </si>
  <si>
    <t>IRO</t>
  </si>
  <si>
    <t>What is the Applicant's Overall ELI Set-Aside Commitment?........................................................................................................</t>
  </si>
  <si>
    <t>What ELI Set-Aside Commitment is covered by the 9% HC Allocation?...................................................................................</t>
  </si>
  <si>
    <t>N/A</t>
  </si>
  <si>
    <t>South FL</t>
  </si>
  <si>
    <t>Remainder FL</t>
  </si>
  <si>
    <t>Is the Development subject to the requirements of the Davis-Bacon Act?.......................................................................................</t>
  </si>
  <si>
    <t>TBD</t>
  </si>
  <si>
    <t>(Must be Yes to qualify for NHTF funding)</t>
  </si>
  <si>
    <t>RFA 2022-103</t>
  </si>
  <si>
    <r>
      <t xml:space="preserve">The table below is intended to assist an Applicant in RFA 2022-103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
    </r>
    <r>
      <rPr>
        <u/>
        <sz val="10"/>
        <color theme="1"/>
        <rFont val="Arial"/>
        <family val="2"/>
      </rPr>
      <t>This ELI funding is only available to Applicants that do NOT commit to the Average Income Test for the minimum set-aside commitment of Section 42 of the IRC.</t>
    </r>
  </si>
  <si>
    <t>Indicate the majority Construction Type &amp; ESSC status…...............................................................................................................................</t>
  </si>
  <si>
    <r>
      <t>(</t>
    </r>
    <r>
      <rPr>
        <i/>
        <sz val="10"/>
        <color theme="2" tint="-0.499984740745262"/>
        <rFont val="Calibri"/>
        <family val="2"/>
      </rPr>
      <t>§</t>
    </r>
    <r>
      <rPr>
        <i/>
        <sz val="9"/>
        <color theme="2" tint="-0.499984740745262"/>
        <rFont val="Arial"/>
        <family val="2"/>
      </rPr>
      <t xml:space="preserve"> Four, A. 6. c. (1))</t>
    </r>
  </si>
  <si>
    <r>
      <t>(</t>
    </r>
    <r>
      <rPr>
        <i/>
        <sz val="10"/>
        <color theme="2" tint="-0.499984740745262"/>
        <rFont val="Calibri"/>
        <family val="2"/>
      </rPr>
      <t>§</t>
    </r>
    <r>
      <rPr>
        <i/>
        <sz val="9"/>
        <color theme="2" tint="-0.499984740745262"/>
        <rFont val="Arial"/>
        <family val="2"/>
      </rPr>
      <t xml:space="preserve"> Four, A, 6. c. (2)(b))</t>
    </r>
  </si>
  <si>
    <t>Required</t>
  </si>
  <si>
    <t>Optional</t>
  </si>
  <si>
    <t>Max Total</t>
  </si>
  <si>
    <t>(enter a value)</t>
  </si>
  <si>
    <t>A Tool to Assist Applicants in Determining their Pro-rata Distribution of ELI Units &amp; Maximum ELI Loan Amount for those that commit to the Homeless individuals and families Demographic Commitment</t>
  </si>
  <si>
    <r>
      <t xml:space="preserve">This RFA provides ELI Loan funding for up to 5% of the total units for those developments that qualify for said ELI funding (and indicated in the Table's Column E).  The number of funded ELI units will be determined by taking 15% of total units, rounded up to the next whole number (identified in the Table's Column C, and subtracting the number of ELI units that are inclusive of the 9% HC funding (10% of total units, rounded up to the next whole number identified in the Table's Column D).
Please identify the county in which the proposed Development will be located at question 1.  Input the number of Units the proposed Development will have in the Table's Column B below, separated by how many bedrooms are in each of the proposed Units.  The Table's Column C is set-up to provide the correct overall ELI Unit distribution based on the Applicant's ELI Set-Aside commitment </t>
    </r>
    <r>
      <rPr>
        <i/>
        <sz val="10"/>
        <color theme="1"/>
        <rFont val="Arial"/>
        <family val="2"/>
      </rPr>
      <t>(the response to question 6)</t>
    </r>
    <r>
      <rPr>
        <sz val="10"/>
        <color theme="1"/>
        <rFont val="Arial"/>
        <family val="2"/>
      </rPr>
      <t xml:space="preserve"> with the Table's Column D assigning the ELI units associated to the 9% HC funding while the Table's Column E provides the correct number of ELI Unit distribution for those ELI Units being funded with the ELI Loan funding.  The amount for the total in the Table's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</si>
  <si>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The template will determine if you qualify for any NHTF funding and how much based on the responses in questions 1, 2, 3, 4, 9, &amp; 11.  If you qualify (via a selection of a Medium or Large County at question 1 and selecting Yes for question 9), it will compare the per unit limits from Exhibit I, 1.f.(1) and Exhibit I, 1.f.(2) and use the smallest amount.  The amount determined for Exhibit I, 1.f.(2) is based on the responses from questions 1, 3 &amp; 4.</t>
  </si>
  <si>
    <r>
      <t xml:space="preserve">The number of </t>
    </r>
    <r>
      <rPr>
        <u/>
        <sz val="10"/>
        <color theme="1"/>
        <rFont val="Arial"/>
        <family val="2"/>
      </rPr>
      <t>Optional</t>
    </r>
    <r>
      <rPr>
        <sz val="10"/>
        <color theme="1"/>
        <rFont val="Arial"/>
        <family val="2"/>
      </rPr>
      <t xml:space="preserve"> NHTF units requested…....................................................</t>
    </r>
  </si>
  <si>
    <t>Interim NHTF Limit</t>
  </si>
  <si>
    <t>Initial NHTF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</si>
</sst>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quot;.&quot;"/>
    <numFmt numFmtId="165" formatCode="0.0"/>
  </numFmts>
  <fonts count="22"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
      <u/>
      <sz val="10"/>
      <color theme="1"/>
      <name val="Arial"/>
      <family val="2"/>
    </font>
    <font>
      <b/>
      <sz val="10"/>
      <color theme="0"/>
      <name val="Arial"/>
      <family val="2"/>
    </font>
    <font>
      <b/>
      <i/>
      <sz val="10"/>
      <color rgb="FFC00000"/>
      <name val="Arial"/>
      <family val="2"/>
    </font>
    <font>
      <b/>
      <sz val="11"/>
      <color theme="1"/>
      <name val="Arial"/>
      <family val="2"/>
    </font>
    <font>
      <sz val="8"/>
      <color theme="1"/>
      <name val="Arial"/>
      <family val="2"/>
    </font>
    <font>
      <b/>
      <sz val="10"/>
      <color rgb="FFFF0000"/>
      <name val="Arial"/>
      <family val="2"/>
    </font>
    <font>
      <b/>
      <i/>
      <sz val="10"/>
      <color theme="2" tint="-0.499984740745262"/>
      <name val="Arial"/>
      <family val="2"/>
    </font>
    <font>
      <i/>
      <sz val="10"/>
      <name val="Arial"/>
      <family val="2"/>
    </font>
  </fonts>
  <fills count="12">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mediumGray">
        <fgColor theme="0"/>
        <bgColor theme="0"/>
      </patternFill>
    </fill>
    <fill>
      <patternFill patternType="lightUp">
        <fgColor theme="0" tint="-0.24994659260841701"/>
        <bgColor indexed="65"/>
      </patternFill>
    </fill>
    <fill>
      <patternFill patternType="solid">
        <fgColor theme="0" tint="-0.14999847407452621"/>
        <bgColor indexed="64"/>
      </patternFill>
    </fill>
    <fill>
      <patternFill patternType="lightUp">
        <fgColor theme="0" tint="-0.24994659260841701"/>
        <bgColor theme="0"/>
      </patternFill>
    </fill>
  </fills>
  <borders count="70">
    <border>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right/>
      <top style="thin">
        <color theme="1"/>
      </top>
      <bottom style="thin">
        <color theme="1"/>
      </bottom>
      <diagonal/>
    </border>
    <border>
      <left style="hair">
        <color theme="1"/>
      </left>
      <right/>
      <top/>
      <bottom style="hair">
        <color theme="1"/>
      </bottom>
      <diagonal/>
    </border>
    <border>
      <left/>
      <right style="hair">
        <color theme="1"/>
      </right>
      <top style="hair">
        <color theme="1"/>
      </top>
      <bottom/>
      <diagonal/>
    </border>
    <border>
      <left/>
      <right style="hair">
        <color theme="1"/>
      </right>
      <top/>
      <bottom/>
      <diagonal/>
    </border>
    <border>
      <left/>
      <right style="hair">
        <color theme="1"/>
      </right>
      <top/>
      <bottom style="hair">
        <color theme="1"/>
      </bottom>
      <diagonal/>
    </border>
    <border>
      <left style="medium">
        <color theme="1"/>
      </left>
      <right/>
      <top style="hair">
        <color theme="1"/>
      </top>
      <bottom/>
      <diagonal/>
    </border>
    <border>
      <left style="hair">
        <color theme="1"/>
      </left>
      <right/>
      <top/>
      <bottom/>
      <diagonal/>
    </border>
    <border>
      <left style="hair">
        <color theme="1"/>
      </left>
      <right/>
      <top style="hair">
        <color theme="1"/>
      </top>
      <bottom/>
      <diagonal/>
    </border>
    <border>
      <left/>
      <right style="hair">
        <color theme="1"/>
      </right>
      <top style="medium">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0" xfId="0" applyFont="1" applyFill="1" applyAlignment="1">
      <alignment horizontal="center" vertic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4" borderId="2" xfId="0" applyFont="1" applyFill="1" applyBorder="1" applyAlignment="1">
      <alignment horizontal="center" wrapText="1"/>
    </xf>
    <xf numFmtId="0" fontId="3" fillId="2" borderId="5" xfId="0" applyFont="1" applyFill="1" applyBorder="1" applyAlignment="1">
      <alignment horizontal="right" vertical="center" indent="1"/>
    </xf>
    <xf numFmtId="0" fontId="3" fillId="0" borderId="13" xfId="0" applyFont="1" applyBorder="1" applyAlignment="1">
      <alignment horizontal="right" vertical="center" indent="1"/>
    </xf>
    <xf numFmtId="0" fontId="2" fillId="0" borderId="15" xfId="0" applyFont="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4" xfId="0" applyFont="1" applyFill="1" applyBorder="1" applyAlignment="1">
      <alignment horizontal="center" vertical="center"/>
    </xf>
    <xf numFmtId="0" fontId="0" fillId="2" borderId="5" xfId="0" applyFont="1" applyFill="1" applyBorder="1" applyAlignment="1">
      <alignment vertical="center"/>
    </xf>
    <xf numFmtId="0" fontId="0" fillId="2" borderId="5" xfId="0" applyFont="1" applyFill="1" applyBorder="1" applyAlignment="1">
      <alignment horizontal="right" vertical="center"/>
    </xf>
    <xf numFmtId="0" fontId="0" fillId="0" borderId="7" xfId="0" applyFont="1" applyBorder="1" applyAlignment="1">
      <alignment horizontal="center" vertical="center"/>
    </xf>
    <xf numFmtId="38" fontId="0" fillId="0" borderId="8" xfId="0" applyNumberFormat="1" applyFont="1" applyBorder="1" applyAlignment="1">
      <alignment horizontal="right" vertical="center" indent="2"/>
    </xf>
    <xf numFmtId="6" fontId="0" fillId="0" borderId="8" xfId="0" applyNumberFormat="1" applyFont="1" applyBorder="1" applyAlignment="1">
      <alignment horizontal="right" vertical="center" indent="1"/>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0" fontId="0" fillId="0" borderId="12" xfId="0" applyFont="1" applyBorder="1" applyAlignment="1">
      <alignment horizontal="center" vertical="center"/>
    </xf>
    <xf numFmtId="0" fontId="0" fillId="0" borderId="13" xfId="0" applyFont="1" applyBorder="1" applyAlignment="1">
      <alignment horizontal="right" vertical="center" indent="2"/>
    </xf>
    <xf numFmtId="0" fontId="0" fillId="5" borderId="13" xfId="0" applyFont="1" applyFill="1" applyBorder="1" applyAlignment="1">
      <alignment horizontal="right" vertical="center" indent="2"/>
    </xf>
    <xf numFmtId="6" fontId="0" fillId="0" borderId="13" xfId="0" applyNumberFormat="1" applyFont="1" applyBorder="1" applyAlignment="1">
      <alignment horizontal="right" vertical="center" indent="1"/>
    </xf>
    <xf numFmtId="38" fontId="0" fillId="0" borderId="16" xfId="0" applyNumberFormat="1" applyFont="1" applyBorder="1" applyAlignment="1">
      <alignment horizontal="right" vertical="center" indent="2"/>
    </xf>
    <xf numFmtId="6" fontId="0" fillId="0" borderId="18" xfId="0" applyNumberFormat="1" applyFont="1" applyBorder="1" applyAlignment="1">
      <alignment horizontal="right" vertical="center" indent="1"/>
    </xf>
    <xf numFmtId="0" fontId="0" fillId="2" borderId="0" xfId="0" applyFont="1" applyFill="1" applyAlignment="1">
      <alignment vertical="center" wrapText="1"/>
    </xf>
    <xf numFmtId="0" fontId="2" fillId="6" borderId="3" xfId="0" applyFont="1" applyFill="1" applyBorder="1" applyAlignment="1">
      <alignment horizontal="center" wrapText="1"/>
    </xf>
    <xf numFmtId="0" fontId="2" fillId="6" borderId="6" xfId="0" applyFont="1" applyFill="1" applyBorder="1" applyAlignment="1">
      <alignment vertical="center"/>
    </xf>
    <xf numFmtId="6" fontId="2" fillId="6" borderId="9" xfId="0" applyNumberFormat="1" applyFont="1" applyFill="1" applyBorder="1" applyAlignment="1">
      <alignment horizontal="right" vertical="center" indent="1"/>
    </xf>
    <xf numFmtId="6" fontId="2" fillId="6" borderId="14" xfId="0" applyNumberFormat="1" applyFont="1" applyFill="1" applyBorder="1" applyAlignment="1">
      <alignment horizontal="right" vertical="center" indent="1"/>
    </xf>
    <xf numFmtId="6" fontId="2" fillId="6" borderId="21" xfId="0" applyNumberFormat="1" applyFont="1" applyFill="1" applyBorder="1" applyAlignment="1">
      <alignment horizontal="right" vertical="center" indent="1"/>
    </xf>
    <xf numFmtId="38" fontId="2" fillId="0" borderId="16" xfId="0" applyNumberFormat="1" applyFont="1" applyBorder="1" applyAlignment="1">
      <alignment horizontal="right" vertical="center" indent="1"/>
    </xf>
    <xf numFmtId="9" fontId="3" fillId="3" borderId="34" xfId="0" applyNumberFormat="1" applyFont="1" applyFill="1" applyBorder="1" applyAlignment="1" applyProtection="1">
      <alignment horizontal="center" vertical="center"/>
      <protection locked="0"/>
    </xf>
    <xf numFmtId="38" fontId="3" fillId="3" borderId="8" xfId="0" applyNumberFormat="1" applyFont="1" applyFill="1" applyBorder="1" applyAlignment="1" applyProtection="1">
      <alignment horizontal="right" vertical="center" indent="1"/>
      <protection locked="0"/>
    </xf>
    <xf numFmtId="38" fontId="3" fillId="3" borderId="11" xfId="0" applyNumberFormat="1" applyFont="1" applyFill="1" applyBorder="1" applyAlignment="1" applyProtection="1">
      <alignment horizontal="right" vertical="center" indent="1"/>
      <protection locked="0"/>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6" fontId="0" fillId="2" borderId="41" xfId="0" applyNumberFormat="1" applyFont="1" applyFill="1" applyBorder="1" applyAlignment="1">
      <alignment horizontal="center" vertical="center"/>
    </xf>
    <xf numFmtId="0" fontId="0" fillId="0" borderId="42" xfId="0" applyFont="1" applyBorder="1"/>
    <xf numFmtId="0" fontId="0" fillId="0" borderId="36" xfId="0" applyFont="1" applyBorder="1"/>
    <xf numFmtId="0" fontId="2" fillId="0" borderId="43" xfId="0" applyFont="1" applyBorder="1" applyAlignment="1">
      <alignment horizontal="center"/>
    </xf>
    <xf numFmtId="10" fontId="0" fillId="0" borderId="37" xfId="1" applyNumberFormat="1" applyFont="1" applyBorder="1" applyAlignment="1">
      <alignment horizontal="right" vertical="center" indent="1"/>
    </xf>
    <xf numFmtId="10" fontId="0" fillId="0" borderId="44" xfId="1" applyNumberFormat="1" applyFont="1" applyBorder="1" applyAlignment="1">
      <alignment horizontal="right" vertical="center" indent="1"/>
    </xf>
    <xf numFmtId="0" fontId="11" fillId="0" borderId="0" xfId="0" applyFont="1" applyAlignment="1">
      <alignment horizontal="left" vertical="center"/>
    </xf>
    <xf numFmtId="0" fontId="11" fillId="0" borderId="0" xfId="0" applyFont="1" applyAlignment="1">
      <alignment horizontal="left"/>
    </xf>
    <xf numFmtId="0" fontId="11" fillId="0" borderId="0" xfId="0" quotePrefix="1" applyFont="1" applyAlignment="1">
      <alignment horizontal="left" vertical="center"/>
    </xf>
    <xf numFmtId="0" fontId="0" fillId="2" borderId="0" xfId="0" applyFont="1" applyFill="1" applyBorder="1"/>
    <xf numFmtId="0" fontId="11" fillId="0" borderId="0" xfId="0" applyFont="1" applyAlignment="1">
      <alignment horizontal="left" vertical="center"/>
    </xf>
    <xf numFmtId="164" fontId="2" fillId="0" borderId="0" xfId="0" applyNumberFormat="1" applyFont="1"/>
    <xf numFmtId="164" fontId="2" fillId="9" borderId="0" xfId="0" applyNumberFormat="1" applyFont="1" applyFill="1"/>
    <xf numFmtId="165" fontId="0" fillId="0" borderId="0" xfId="0" applyNumberFormat="1" applyFont="1"/>
    <xf numFmtId="0" fontId="11" fillId="0" borderId="0" xfId="0" applyFont="1" applyAlignment="1">
      <alignment vertical="center"/>
    </xf>
    <xf numFmtId="0" fontId="16" fillId="0" borderId="0" xfId="0" applyFont="1" applyAlignment="1">
      <alignment horizontal="left" vertical="center"/>
    </xf>
    <xf numFmtId="0" fontId="0" fillId="0" borderId="0" xfId="0" quotePrefix="1" applyFont="1"/>
    <xf numFmtId="38" fontId="0" fillId="4" borderId="8" xfId="0" applyNumberFormat="1" applyFont="1" applyFill="1" applyBorder="1" applyAlignment="1">
      <alignment horizontal="right" vertical="center" indent="2"/>
    </xf>
    <xf numFmtId="0" fontId="0" fillId="10" borderId="10" xfId="0" applyFont="1" applyFill="1" applyBorder="1" applyAlignment="1">
      <alignment horizontal="center" vertical="center"/>
    </xf>
    <xf numFmtId="0" fontId="0" fillId="10" borderId="7"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2" xfId="0" applyFont="1" applyFill="1" applyBorder="1" applyAlignment="1">
      <alignment vertical="center"/>
    </xf>
    <xf numFmtId="0" fontId="11" fillId="2" borderId="0" xfId="0" applyFont="1" applyFill="1" applyAlignment="1">
      <alignment horizontal="left" vertical="center"/>
    </xf>
    <xf numFmtId="0" fontId="0" fillId="0" borderId="0" xfId="0" applyFont="1" applyBorder="1"/>
    <xf numFmtId="38" fontId="0" fillId="0" borderId="0" xfId="0" applyNumberFormat="1" applyFont="1" applyBorder="1" applyAlignment="1">
      <alignment horizontal="right"/>
    </xf>
    <xf numFmtId="0" fontId="0" fillId="2" borderId="57" xfId="0" applyFont="1" applyFill="1" applyBorder="1" applyAlignment="1">
      <alignment horizontal="left" vertical="center" indent="1"/>
    </xf>
    <xf numFmtId="0" fontId="0" fillId="0" borderId="58" xfId="0" applyFont="1" applyBorder="1"/>
    <xf numFmtId="0" fontId="14" fillId="0" borderId="58" xfId="0" applyFont="1" applyBorder="1" applyAlignment="1">
      <alignment horizontal="right"/>
    </xf>
    <xf numFmtId="0" fontId="14" fillId="0" borderId="59" xfId="0" applyFont="1" applyBorder="1" applyAlignment="1">
      <alignment horizontal="right"/>
    </xf>
    <xf numFmtId="0" fontId="0" fillId="2" borderId="60" xfId="0" applyFont="1" applyFill="1" applyBorder="1" applyAlignment="1">
      <alignment horizontal="left" vertical="center"/>
    </xf>
    <xf numFmtId="38" fontId="0" fillId="0" borderId="61" xfId="0" applyNumberFormat="1" applyFont="1" applyBorder="1" applyAlignment="1">
      <alignment horizontal="right"/>
    </xf>
    <xf numFmtId="0" fontId="0" fillId="0" borderId="60" xfId="0" applyFont="1" applyBorder="1"/>
    <xf numFmtId="38" fontId="0" fillId="0" borderId="61" xfId="0" applyNumberFormat="1" applyFont="1" applyFill="1" applyBorder="1" applyAlignment="1">
      <alignment horizontal="right"/>
    </xf>
    <xf numFmtId="0" fontId="0" fillId="0" borderId="62" xfId="0" applyFont="1" applyBorder="1"/>
    <xf numFmtId="0" fontId="0" fillId="0" borderId="33" xfId="0" applyFont="1" applyBorder="1"/>
    <xf numFmtId="38" fontId="0" fillId="0" borderId="33" xfId="0" applyNumberFormat="1" applyFont="1" applyBorder="1" applyAlignment="1">
      <alignment horizontal="right"/>
    </xf>
    <xf numFmtId="38" fontId="0" fillId="0" borderId="63" xfId="0" applyNumberFormat="1" applyFont="1" applyFill="1" applyBorder="1" applyAlignment="1">
      <alignment horizontal="right"/>
    </xf>
    <xf numFmtId="0" fontId="0" fillId="11" borderId="0" xfId="0" applyFont="1" applyFill="1" applyBorder="1" applyAlignment="1">
      <alignment horizontal="left" vertical="center" indent="1"/>
    </xf>
    <xf numFmtId="0" fontId="0" fillId="9" borderId="0" xfId="0" applyFont="1" applyFill="1"/>
    <xf numFmtId="0" fontId="11" fillId="0" borderId="0" xfId="0" applyFont="1"/>
    <xf numFmtId="0" fontId="0" fillId="2" borderId="0" xfId="0" applyFont="1" applyFill="1" applyAlignment="1">
      <alignment horizontal="left"/>
    </xf>
    <xf numFmtId="164" fontId="2" fillId="0" borderId="0" xfId="0" applyNumberFormat="1" applyFont="1" applyFill="1"/>
    <xf numFmtId="0" fontId="2" fillId="0" borderId="24" xfId="0" applyFont="1" applyFill="1" applyBorder="1" applyAlignment="1">
      <alignment horizontal="left" inden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35" xfId="0" applyFont="1" applyFill="1" applyBorder="1" applyAlignment="1">
      <alignment horizontal="center" wrapText="1"/>
    </xf>
    <xf numFmtId="0" fontId="7" fillId="0" borderId="22" xfId="0" applyFont="1" applyFill="1" applyBorder="1" applyAlignment="1">
      <alignment horizontal="left" indent="1"/>
    </xf>
    <xf numFmtId="0" fontId="2" fillId="0" borderId="0" xfId="0" applyFont="1" applyFill="1" applyBorder="1" applyAlignment="1">
      <alignment horizontal="center" wrapText="1"/>
    </xf>
    <xf numFmtId="0" fontId="2" fillId="0" borderId="23" xfId="0" applyFont="1" applyFill="1" applyBorder="1" applyAlignment="1">
      <alignment horizontal="center" wrapText="1"/>
    </xf>
    <xf numFmtId="0" fontId="15" fillId="0" borderId="0" xfId="0" applyFont="1" applyFill="1" applyBorder="1" applyAlignment="1">
      <alignment horizontal="center" wrapText="1"/>
    </xf>
    <xf numFmtId="0" fontId="15" fillId="0" borderId="36" xfId="0" applyFont="1" applyFill="1" applyBorder="1" applyAlignment="1">
      <alignment horizontal="center" wrapText="1"/>
    </xf>
    <xf numFmtId="0" fontId="0" fillId="0" borderId="27" xfId="0" applyFill="1" applyBorder="1" applyAlignment="1">
      <alignment horizontal="left" vertical="center" indent="1"/>
    </xf>
    <xf numFmtId="9" fontId="0" fillId="0" borderId="28" xfId="1" applyFont="1" applyFill="1" applyBorder="1" applyAlignment="1">
      <alignment horizontal="center" vertical="center"/>
    </xf>
    <xf numFmtId="6" fontId="0" fillId="0" borderId="28" xfId="0" applyNumberFormat="1" applyFill="1" applyBorder="1" applyAlignment="1">
      <alignment horizontal="center" vertical="center"/>
    </xf>
    <xf numFmtId="6" fontId="0" fillId="0" borderId="29" xfId="0" applyNumberFormat="1" applyFill="1" applyBorder="1" applyAlignment="1">
      <alignment horizontal="center" vertical="center"/>
    </xf>
    <xf numFmtId="6" fontId="0" fillId="0" borderId="37" xfId="0" applyNumberFormat="1" applyFont="1" applyFill="1" applyBorder="1" applyAlignment="1">
      <alignment horizontal="center" vertical="center"/>
    </xf>
    <xf numFmtId="0" fontId="0" fillId="0" borderId="30" xfId="0" applyFill="1" applyBorder="1" applyAlignment="1">
      <alignment horizontal="left" vertical="center" indent="1"/>
    </xf>
    <xf numFmtId="9" fontId="0" fillId="0" borderId="31" xfId="1" applyFont="1" applyFill="1" applyBorder="1" applyAlignment="1">
      <alignment horizontal="center" vertical="center"/>
    </xf>
    <xf numFmtId="6" fontId="0" fillId="0" borderId="31" xfId="0" applyNumberFormat="1" applyFill="1" applyBorder="1" applyAlignment="1">
      <alignment horizontal="center" vertical="center"/>
    </xf>
    <xf numFmtId="6" fontId="0" fillId="0" borderId="32" xfId="0" applyNumberFormat="1" applyFill="1" applyBorder="1" applyAlignment="1">
      <alignment horizontal="center" vertical="center"/>
    </xf>
    <xf numFmtId="6" fontId="0" fillId="0" borderId="38" xfId="0" applyNumberFormat="1" applyFont="1" applyFill="1" applyBorder="1" applyAlignment="1">
      <alignment horizontal="center" vertical="center"/>
    </xf>
    <xf numFmtId="0" fontId="0" fillId="0" borderId="64" xfId="0" applyFill="1" applyBorder="1" applyAlignment="1">
      <alignment horizontal="left" vertical="center" indent="1"/>
    </xf>
    <xf numFmtId="9" fontId="0" fillId="0" borderId="65" xfId="1" applyFont="1" applyFill="1" applyBorder="1" applyAlignment="1">
      <alignment horizontal="center" vertical="center"/>
    </xf>
    <xf numFmtId="6" fontId="0" fillId="0" borderId="65" xfId="0" applyNumberFormat="1" applyFill="1" applyBorder="1" applyAlignment="1">
      <alignment horizontal="center" vertical="center"/>
    </xf>
    <xf numFmtId="6" fontId="0" fillId="0" borderId="66" xfId="0" applyNumberFormat="1" applyFill="1" applyBorder="1" applyAlignment="1">
      <alignment horizontal="center" vertical="center"/>
    </xf>
    <xf numFmtId="0" fontId="0" fillId="0" borderId="67" xfId="0" applyFill="1" applyBorder="1" applyAlignment="1">
      <alignment horizontal="left" vertical="center" indent="1"/>
    </xf>
    <xf numFmtId="9" fontId="0" fillId="0" borderId="68" xfId="1" applyFont="1" applyFill="1" applyBorder="1" applyAlignment="1">
      <alignment horizontal="center" vertical="center"/>
    </xf>
    <xf numFmtId="6" fontId="0" fillId="0" borderId="68" xfId="0" applyNumberFormat="1" applyFill="1" applyBorder="1" applyAlignment="1">
      <alignment horizontal="center" vertical="center"/>
    </xf>
    <xf numFmtId="6" fontId="0" fillId="0" borderId="69" xfId="0" applyNumberFormat="1" applyFill="1" applyBorder="1" applyAlignment="1">
      <alignment horizontal="center" vertical="center"/>
    </xf>
    <xf numFmtId="6" fontId="0" fillId="0" borderId="41" xfId="0" applyNumberFormat="1" applyFont="1" applyFill="1" applyBorder="1" applyAlignment="1">
      <alignment horizontal="center" vertical="center"/>
    </xf>
    <xf numFmtId="0" fontId="0" fillId="0" borderId="0" xfId="0" applyFont="1" applyFill="1" applyAlignment="1">
      <alignment horizontal="left"/>
    </xf>
    <xf numFmtId="0" fontId="0" fillId="0" borderId="0" xfId="0" applyFont="1" applyFill="1"/>
    <xf numFmtId="0" fontId="0" fillId="0" borderId="0" xfId="0" applyFont="1" applyAlignment="1">
      <alignment horizontal="center"/>
    </xf>
    <xf numFmtId="0" fontId="20" fillId="0" borderId="0" xfId="0" quotePrefix="1" applyFont="1" applyAlignment="1">
      <alignment horizontal="left" vertical="center"/>
    </xf>
    <xf numFmtId="0" fontId="21" fillId="0" borderId="0" xfId="0" quotePrefix="1" applyFont="1" applyAlignment="1">
      <alignment vertical="center"/>
    </xf>
    <xf numFmtId="0" fontId="3" fillId="3" borderId="45" xfId="0" applyFont="1" applyFill="1" applyBorder="1" applyAlignment="1" applyProtection="1">
      <alignment horizontal="center" vertical="center"/>
      <protection locked="0"/>
    </xf>
    <xf numFmtId="6" fontId="0" fillId="0" borderId="33" xfId="0" applyNumberFormat="1" applyFont="1" applyBorder="1" applyAlignment="1">
      <alignment horizontal="center"/>
    </xf>
    <xf numFmtId="9" fontId="0" fillId="8" borderId="33" xfId="0" applyNumberFormat="1" applyFont="1" applyFill="1" applyBorder="1" applyAlignment="1" applyProtection="1">
      <alignment horizontal="center" vertical="center"/>
    </xf>
    <xf numFmtId="9" fontId="0" fillId="8" borderId="45" xfId="0" applyNumberFormat="1" applyFont="1" applyFill="1" applyBorder="1" applyAlignment="1" applyProtection="1">
      <alignment horizontal="center" vertical="center"/>
    </xf>
    <xf numFmtId="6" fontId="8" fillId="7" borderId="45" xfId="0" applyNumberFormat="1" applyFont="1" applyFill="1" applyBorder="1" applyAlignment="1" applyProtection="1">
      <alignment horizontal="center" vertical="center"/>
    </xf>
    <xf numFmtId="0" fontId="2" fillId="6" borderId="19" xfId="0" applyFont="1" applyFill="1" applyBorder="1" applyAlignment="1">
      <alignment horizontal="right" vertical="center" wrapText="1" indent="1"/>
    </xf>
    <xf numFmtId="0" fontId="2" fillId="6" borderId="20" xfId="0" applyFont="1" applyFill="1" applyBorder="1" applyAlignment="1">
      <alignment horizontal="right" vertical="center" wrapText="1" indent="1"/>
    </xf>
    <xf numFmtId="0" fontId="0" fillId="2" borderId="1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4" fillId="2" borderId="53" xfId="0" applyFont="1" applyFill="1" applyBorder="1" applyAlignment="1">
      <alignment horizontal="center" wrapText="1"/>
    </xf>
    <xf numFmtId="0" fontId="4" fillId="2" borderId="48" xfId="0" applyFont="1" applyFill="1" applyBorder="1" applyAlignment="1">
      <alignment horizontal="center" wrapText="1"/>
    </xf>
    <xf numFmtId="0" fontId="4" fillId="2" borderId="49" xfId="0" applyFont="1" applyFill="1" applyBorder="1" applyAlignment="1">
      <alignment horizontal="center" wrapText="1"/>
    </xf>
    <xf numFmtId="0" fontId="4" fillId="2" borderId="17" xfId="0" applyFont="1" applyFill="1" applyBorder="1" applyAlignment="1">
      <alignment horizontal="center" wrapText="1"/>
    </xf>
    <xf numFmtId="0" fontId="4" fillId="2" borderId="5" xfId="0" applyFont="1" applyFill="1" applyBorder="1" applyAlignment="1">
      <alignment horizontal="center" wrapText="1"/>
    </xf>
    <xf numFmtId="0" fontId="4" fillId="2" borderId="8" xfId="0" applyFont="1" applyFill="1" applyBorder="1" applyAlignment="1">
      <alignment horizontal="center" wrapText="1"/>
    </xf>
    <xf numFmtId="0" fontId="10" fillId="2" borderId="39" xfId="0" applyFont="1" applyFill="1" applyBorder="1" applyAlignment="1">
      <alignment horizontal="right" vertical="top" wrapText="1"/>
    </xf>
    <xf numFmtId="0" fontId="10" fillId="2" borderId="40" xfId="0" applyFont="1" applyFill="1" applyBorder="1" applyAlignment="1">
      <alignment horizontal="right" vertical="top" wrapText="1"/>
    </xf>
    <xf numFmtId="0" fontId="19" fillId="2" borderId="0" xfId="0" applyFont="1" applyFill="1" applyAlignment="1">
      <alignment horizontal="left" vertical="center" wrapText="1"/>
    </xf>
    <xf numFmtId="0" fontId="0" fillId="2" borderId="0" xfId="0" applyFont="1" applyFill="1" applyAlignment="1">
      <alignment horizontal="left"/>
    </xf>
    <xf numFmtId="0" fontId="0" fillId="0" borderId="0" xfId="0" applyFont="1" applyFill="1" applyBorder="1" applyAlignment="1">
      <alignment horizontal="center" wrapText="1"/>
    </xf>
    <xf numFmtId="0" fontId="0" fillId="2" borderId="0" xfId="0" quotePrefix="1" applyFont="1" applyFill="1" applyAlignment="1">
      <alignment horizontal="left" vertical="center" wrapText="1"/>
    </xf>
    <xf numFmtId="0" fontId="0" fillId="2" borderId="0" xfId="0" quotePrefix="1" applyFont="1" applyFill="1" applyBorder="1" applyAlignment="1">
      <alignment horizontal="left" vertical="center" wrapText="1"/>
    </xf>
    <xf numFmtId="0" fontId="0" fillId="0" borderId="0" xfId="0" applyFont="1" applyAlignment="1">
      <alignment horizontal="left"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2" borderId="33" xfId="0" applyFont="1" applyFill="1" applyBorder="1" applyAlignment="1">
      <alignment horizontal="center" vertical="center" wrapText="1"/>
    </xf>
    <xf numFmtId="0" fontId="9" fillId="2" borderId="0" xfId="0" applyFont="1" applyFill="1" applyAlignment="1">
      <alignment horizontal="center" vertical="center" wrapText="1"/>
    </xf>
    <xf numFmtId="0" fontId="3" fillId="3" borderId="33" xfId="0" applyFont="1" applyFill="1" applyBorder="1" applyAlignment="1" applyProtection="1">
      <alignment horizontal="center" vertical="center"/>
      <protection locked="0"/>
    </xf>
    <xf numFmtId="0" fontId="18" fillId="2" borderId="52"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3" fillId="3" borderId="0" xfId="0" applyFont="1" applyFill="1" applyBorder="1" applyAlignment="1" applyProtection="1">
      <alignment horizontal="center" vertical="center"/>
      <protection locked="0"/>
    </xf>
    <xf numFmtId="0" fontId="5" fillId="2" borderId="50" xfId="0" applyFont="1" applyFill="1" applyBorder="1" applyAlignment="1">
      <alignment horizontal="center" vertical="top" wrapText="1"/>
    </xf>
    <xf numFmtId="0" fontId="5" fillId="2" borderId="47"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48"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49" xfId="0" applyFont="1" applyFill="1" applyBorder="1" applyAlignment="1">
      <alignment horizontal="center" vertical="top" wrapText="1"/>
    </xf>
    <xf numFmtId="0" fontId="0" fillId="7" borderId="45" xfId="0" applyFont="1" applyFill="1" applyBorder="1" applyAlignment="1" applyProtection="1">
      <alignment horizontal="center" vertical="center"/>
    </xf>
    <xf numFmtId="0" fontId="3" fillId="3" borderId="56" xfId="0" applyFont="1" applyFill="1" applyBorder="1" applyAlignment="1" applyProtection="1">
      <alignment horizontal="center" vertical="center"/>
      <protection locked="0"/>
    </xf>
  </cellXfs>
  <cellStyles count="2">
    <cellStyle name="Normal" xfId="0" builtinId="0"/>
    <cellStyle name="Percent" xfId="1" builtinId="5"/>
  </cellStyles>
  <dxfs count="12">
    <dxf>
      <font>
        <color theme="0" tint="-0.14996795556505021"/>
      </font>
      <fill>
        <patternFill patternType="lightUp">
          <fgColor theme="0" tint="-0.34998626667073579"/>
          <bgColor auto="1"/>
        </patternFill>
      </fill>
    </dxf>
    <dxf>
      <fill>
        <patternFill>
          <bgColor rgb="FFCCFFCC"/>
        </patternFill>
      </fill>
    </dxf>
    <dxf>
      <font>
        <color theme="0" tint="-0.14996795556505021"/>
      </font>
      <fill>
        <patternFill patternType="lightUp">
          <fgColor theme="0" tint="-0.34998626667073579"/>
          <bgColor auto="1"/>
        </patternFill>
      </fill>
    </dxf>
    <dxf>
      <font>
        <b/>
        <i val="0"/>
        <color rgb="FFC00000"/>
      </font>
    </dxf>
    <dxf>
      <font>
        <b/>
        <i val="0"/>
        <color rgb="FFC00000"/>
      </font>
    </dxf>
    <dxf>
      <font>
        <b/>
        <i val="0"/>
        <color rgb="FFC00000"/>
      </font>
    </dxf>
    <dxf>
      <font>
        <b/>
        <i val="0"/>
        <color rgb="FFC00000"/>
      </font>
    </dxf>
    <dxf>
      <font>
        <b/>
        <i val="0"/>
        <color rgb="FFC00000"/>
      </font>
    </dxf>
    <dxf>
      <fill>
        <patternFill>
          <bgColor theme="7" tint="0.79998168889431442"/>
        </patternFill>
      </fill>
    </dxf>
    <dxf>
      <border>
        <bottom style="thin">
          <color theme="1"/>
        </bottom>
        <vertical/>
        <horizontal/>
      </border>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C00000"/>
      <color rgb="FF0000FF"/>
      <color rgb="FFFFFFCC"/>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6"/>
  <sheetViews>
    <sheetView tabSelected="1" defaultGridColor="0" colorId="9" zoomScale="98" zoomScaleNormal="98" zoomScaleSheetLayoutView="100" workbookViewId="0">
      <selection activeCell="C27" sqref="C27"/>
    </sheetView>
  </sheetViews>
  <sheetFormatPr defaultColWidth="9.109375" defaultRowHeight="13.2" x14ac:dyDescent="0.25"/>
  <cols>
    <col min="1" max="1" width="3.6640625" style="9" customWidth="1"/>
    <col min="2" max="2" width="11.6640625" style="9" customWidth="1"/>
    <col min="3" max="3" width="10.5546875" style="9" customWidth="1"/>
    <col min="4" max="5" width="14.33203125" style="9" customWidth="1"/>
    <col min="6" max="6" width="15.6640625" style="9" customWidth="1"/>
    <col min="7" max="7" width="15.44140625" style="9" customWidth="1"/>
    <col min="8" max="8" width="18.44140625" style="9" customWidth="1"/>
    <col min="9" max="9" width="20.5546875" style="9" customWidth="1"/>
    <col min="10" max="16384" width="9.109375" style="9"/>
  </cols>
  <sheetData>
    <row r="1" spans="1:23" ht="48.75" customHeight="1" x14ac:dyDescent="0.25">
      <c r="A1" s="146" t="s">
        <v>127</v>
      </c>
      <c r="B1" s="147"/>
      <c r="C1" s="148" t="s">
        <v>136</v>
      </c>
      <c r="D1" s="148"/>
      <c r="E1" s="148"/>
      <c r="F1" s="148"/>
      <c r="G1" s="148"/>
      <c r="H1" s="148"/>
    </row>
    <row r="2" spans="1:23" ht="24" customHeight="1" x14ac:dyDescent="0.25">
      <c r="A2" s="149" t="s">
        <v>106</v>
      </c>
      <c r="B2" s="149"/>
      <c r="C2" s="149"/>
      <c r="D2" s="149"/>
      <c r="E2" s="149"/>
      <c r="F2" s="149"/>
      <c r="G2" s="149"/>
      <c r="H2" s="149"/>
    </row>
    <row r="3" spans="1:23" ht="79.95" customHeight="1" x14ac:dyDescent="0.25">
      <c r="A3" s="143" t="s">
        <v>128</v>
      </c>
      <c r="B3" s="143"/>
      <c r="C3" s="143"/>
      <c r="D3" s="143"/>
      <c r="E3" s="143"/>
      <c r="F3" s="143"/>
      <c r="G3" s="143"/>
      <c r="H3" s="143"/>
    </row>
    <row r="4" spans="1:23" ht="180" customHeight="1" x14ac:dyDescent="0.25">
      <c r="A4" s="144" t="s">
        <v>137</v>
      </c>
      <c r="B4" s="144"/>
      <c r="C4" s="144"/>
      <c r="D4" s="144"/>
      <c r="E4" s="144"/>
      <c r="F4" s="144"/>
      <c r="G4" s="144"/>
      <c r="H4" s="144"/>
    </row>
    <row r="5" spans="1:23" ht="60" customHeight="1" x14ac:dyDescent="0.25">
      <c r="A5" s="145" t="s">
        <v>138</v>
      </c>
      <c r="B5" s="145"/>
      <c r="C5" s="145"/>
      <c r="D5" s="145"/>
      <c r="E5" s="145"/>
      <c r="F5" s="145"/>
      <c r="G5" s="145"/>
      <c r="H5" s="145"/>
    </row>
    <row r="6" spans="1:23" ht="6.75" customHeight="1" x14ac:dyDescent="0.25">
      <c r="B6" s="10"/>
      <c r="C6" s="10"/>
      <c r="D6" s="10"/>
      <c r="E6" s="10"/>
      <c r="F6" s="10"/>
      <c r="G6" s="10"/>
      <c r="H6" s="56"/>
    </row>
    <row r="7" spans="1:23" ht="20.100000000000001" customHeight="1" x14ac:dyDescent="0.25">
      <c r="A7" s="88">
        <f>MAX(A$6:A6)+1</f>
        <v>1</v>
      </c>
      <c r="B7" s="43" t="s">
        <v>108</v>
      </c>
      <c r="C7" s="10"/>
      <c r="D7" s="10"/>
      <c r="E7" s="10"/>
      <c r="F7" s="10"/>
      <c r="G7" s="150" t="s">
        <v>83</v>
      </c>
      <c r="H7" s="150"/>
      <c r="I7" s="53" t="s">
        <v>104</v>
      </c>
      <c r="K7" s="44"/>
      <c r="L7" s="142"/>
      <c r="M7" s="142"/>
      <c r="N7" s="44"/>
      <c r="O7" s="142"/>
      <c r="P7" s="142"/>
      <c r="Q7" s="44"/>
      <c r="R7" s="44"/>
      <c r="S7" s="142"/>
      <c r="T7" s="142"/>
      <c r="U7" s="44"/>
      <c r="V7" s="142"/>
      <c r="W7" s="142"/>
    </row>
    <row r="8" spans="1:23" ht="20.100000000000001" customHeight="1" x14ac:dyDescent="0.25">
      <c r="A8" s="88">
        <f>MAX(A$6:A7)+1</f>
        <v>2</v>
      </c>
      <c r="B8" s="43" t="s">
        <v>109</v>
      </c>
      <c r="C8" s="10"/>
      <c r="D8" s="10"/>
      <c r="E8" s="10"/>
      <c r="F8" s="10"/>
      <c r="G8" s="164" t="str">
        <f>IF(ISERROR(VLOOKUP(G$7,ELI_PU,7)),"TBD",VLOOKUP(G$7,ELI_PU,7))</f>
        <v>TBD</v>
      </c>
      <c r="H8" s="164"/>
      <c r="I8" s="53" t="s">
        <v>104</v>
      </c>
      <c r="K8" s="44"/>
      <c r="L8" s="46"/>
      <c r="M8" s="46"/>
      <c r="N8" s="44"/>
      <c r="O8" s="46"/>
      <c r="P8" s="46"/>
      <c r="Q8" s="44"/>
      <c r="R8" s="44"/>
      <c r="S8" s="46"/>
      <c r="T8" s="46"/>
      <c r="U8" s="44"/>
      <c r="V8" s="46"/>
      <c r="W8" s="46"/>
    </row>
    <row r="9" spans="1:23" ht="20.100000000000001" customHeight="1" x14ac:dyDescent="0.25">
      <c r="A9" s="88">
        <f>MAX(A$6:A8)+1</f>
        <v>3</v>
      </c>
      <c r="B9" s="43" t="s">
        <v>129</v>
      </c>
      <c r="C9" s="10"/>
      <c r="D9" s="10"/>
      <c r="E9" s="10"/>
      <c r="F9" s="10"/>
      <c r="G9" s="165" t="s">
        <v>90</v>
      </c>
      <c r="H9" s="165"/>
      <c r="I9" s="53" t="s">
        <v>105</v>
      </c>
      <c r="K9" s="44"/>
      <c r="L9" s="45"/>
      <c r="M9" s="45"/>
      <c r="N9" s="44"/>
      <c r="O9" s="45"/>
      <c r="P9" s="45"/>
      <c r="Q9" s="44"/>
      <c r="R9" s="44"/>
      <c r="S9" s="45"/>
      <c r="T9" s="45"/>
      <c r="U9" s="44"/>
      <c r="V9" s="45"/>
      <c r="W9" s="45"/>
    </row>
    <row r="10" spans="1:23" ht="20.100000000000001" customHeight="1" x14ac:dyDescent="0.25">
      <c r="A10" s="88">
        <f>MAX(A$6:A9)+1</f>
        <v>4</v>
      </c>
      <c r="B10" s="43" t="s">
        <v>124</v>
      </c>
      <c r="C10" s="10"/>
      <c r="D10" s="10"/>
      <c r="E10" s="10"/>
      <c r="F10" s="10"/>
      <c r="G10" s="122" t="s">
        <v>89</v>
      </c>
      <c r="H10" s="122"/>
      <c r="I10" s="57"/>
      <c r="K10" s="44"/>
      <c r="L10" s="45"/>
      <c r="M10" s="45"/>
      <c r="N10" s="44"/>
      <c r="O10" s="45"/>
      <c r="P10" s="45"/>
      <c r="Q10" s="44"/>
      <c r="R10" s="44"/>
      <c r="S10" s="45"/>
      <c r="T10" s="45"/>
      <c r="U10" s="44"/>
      <c r="V10" s="45"/>
      <c r="W10" s="45"/>
    </row>
    <row r="11" spans="1:23" ht="20.100000000000001" customHeight="1" x14ac:dyDescent="0.25">
      <c r="A11" s="88">
        <f>MAX(A$6:A10)+1</f>
        <v>5</v>
      </c>
      <c r="B11" s="117" t="s">
        <v>110</v>
      </c>
      <c r="C11" s="118"/>
      <c r="D11" s="118"/>
      <c r="E11" s="118"/>
      <c r="F11" s="10"/>
      <c r="G11" s="150" t="s">
        <v>90</v>
      </c>
      <c r="H11" s="150"/>
      <c r="I11" s="53" t="s">
        <v>130</v>
      </c>
      <c r="K11" s="44"/>
      <c r="L11" s="45"/>
      <c r="M11" s="45"/>
      <c r="N11" s="44"/>
      <c r="O11" s="45"/>
      <c r="P11" s="45"/>
      <c r="Q11" s="44"/>
      <c r="R11" s="44"/>
      <c r="S11" s="45"/>
      <c r="T11" s="45"/>
      <c r="U11" s="44"/>
      <c r="V11" s="45"/>
      <c r="W11" s="45"/>
    </row>
    <row r="12" spans="1:23" ht="20.100000000000001" hidden="1" customHeight="1" x14ac:dyDescent="0.25">
      <c r="A12" s="59"/>
      <c r="B12" s="43" t="s">
        <v>111</v>
      </c>
      <c r="C12" s="10"/>
      <c r="D12" s="10"/>
      <c r="E12" s="10"/>
      <c r="F12" s="10"/>
      <c r="G12" s="157" t="s">
        <v>89</v>
      </c>
      <c r="H12" s="157"/>
      <c r="I12" s="54"/>
      <c r="K12" s="44"/>
      <c r="L12" s="45"/>
      <c r="M12" s="45"/>
      <c r="N12" s="44"/>
      <c r="O12" s="44"/>
      <c r="P12" s="45"/>
      <c r="Q12" s="44"/>
      <c r="R12" s="44"/>
      <c r="S12" s="44"/>
      <c r="T12" s="44"/>
      <c r="U12" s="44"/>
      <c r="V12" s="44"/>
      <c r="W12" s="44"/>
    </row>
    <row r="13" spans="1:23" ht="20.100000000000001" hidden="1" customHeight="1" x14ac:dyDescent="0.25">
      <c r="A13" s="59"/>
      <c r="B13" s="43" t="s">
        <v>112</v>
      </c>
      <c r="C13" s="10"/>
      <c r="D13" s="10"/>
      <c r="E13" s="10"/>
      <c r="F13" s="10"/>
      <c r="G13" s="157" t="s">
        <v>90</v>
      </c>
      <c r="H13" s="157"/>
      <c r="I13" s="57" t="s">
        <v>117</v>
      </c>
      <c r="K13" s="44"/>
      <c r="L13" s="45"/>
      <c r="M13" s="45"/>
      <c r="N13" s="44"/>
      <c r="O13" s="44"/>
      <c r="P13" s="45"/>
      <c r="Q13" s="44"/>
      <c r="R13" s="44"/>
      <c r="S13" s="44"/>
      <c r="T13" s="44"/>
      <c r="U13" s="44"/>
      <c r="V13" s="44"/>
      <c r="W13" s="44"/>
    </row>
    <row r="14" spans="1:23" ht="20.100000000000001" customHeight="1" x14ac:dyDescent="0.25">
      <c r="A14" s="88">
        <f>MAX(A$6:A13)+1</f>
        <v>6</v>
      </c>
      <c r="B14" s="117" t="s">
        <v>119</v>
      </c>
      <c r="C14" s="118"/>
      <c r="D14" s="118"/>
      <c r="E14" s="118"/>
      <c r="F14" s="118"/>
      <c r="G14" s="124">
        <f>IF(G$11=B$125,20%,15%)</f>
        <v>0.15</v>
      </c>
      <c r="H14" s="124"/>
      <c r="I14" s="57" t="s">
        <v>131</v>
      </c>
      <c r="K14" s="44"/>
      <c r="L14" s="44"/>
      <c r="M14" s="44"/>
      <c r="N14" s="44"/>
      <c r="O14" s="44"/>
      <c r="P14" s="44"/>
      <c r="Q14" s="44"/>
      <c r="R14" s="44"/>
      <c r="S14" s="44"/>
      <c r="T14" s="44"/>
      <c r="U14" s="44"/>
      <c r="V14" s="44"/>
      <c r="W14" s="44"/>
    </row>
    <row r="15" spans="1:23" ht="20.100000000000001" customHeight="1" x14ac:dyDescent="0.25">
      <c r="A15" s="88">
        <f>MAX(A$6:A14)+1</f>
        <v>7</v>
      </c>
      <c r="B15" s="117" t="s">
        <v>120</v>
      </c>
      <c r="C15" s="118"/>
      <c r="D15" s="118"/>
      <c r="E15" s="118"/>
      <c r="F15" s="118"/>
      <c r="G15" s="125">
        <f>IF(G$11=B$125,15%,10%)</f>
        <v>0.1</v>
      </c>
      <c r="H15" s="125"/>
      <c r="I15" s="57"/>
      <c r="K15" s="44"/>
      <c r="L15" s="44"/>
      <c r="M15" s="44"/>
      <c r="N15" s="44"/>
      <c r="O15" s="44"/>
      <c r="P15" s="44"/>
      <c r="Q15" s="44"/>
      <c r="R15" s="44"/>
      <c r="S15" s="44"/>
      <c r="T15" s="44"/>
      <c r="U15" s="44"/>
      <c r="V15" s="44"/>
      <c r="W15" s="44"/>
    </row>
    <row r="16" spans="1:23" ht="20.100000000000001" customHeight="1" x14ac:dyDescent="0.25">
      <c r="A16" s="88">
        <f>MAX(A$6:A15)+1</f>
        <v>8</v>
      </c>
      <c r="B16" s="117" t="s">
        <v>116</v>
      </c>
      <c r="C16" s="118"/>
      <c r="D16" s="118"/>
      <c r="E16" s="118"/>
      <c r="F16" s="118"/>
      <c r="G16" s="125">
        <f>IF(G$11=B$125,0%,5%)</f>
        <v>0.05</v>
      </c>
      <c r="H16" s="125"/>
      <c r="I16" s="53" t="s">
        <v>131</v>
      </c>
    </row>
    <row r="17" spans="1:17" ht="20.100000000000001" customHeight="1" x14ac:dyDescent="0.25">
      <c r="A17" s="58">
        <f>MAX(A$6:A16)+1</f>
        <v>9</v>
      </c>
      <c r="B17" s="43" t="s">
        <v>113</v>
      </c>
      <c r="C17" s="10"/>
      <c r="D17" s="10"/>
      <c r="E17" s="10"/>
      <c r="F17" s="10"/>
      <c r="G17" s="122" t="s">
        <v>90</v>
      </c>
      <c r="H17" s="122"/>
      <c r="I17" s="57" t="s">
        <v>126</v>
      </c>
    </row>
    <row r="18" spans="1:17" ht="20.100000000000001" customHeight="1" x14ac:dyDescent="0.25">
      <c r="A18" s="58">
        <f>MAX(A$6:A17)+1</f>
        <v>10</v>
      </c>
      <c r="B18" s="141" t="str">
        <f>IF(AND(G17&lt;&gt;B113,OR(ISERROR(VLOOKUP(G7,ELI_PU,7)),G7=B42)),"NHTF Funding Amount is TBD ....................................................................................................................................................................................................",IF(OR(VLOOKUP(G7,ELI_PU,7)="Small",G17=B113),"No NHTF Funds are available for the proposed Development.................................................................................................................................................","The est. NHTF Loan Amount for the "&amp;TEXT(IF(IFERROR(VLOOKUP(G7,ELI_PU,7),"TBD")="Large",4,IF(IFERROR(VLOOKUP(G7,ELI_PU,7),"TBD")="Medium",3,IF(IFERROR(VLOOKUP(G7,ELI_PU,7),"TBD")="TBD","TBD",0))),"0")&amp;" required units, each at "&amp;IF(ISERROR(VLOOKUP(G7,ELI_PU,6)),"TBD",TEXT(MIN(VLOOKUP(G7,ELI_PU,6),D123),"$0,000"))&amp;", is...................................................................................................................."))</f>
        <v>NHTF Funding Amount is TBD ....................................................................................................................................................................................................</v>
      </c>
      <c r="C18" s="141"/>
      <c r="D18" s="141"/>
      <c r="E18" s="141"/>
      <c r="F18" s="141"/>
      <c r="G18" s="126" t="str">
        <f>IF(AND(G17&lt;&gt;B113,OR(ISERROR(VLOOKUP(G7,ELI_PU,7)),ISERROR(VLOOKUP(G7,ELI_PU,6)),G7=B42)),"TBD",IF(AND(VLOOKUP(G7,ELI_PU,7)="Medium",G17="Yes"),3*MIN(VLOOKUP(G7,ELI_PU,6),N(VLOOKUP(G7,ELI_PU,8))),IF(AND(VLOOKUP(G7,ELI_PU,7)="Large",G17="Yes"),4*MIN(VLOOKUP(G7,ELI_PU,6),N(VLOOKUP(G7,ELI_PU,8))),"NA")))</f>
        <v>TBD</v>
      </c>
      <c r="H18" s="126"/>
      <c r="I18" s="55" t="str">
        <f>"(§ Four, A, 10. a. (3); "&amp;IF(G17="No","NHTF funds are not available to proposed Developments that are not 100% new construction","The limiting funding criteria is the "&amp;IF(MIN(VLOOKUP(G7,ELI_PU,6),D123)=VLOOKUP(G7,ELI_PU,6),"NHTF Set-Aside per unit minimums at Exhibit I, 1.f.(1)","maximum subsidy limits based on Construction Type &amp; ESSC status at Exhibit I, 1.f.(2)"))&amp;")"</f>
        <v>(§ Four, A, 10. a. (3); The limiting funding criteria is the NHTF Set-Aside per unit minimums at Exhibit I, 1.f.(1))</v>
      </c>
    </row>
    <row r="19" spans="1:17" ht="20.100000000000001" customHeight="1" x14ac:dyDescent="0.25">
      <c r="A19" s="58">
        <v>11</v>
      </c>
      <c r="B19" s="87" t="s">
        <v>139</v>
      </c>
      <c r="C19" s="87"/>
      <c r="D19" s="87"/>
      <c r="E19" s="87"/>
      <c r="F19" s="87"/>
      <c r="G19" s="122" t="s">
        <v>135</v>
      </c>
      <c r="H19" s="122"/>
      <c r="I19" s="120" t="str">
        <f>IF(OR(G8="Small",G17="No",G17="&lt;Select&gt;"),"",IF(N(G19)&gt;N(B133),"The number of Optional NHTF units is greater than the maximum allowed, and will be scaled back in item 12 below.",""))</f>
        <v/>
      </c>
    </row>
    <row r="20" spans="1:17" ht="20.100000000000001" customHeight="1" x14ac:dyDescent="0.25">
      <c r="A20" s="58">
        <v>12</v>
      </c>
      <c r="B20" s="87" t="str">
        <f>IF(AND(G17&lt;&gt;B113,OR(ISERROR(VLOOKUP(G7,ELI_PU,7)),G7=B42)),"NHTF Funding Amount is TBD ....................................................................................................................................................................................................",IF(OR(VLOOKUP(G7,ELI_PU,7)="Small",G17=B113),"No NHTF Funds are available for the proposed Development.................................................................................................................................................","The est. Total NHTF Loan Amount for all NHTF units, each at "&amp;IF(ISERROR(VLOOKUP(G7,ELI_PU,6)),"TBD",TEXT(MIN(VLOOKUP(G7,ELI_PU,6),D123),"$0,000"))&amp;", is...................................................................................................................."))</f>
        <v>NHTF Funding Amount is TBD ....................................................................................................................................................................................................</v>
      </c>
      <c r="C20" s="87"/>
      <c r="D20" s="87"/>
      <c r="E20" s="87"/>
      <c r="F20" s="87"/>
      <c r="G20" s="126" t="str">
        <f>IF(AND(G17&lt;&gt;B113,OR(ISERROR(VLOOKUP(G7,ELI_PU,7)),ISERROR(VLOOKUP(G7,ELI_PU,6)),G7=B42)),"TBD",IF(AND(VLOOKUP(G7,ELI_PU,7)="Medium",G17="Yes"),MIN(3+N(G19),10,ROUNDUP(0.1*N(C33),0))*MIN(VLOOKUP(G7,ELI_PU,6),N(VLOOKUP(G7,ELI_PU,8))),IF(AND(VLOOKUP(G7,ELI_PU,7)="Large",G17="Yes"),MIN(4+N(G19),10,ROUNDUP(0.1*N(C33),0))*MIN(VLOOKUP(G7,ELI_PU,6),N(VLOOKUP(G7,ELI_PU,8))),"NA")))</f>
        <v>TBD</v>
      </c>
      <c r="H20" s="126"/>
      <c r="I20" s="121" t="str">
        <f>IF(OR(G8="Small",G17="No",G17="&lt;Select&gt;",G20="TBD"),""," [ "&amp;TEXT(N(B132),"0")&amp;" Required units + "&amp;TEXT(N(B133),"0")&amp;" Maximum Additional Optional units for a total of "&amp;TEXT(SUM(N(B132),N(B133)),"0")&amp;" NHTF units ]")</f>
        <v/>
      </c>
      <c r="P20" s="55"/>
    </row>
    <row r="21" spans="1:17" ht="34.5" customHeight="1" x14ac:dyDescent="0.25">
      <c r="B21" s="140" t="str">
        <f>IF(G11=B125,"Applicants choosing the Average Income Test as the IRS Minimum Set-Aside Commitment are not eligible for separate ELI funding.  ","")&amp;IF(G13=F119,"Applicants choosing the Persons with Development Disabilities Demographic Commitment can request Grant funding, but are not eligible for separate ELI funding.  This template does not assist in sizing a Grant request.","")</f>
        <v/>
      </c>
      <c r="C21" s="140"/>
      <c r="D21" s="140"/>
      <c r="E21" s="140"/>
      <c r="F21" s="140"/>
      <c r="G21" s="140"/>
      <c r="H21" s="140"/>
      <c r="I21" s="140"/>
    </row>
    <row r="22" spans="1:17" x14ac:dyDescent="0.25">
      <c r="B22" s="10"/>
      <c r="C22" s="10"/>
      <c r="D22" s="10"/>
      <c r="E22" s="10"/>
      <c r="F22" s="10"/>
      <c r="G22" s="11"/>
      <c r="H22" s="10"/>
    </row>
    <row r="23" spans="1:17" ht="13.8" thickBot="1" x14ac:dyDescent="0.3">
      <c r="B23" s="1" t="s">
        <v>0</v>
      </c>
      <c r="C23" s="1" t="s">
        <v>1</v>
      </c>
      <c r="D23" s="1" t="s">
        <v>2</v>
      </c>
      <c r="E23" s="1" t="s">
        <v>3</v>
      </c>
      <c r="F23" s="1" t="s">
        <v>4</v>
      </c>
      <c r="G23" s="1" t="s">
        <v>5</v>
      </c>
      <c r="H23" s="1" t="s">
        <v>6</v>
      </c>
    </row>
    <row r="24" spans="1:17" ht="67.95" customHeight="1" x14ac:dyDescent="0.25">
      <c r="B24" s="2" t="s">
        <v>7</v>
      </c>
      <c r="C24" s="3" t="s">
        <v>8</v>
      </c>
      <c r="D24" s="3" t="str">
        <f>"Distribution of Applicant's overall "&amp;TEXT(G14,"0%")&amp;" ELI Commitment"</f>
        <v>Distribution of Applicant's overall 15% ELI Commitment</v>
      </c>
      <c r="E24" s="4" t="str">
        <f>"Distribution of "&amp;TEXT(G15,"0%")&amp;" ELI Commitment from 9% HC funding"</f>
        <v>Distribution of 10% ELI Commitment from 9% HC funding</v>
      </c>
      <c r="F24" s="4" t="str">
        <f>"Distribution of ELI Units eligible to be funded from a"&amp;IF(G13=F119," Grant","n ELI Loan")</f>
        <v>Distribution of ELI Units eligible to be funded from an ELI Loan</v>
      </c>
      <c r="G24" s="3" t="str">
        <f>"Maximum "&amp;IF(G13=F119," Grant","ELI Loan")&amp;" allowable for each Unit Size"</f>
        <v>Maximum ELI Loan allowable for each Unit Size</v>
      </c>
      <c r="H24" s="27" t="str">
        <f>"Maximum "&amp;IF(G13=F119," Grant","ELI Loan")&amp;""</f>
        <v>Maximum ELI Loan</v>
      </c>
      <c r="I24" s="50" t="s">
        <v>102</v>
      </c>
      <c r="J24" s="63"/>
    </row>
    <row r="25" spans="1:17" ht="3.9" customHeight="1" x14ac:dyDescent="0.25">
      <c r="B25" s="12"/>
      <c r="C25" s="5"/>
      <c r="D25" s="13"/>
      <c r="E25" s="13"/>
      <c r="F25" s="13"/>
      <c r="G25" s="14"/>
      <c r="H25" s="28"/>
      <c r="I25" s="49"/>
      <c r="J25" s="53"/>
    </row>
    <row r="26" spans="1:17" ht="13.2" hidden="1" customHeight="1" x14ac:dyDescent="0.25">
      <c r="B26" s="66" t="s">
        <v>118</v>
      </c>
      <c r="C26" s="34">
        <v>0</v>
      </c>
      <c r="D26" s="16">
        <f>ROUNDUP(G123*N(G$14),0)-SUM(D$25:D25)</f>
        <v>0</v>
      </c>
      <c r="E26" s="64">
        <f>IF(G$11=B$125,D26,IF(D26=0,0,ROUNDUP(G123*N(G$15),0)-SUM(E$25:E25)))</f>
        <v>0</v>
      </c>
      <c r="F26" s="64">
        <f t="shared" ref="F26:F31" si="0">IF(G$11=B$125,0,D26-E26)</f>
        <v>0</v>
      </c>
      <c r="G26" s="17">
        <f>IF(G$13=F$119,"Inclusive",IF(ISERROR(VLOOKUP(G$7,ELI_PU,6)),"",0*IF(G$11=B$125,0,VLOOKUP(G$7,ELI_PU,6))))</f>
        <v>0</v>
      </c>
      <c r="H26" s="29">
        <f t="shared" ref="H26:H31" si="1">IF(G$13=F$119,"Inclusive",IF(ISERROR(G26*F26),0,G26*F26))</f>
        <v>0</v>
      </c>
      <c r="I26" s="51">
        <f>IF(C$33=0,0,C26/C$33)</f>
        <v>0</v>
      </c>
      <c r="J26" s="62" t="str">
        <f>IF(AND(G13=F118,C26&gt;0),"(IROs are not allowed with the selected Demographic Commitment)",IF(AND(G13=F119,C26&gt;0,C26/2&lt;&gt;ROUND(C26/2,0)),"(Total IRO units must be an even amount.)",""))</f>
        <v/>
      </c>
      <c r="Q26" s="60"/>
    </row>
    <row r="27" spans="1:17" x14ac:dyDescent="0.25">
      <c r="B27" s="15">
        <v>0</v>
      </c>
      <c r="C27" s="34">
        <v>0</v>
      </c>
      <c r="D27" s="16">
        <f>ROUNDUP(G124*N(G$14),0)-SUM(D$25:D26)</f>
        <v>0</v>
      </c>
      <c r="E27" s="64">
        <f>IF(G$11=B$125,D27,IF(D27=0,0,ROUNDUP(G124*N(G$15),0)-SUM(E$25:E26)))</f>
        <v>0</v>
      </c>
      <c r="F27" s="64">
        <f t="shared" si="0"/>
        <v>0</v>
      </c>
      <c r="G27" s="17">
        <f>IF(G$13=F$119,"Inclusive",IF(ISERROR(VLOOKUP(G$7,ELI_PU,3)),"",IF(G$11=B$125,0,VLOOKUP(G$7,ELI_PU,3))))</f>
        <v>0</v>
      </c>
      <c r="H27" s="29">
        <f t="shared" si="1"/>
        <v>0</v>
      </c>
      <c r="I27" s="51">
        <f>IF(C$33=0,0,C27/C$33)</f>
        <v>0</v>
      </c>
      <c r="J27" s="68" t="str">
        <f>"(Given "&amp;TEXT(C$33,"0")&amp;" total units, maximum 0 Bd units is "&amp;TEXT(ROUNDUP(50%*C$33,0),"0")&amp;"; 50%, rounded up.)"</f>
        <v>(Given 0 total units, maximum 0 Bd units is 0; 50%, rounded up.)</v>
      </c>
      <c r="K27" s="61"/>
      <c r="L27" s="61"/>
      <c r="M27" s="61"/>
      <c r="N27" s="61"/>
      <c r="O27" s="61"/>
      <c r="Q27" s="60"/>
    </row>
    <row r="28" spans="1:17" x14ac:dyDescent="0.25">
      <c r="B28" s="18">
        <v>1</v>
      </c>
      <c r="C28" s="35">
        <v>0</v>
      </c>
      <c r="D28" s="16">
        <f>ROUNDUP(G125*N(G$14),0)-SUM(D$25:D27)</f>
        <v>0</v>
      </c>
      <c r="E28" s="64">
        <f>IF(G$11=B$125,D28,IF(D28=0,0,ROUNDUP(G125*N(G$15),0)-SUM(E$25:E27)))</f>
        <v>0</v>
      </c>
      <c r="F28" s="64">
        <f t="shared" si="0"/>
        <v>0</v>
      </c>
      <c r="G28" s="17">
        <f>IF(G$13=F$119,"Inclusive",IF(ISERROR(VLOOKUP(G$7,ELI_PU,3)),"",IF(G$11=B$125,0,VLOOKUP(G$7,ELI_PU,3))))</f>
        <v>0</v>
      </c>
      <c r="H28" s="29">
        <f t="shared" si="1"/>
        <v>0</v>
      </c>
      <c r="I28" s="51">
        <f t="shared" ref="I28:I31" si="2">IF(C$33=0,0,C28/C$33)</f>
        <v>0</v>
      </c>
      <c r="J28" s="68" t="str">
        <f>"(Given "&amp;TEXT(C$33,"0")&amp;" total units, minimum 1 Bd units is "&amp;TEXT(ROUNDUP(15%*C$33,0),"0")&amp;"; 15%, rounded up.)"</f>
        <v>(Given 0 total units, minimum 1 Bd units is 0; 15%, rounded up.)</v>
      </c>
      <c r="K28" s="61"/>
      <c r="L28" s="61"/>
      <c r="M28" s="61"/>
      <c r="N28" s="61"/>
      <c r="O28" s="61"/>
      <c r="Q28" s="60"/>
    </row>
    <row r="29" spans="1:17" x14ac:dyDescent="0.25">
      <c r="B29" s="18">
        <v>2</v>
      </c>
      <c r="C29" s="35">
        <v>0</v>
      </c>
      <c r="D29" s="16">
        <f>ROUNDUP(G126*N(G$14),0)-SUM(D$25:D28)</f>
        <v>0</v>
      </c>
      <c r="E29" s="64">
        <f>IF(G$11=B$125,D29,IF(D29=0,0,ROUNDUP(G126*N(G$15),0)-SUM(E$25:E28)))</f>
        <v>0</v>
      </c>
      <c r="F29" s="64">
        <f t="shared" si="0"/>
        <v>0</v>
      </c>
      <c r="G29" s="17">
        <f>IF(G$13=F$119,"Inclusive",IF(ISERROR(VLOOKUP(G$7,ELI_PU,4)),"",IF(G$11=B$125,0,VLOOKUP(G$7,ELI_PU,4))))</f>
        <v>0</v>
      </c>
      <c r="H29" s="29">
        <f t="shared" si="1"/>
        <v>0</v>
      </c>
      <c r="I29" s="51">
        <f t="shared" si="2"/>
        <v>0</v>
      </c>
      <c r="J29" s="69"/>
      <c r="Q29" s="60"/>
    </row>
    <row r="30" spans="1:17" x14ac:dyDescent="0.25">
      <c r="B30" s="67">
        <v>3</v>
      </c>
      <c r="C30" s="35">
        <v>0</v>
      </c>
      <c r="D30" s="19">
        <f>ROUNDUP(G127*N(G$14),0)-SUM(D$25:D29)</f>
        <v>0</v>
      </c>
      <c r="E30" s="64">
        <f>IF(G$11=B$125,D30,IF(D30=0,0,ROUNDUP(G127*N(G$15),0)-SUM(E$25:E29)))</f>
        <v>0</v>
      </c>
      <c r="F30" s="64">
        <f t="shared" si="0"/>
        <v>0</v>
      </c>
      <c r="G30" s="17">
        <f>IF(G$13=F$119,"Inclusive",IF(ISERROR(VLOOKUP(G$7,ELI_PU,5)),"",IF(G$11=B$125,0,VLOOKUP(G$7,ELI_PU,5))))</f>
        <v>0</v>
      </c>
      <c r="H30" s="29">
        <f t="shared" si="1"/>
        <v>0</v>
      </c>
      <c r="I30" s="51">
        <f t="shared" si="2"/>
        <v>0</v>
      </c>
      <c r="J30" s="68" t="str">
        <f>"(Given "&amp;TEXT(C$33,"0")&amp;" total units, maximum 3 Bd units is "&amp;TEXT(ROUNDUP(40%*C$33,0),"0")&amp;"; 40%, rounded up.)"</f>
        <v>(Given 0 total units, maximum 3 Bd units is 0; 40%, rounded up.)</v>
      </c>
      <c r="Q30" s="60"/>
    </row>
    <row r="31" spans="1:17" hidden="1" x14ac:dyDescent="0.25">
      <c r="B31" s="65">
        <v>4</v>
      </c>
      <c r="C31" s="35">
        <v>0</v>
      </c>
      <c r="D31" s="19">
        <f>ROUNDUP(G128*N(G$14),0)-SUM(D$25:D30)</f>
        <v>0</v>
      </c>
      <c r="E31" s="64">
        <f>IF(G$11=B$125,D31,IF(D31=0,0,ROUNDUP(G128*N(G$15),0)-SUM(E$25:E30)))</f>
        <v>0</v>
      </c>
      <c r="F31" s="64">
        <f t="shared" si="0"/>
        <v>0</v>
      </c>
      <c r="G31" s="17">
        <f>IF(G$13=F$119,"Inclusive",IF(ISERROR(VLOOKUP(G$7,ELI_PU,5)),"",IF(G$11=B$125,0,VLOOKUP(G$7,ELI_PU,5))))</f>
        <v>0</v>
      </c>
      <c r="H31" s="29">
        <f t="shared" si="1"/>
        <v>0</v>
      </c>
      <c r="I31" s="51">
        <f t="shared" si="2"/>
        <v>0</v>
      </c>
      <c r="J31" s="53" t="s">
        <v>103</v>
      </c>
      <c r="Q31" s="60"/>
    </row>
    <row r="32" spans="1:17" ht="3.9" customHeight="1" thickBot="1" x14ac:dyDescent="0.3">
      <c r="B32" s="20"/>
      <c r="C32" s="6"/>
      <c r="D32" s="21"/>
      <c r="E32" s="22"/>
      <c r="F32" s="22"/>
      <c r="G32" s="23"/>
      <c r="H32" s="30"/>
      <c r="I32" s="48"/>
    </row>
    <row r="33" spans="2:13" ht="14.4" thickTop="1" thickBot="1" x14ac:dyDescent="0.3">
      <c r="B33" s="7" t="s">
        <v>10</v>
      </c>
      <c r="C33" s="32">
        <f>SUM(C25:C32)</f>
        <v>0</v>
      </c>
      <c r="D33" s="24">
        <f>SUM(D25:D32)</f>
        <v>0</v>
      </c>
      <c r="E33" s="24">
        <f>SUM(E25:E32)</f>
        <v>0</v>
      </c>
      <c r="F33" s="24">
        <f>SUM(F25:F32)</f>
        <v>0</v>
      </c>
      <c r="G33" s="25" t="str">
        <f>IF(G$13=F$119,"Inclusive",IF(F33=0,"",SUMPRODUCT(G25:G31,F25:F31)/F33))</f>
        <v/>
      </c>
      <c r="H33" s="31">
        <f>IF(G$13=F$119,"Inclusive",MIN($C$115,SUM(H25:H32)))</f>
        <v>0</v>
      </c>
      <c r="I33" s="52">
        <f>SUM(I25:I32)</f>
        <v>0</v>
      </c>
      <c r="J33" s="86" t="str">
        <f>IF(G8="TBD","",IF(G8="Medium","(The minimum number of units for Developments located in a Medium County is 30 units. The proposed unit mix "&amp;IF(C33&gt;=30,"meets","does not meet")&amp;" this requirement.)",IF(G8="Large","(The minimum number of units for Developments located in a Large County is 50 units. The proposed unit mix "&amp;IF(C33&gt;=50,"meets","does not meet")&amp;" this requirement.)","")))</f>
        <v/>
      </c>
    </row>
    <row r="34" spans="2:13" ht="12.75" customHeight="1" x14ac:dyDescent="0.25">
      <c r="B34" s="10"/>
      <c r="C34" s="129" t="s">
        <v>82</v>
      </c>
      <c r="D34" s="132" t="str">
        <f>TEXT(D33,"0")&amp;" ELI units is "&amp;TEXT(IF($C33=0,0,D33/$C33),"0.00%")&amp;" of "&amp;TEXT(N($C33),"0")&amp;" total units."</f>
        <v>0 ELI units is 0.00% of 0 total units.</v>
      </c>
      <c r="E34" s="135" t="str">
        <f>TEXT(E33,"0")&amp;" ELI units is "&amp;TEXT(IF($C33=0,0,E33/$C33),"0.00%")&amp;" of "&amp;TEXT(N($C33),"0")&amp;" total units."</f>
        <v>0 ELI units is 0.00% of 0 total units.</v>
      </c>
      <c r="F34" s="135" t="str">
        <f>TEXT(F33,"0")&amp;" ELI unit"&amp;IF(F33&lt;2,"","s")&amp;" is "&amp;TEXT(IF($C33=0,0,F33/$C33),"0.00%")&amp;" of "&amp;TEXT(N($C33),"0")&amp;" total units."</f>
        <v>0 ELI unit is 0.00% of 0 total units.</v>
      </c>
      <c r="G34" s="138" t="str">
        <f>IF(SUM(H25:H32)&gt;H33,"The ELI Loan is capped at "&amp;TEXT($C$115,"$#,##0")&amp;".","")</f>
        <v/>
      </c>
      <c r="H34" s="127" t="str">
        <f>"Maximum amount of "&amp;IF(G13=F119," Grant","ELI Loan")&amp;" eligible to request"</f>
        <v>Maximum amount of ELI Loan eligible to request</v>
      </c>
    </row>
    <row r="35" spans="2:13" x14ac:dyDescent="0.25">
      <c r="B35" s="10"/>
      <c r="C35" s="130"/>
      <c r="D35" s="133"/>
      <c r="E35" s="136"/>
      <c r="F35" s="136"/>
      <c r="G35" s="139"/>
      <c r="H35" s="127"/>
    </row>
    <row r="36" spans="2:13" x14ac:dyDescent="0.25">
      <c r="B36" s="10"/>
      <c r="C36" s="130"/>
      <c r="D36" s="134"/>
      <c r="E36" s="137"/>
      <c r="F36" s="137"/>
      <c r="G36" s="139"/>
      <c r="H36" s="127"/>
    </row>
    <row r="37" spans="2:13" ht="13.95" customHeight="1" thickBot="1" x14ac:dyDescent="0.3">
      <c r="B37" s="10"/>
      <c r="C37" s="131"/>
      <c r="F37" s="10"/>
      <c r="G37" s="139"/>
      <c r="H37" s="128"/>
    </row>
    <row r="38" spans="2:13" ht="13.8" thickTop="1" x14ac:dyDescent="0.25">
      <c r="B38" s="10"/>
      <c r="C38" s="26"/>
      <c r="F38" s="10"/>
      <c r="G38" s="10"/>
      <c r="H38" s="10"/>
    </row>
    <row r="39" spans="2:13" ht="6" customHeight="1" x14ac:dyDescent="0.25">
      <c r="B39" s="10"/>
      <c r="C39" s="10"/>
      <c r="F39" s="10"/>
      <c r="G39" s="10"/>
      <c r="H39" s="10"/>
    </row>
    <row r="40" spans="2:13" ht="13.8" hidden="1" thickBot="1" x14ac:dyDescent="0.3">
      <c r="B40" s="8" t="s">
        <v>107</v>
      </c>
      <c r="C40" s="10"/>
      <c r="D40" s="10"/>
      <c r="E40" s="10"/>
      <c r="F40" s="10"/>
      <c r="G40" s="10"/>
      <c r="H40" s="10"/>
    </row>
    <row r="41" spans="2:13" ht="48.75" hidden="1" customHeight="1" thickBot="1" x14ac:dyDescent="0.3">
      <c r="B41" s="89" t="s">
        <v>11</v>
      </c>
      <c r="C41" s="90" t="s">
        <v>96</v>
      </c>
      <c r="D41" s="90" t="s">
        <v>12</v>
      </c>
      <c r="E41" s="90" t="s">
        <v>13</v>
      </c>
      <c r="F41" s="91" t="s">
        <v>14</v>
      </c>
      <c r="G41" s="90" t="s">
        <v>141</v>
      </c>
      <c r="H41" s="92" t="s">
        <v>87</v>
      </c>
      <c r="I41" s="36" t="s">
        <v>140</v>
      </c>
      <c r="J41" s="158" t="str">
        <f>"
As a note, one (1) less Funded ELI unit (column ""E"", "&amp;TEXT(IF(F33-1&lt;0,0,F33-1),"0")&amp;" total ELI units) is "&amp;TEXT(IF($C33=0,0,(F33-1)/$C33),"0.00%")&amp;" of "&amp;TEXT(N($C33),"0")&amp;" total units.  
"&amp;IF(OR(G16=G14,N(G14)=0),"","In addition, one (1) less ELI Unit Commitment (column ""C"", "&amp;TEXT(IF(D33-1&lt;0,0,D33-1),"0")&amp;" total ELI Committed units) is "&amp;TEXT(IF($C33=0,0,(D33-1)/$C33),"0.00%")&amp;" of "&amp;TEXT(N($C33),"0")&amp;" total units.")</f>
        <v xml:space="preserve">
As a note, one (1) less Funded ELI unit (column "E", 0 total ELI units) is 0.00% of 0 total units.  
In addition, one (1) less ELI Unit Commitment (column "C", 0 total ELI Committed units) is 0.00% of 0 total units.</v>
      </c>
      <c r="K41" s="159"/>
      <c r="L41" s="151" t="str">
        <f>IF($C33=0,"","1 less ELI unit in Column ""C"" yields only "&amp;TEXT((D33-1)/$C33,"0.00%")&amp;" of "&amp;TEXT($C33,"0")&amp;" total units.")</f>
        <v/>
      </c>
      <c r="M41" s="152"/>
    </row>
    <row r="42" spans="2:13" ht="4.5" hidden="1" customHeight="1" x14ac:dyDescent="0.25">
      <c r="B42" s="93" t="s">
        <v>83</v>
      </c>
      <c r="C42" s="94"/>
      <c r="D42" s="94"/>
      <c r="E42" s="94"/>
      <c r="F42" s="95"/>
      <c r="G42" s="96"/>
      <c r="H42" s="97" t="s">
        <v>125</v>
      </c>
      <c r="I42" s="37"/>
      <c r="J42" s="160"/>
      <c r="K42" s="161"/>
      <c r="L42" s="153"/>
      <c r="M42" s="154"/>
    </row>
    <row r="43" spans="2:13" hidden="1" x14ac:dyDescent="0.25">
      <c r="B43" s="98" t="s">
        <v>15</v>
      </c>
      <c r="C43" s="99">
        <v>0.33</v>
      </c>
      <c r="D43" s="100">
        <v>70900</v>
      </c>
      <c r="E43" s="100">
        <v>83100</v>
      </c>
      <c r="F43" s="101">
        <v>93700</v>
      </c>
      <c r="G43" s="102">
        <v>199300</v>
      </c>
      <c r="H43" s="102" t="s">
        <v>84</v>
      </c>
      <c r="I43" s="38">
        <f>MIN(G43,D$123)</f>
        <v>0</v>
      </c>
      <c r="J43" s="160"/>
      <c r="K43" s="161"/>
      <c r="L43" s="155"/>
      <c r="M43" s="156"/>
    </row>
    <row r="44" spans="2:13" hidden="1" x14ac:dyDescent="0.25">
      <c r="B44" s="103" t="s">
        <v>16</v>
      </c>
      <c r="C44" s="104">
        <v>0.33</v>
      </c>
      <c r="D44" s="105">
        <v>71300</v>
      </c>
      <c r="E44" s="105">
        <v>83800</v>
      </c>
      <c r="F44" s="106">
        <v>94200</v>
      </c>
      <c r="G44" s="107">
        <v>200500</v>
      </c>
      <c r="H44" s="107" t="s">
        <v>85</v>
      </c>
      <c r="I44" s="39">
        <f t="shared" ref="I44:I107" si="3">MIN(G44,D$123)</f>
        <v>0</v>
      </c>
      <c r="J44" s="160"/>
      <c r="K44" s="161"/>
    </row>
    <row r="45" spans="2:13" ht="13.2" hidden="1" customHeight="1" x14ac:dyDescent="0.25">
      <c r="B45" s="108" t="s">
        <v>17</v>
      </c>
      <c r="C45" s="109">
        <v>0.35</v>
      </c>
      <c r="D45" s="110">
        <v>60200</v>
      </c>
      <c r="E45" s="110">
        <v>70600</v>
      </c>
      <c r="F45" s="111">
        <v>79700</v>
      </c>
      <c r="G45" s="107">
        <v>182900</v>
      </c>
      <c r="H45" s="107" t="s">
        <v>84</v>
      </c>
      <c r="I45" s="39">
        <f t="shared" si="3"/>
        <v>0</v>
      </c>
      <c r="J45" s="160"/>
      <c r="K45" s="161"/>
      <c r="L45" s="151" t="str">
        <f>IF($C33=0,"","1 less ELI unit in Column ""D"" yields only "&amp;TEXT((E33-1)/$C33,"0.00%")&amp;" of "&amp;TEXT($C33,"0")&amp;" total units.")</f>
        <v/>
      </c>
      <c r="M45" s="152"/>
    </row>
    <row r="46" spans="2:13" hidden="1" x14ac:dyDescent="0.25">
      <c r="B46" s="98" t="s">
        <v>18</v>
      </c>
      <c r="C46" s="99">
        <v>0.4</v>
      </c>
      <c r="D46" s="100">
        <v>41300</v>
      </c>
      <c r="E46" s="100">
        <v>48600</v>
      </c>
      <c r="F46" s="101">
        <v>54700</v>
      </c>
      <c r="G46" s="107">
        <v>156900</v>
      </c>
      <c r="H46" s="107" t="s">
        <v>85</v>
      </c>
      <c r="I46" s="39">
        <f t="shared" si="3"/>
        <v>0</v>
      </c>
      <c r="J46" s="160"/>
      <c r="K46" s="161"/>
      <c r="L46" s="153"/>
      <c r="M46" s="154"/>
    </row>
    <row r="47" spans="2:13" hidden="1" x14ac:dyDescent="0.25">
      <c r="B47" s="103" t="s">
        <v>19</v>
      </c>
      <c r="C47" s="104">
        <v>0.33</v>
      </c>
      <c r="D47" s="105">
        <v>70400</v>
      </c>
      <c r="E47" s="105">
        <v>82500</v>
      </c>
      <c r="F47" s="106">
        <v>93000</v>
      </c>
      <c r="G47" s="107">
        <v>197800</v>
      </c>
      <c r="H47" s="107" t="s">
        <v>84</v>
      </c>
      <c r="I47" s="39">
        <f t="shared" si="3"/>
        <v>0</v>
      </c>
      <c r="J47" s="160"/>
      <c r="K47" s="161"/>
      <c r="L47" s="153"/>
      <c r="M47" s="154"/>
    </row>
    <row r="48" spans="2:13" hidden="1" x14ac:dyDescent="0.25">
      <c r="B48" s="108" t="s">
        <v>20</v>
      </c>
      <c r="C48" s="109">
        <v>0.28000000000000003</v>
      </c>
      <c r="D48" s="110">
        <v>100900</v>
      </c>
      <c r="E48" s="110">
        <v>118400</v>
      </c>
      <c r="F48" s="111">
        <v>133600</v>
      </c>
      <c r="G48" s="107">
        <v>239400</v>
      </c>
      <c r="H48" s="107" t="s">
        <v>86</v>
      </c>
      <c r="I48" s="39">
        <f t="shared" si="3"/>
        <v>0</v>
      </c>
      <c r="J48" s="160"/>
      <c r="K48" s="161"/>
      <c r="L48" s="155"/>
      <c r="M48" s="156"/>
    </row>
    <row r="49" spans="2:11" hidden="1" x14ac:dyDescent="0.25">
      <c r="B49" s="103" t="s">
        <v>21</v>
      </c>
      <c r="C49" s="104">
        <v>0.4</v>
      </c>
      <c r="D49" s="105">
        <v>39800</v>
      </c>
      <c r="E49" s="105">
        <v>46500</v>
      </c>
      <c r="F49" s="106">
        <v>52500</v>
      </c>
      <c r="G49" s="107">
        <v>151200</v>
      </c>
      <c r="H49" s="107" t="s">
        <v>85</v>
      </c>
      <c r="I49" s="39">
        <f t="shared" si="3"/>
        <v>0</v>
      </c>
      <c r="J49" s="160"/>
      <c r="K49" s="161"/>
    </row>
    <row r="50" spans="2:11" hidden="1" x14ac:dyDescent="0.25">
      <c r="B50" s="103" t="s">
        <v>22</v>
      </c>
      <c r="C50" s="104">
        <v>0.35</v>
      </c>
      <c r="D50" s="105">
        <v>58100</v>
      </c>
      <c r="E50" s="105">
        <v>68200</v>
      </c>
      <c r="F50" s="106">
        <v>76900</v>
      </c>
      <c r="G50" s="107">
        <v>176400</v>
      </c>
      <c r="H50" s="107" t="s">
        <v>84</v>
      </c>
      <c r="I50" s="39">
        <f t="shared" si="3"/>
        <v>0</v>
      </c>
      <c r="J50" s="160"/>
      <c r="K50" s="161"/>
    </row>
    <row r="51" spans="2:11" hidden="1" x14ac:dyDescent="0.25">
      <c r="B51" s="108" t="s">
        <v>23</v>
      </c>
      <c r="C51" s="109">
        <v>0.4</v>
      </c>
      <c r="D51" s="110">
        <v>39800</v>
      </c>
      <c r="E51" s="110">
        <v>46500</v>
      </c>
      <c r="F51" s="111">
        <v>52500</v>
      </c>
      <c r="G51" s="107">
        <v>151200</v>
      </c>
      <c r="H51" s="107" t="s">
        <v>84</v>
      </c>
      <c r="I51" s="39">
        <f t="shared" si="3"/>
        <v>0</v>
      </c>
      <c r="J51" s="162"/>
      <c r="K51" s="163"/>
    </row>
    <row r="52" spans="2:11" hidden="1" x14ac:dyDescent="0.25">
      <c r="B52" s="103" t="s">
        <v>24</v>
      </c>
      <c r="C52" s="104">
        <v>0.33</v>
      </c>
      <c r="D52" s="105">
        <v>72500</v>
      </c>
      <c r="E52" s="105">
        <v>85000</v>
      </c>
      <c r="F52" s="106">
        <v>95900</v>
      </c>
      <c r="G52" s="107">
        <v>203900</v>
      </c>
      <c r="H52" s="107" t="s">
        <v>84</v>
      </c>
      <c r="I52" s="39">
        <f t="shared" si="3"/>
        <v>0</v>
      </c>
    </row>
    <row r="53" spans="2:11" hidden="1" x14ac:dyDescent="0.25">
      <c r="B53" s="103" t="s">
        <v>25</v>
      </c>
      <c r="C53" s="104">
        <v>0.28000000000000003</v>
      </c>
      <c r="D53" s="105">
        <v>96700</v>
      </c>
      <c r="E53" s="105">
        <v>113300</v>
      </c>
      <c r="F53" s="106">
        <v>128000</v>
      </c>
      <c r="G53" s="107">
        <v>229500</v>
      </c>
      <c r="H53" s="107" t="s">
        <v>84</v>
      </c>
      <c r="I53" s="39">
        <f t="shared" si="3"/>
        <v>0</v>
      </c>
    </row>
    <row r="54" spans="2:11" hidden="1" x14ac:dyDescent="0.25">
      <c r="B54" s="108" t="s">
        <v>26</v>
      </c>
      <c r="C54" s="109">
        <v>0.4</v>
      </c>
      <c r="D54" s="110">
        <v>42300</v>
      </c>
      <c r="E54" s="110">
        <v>49500</v>
      </c>
      <c r="F54" s="111">
        <v>55800</v>
      </c>
      <c r="G54" s="107">
        <v>160400</v>
      </c>
      <c r="H54" s="107" t="s">
        <v>85</v>
      </c>
      <c r="I54" s="39">
        <f t="shared" si="3"/>
        <v>0</v>
      </c>
    </row>
    <row r="55" spans="2:11" hidden="1" x14ac:dyDescent="0.25">
      <c r="B55" s="103" t="s">
        <v>27</v>
      </c>
      <c r="C55" s="104">
        <v>0.4</v>
      </c>
      <c r="D55" s="105">
        <v>39800</v>
      </c>
      <c r="E55" s="105">
        <v>46500</v>
      </c>
      <c r="F55" s="106">
        <v>52500</v>
      </c>
      <c r="G55" s="107">
        <v>151200</v>
      </c>
      <c r="H55" s="107" t="s">
        <v>85</v>
      </c>
      <c r="I55" s="39">
        <f t="shared" si="3"/>
        <v>0</v>
      </c>
    </row>
    <row r="56" spans="2:11" hidden="1" x14ac:dyDescent="0.25">
      <c r="B56" s="103" t="s">
        <v>28</v>
      </c>
      <c r="C56" s="104">
        <v>0.4</v>
      </c>
      <c r="D56" s="105">
        <v>39800</v>
      </c>
      <c r="E56" s="105">
        <v>46500</v>
      </c>
      <c r="F56" s="106">
        <v>52500</v>
      </c>
      <c r="G56" s="107">
        <v>151200</v>
      </c>
      <c r="H56" s="107" t="s">
        <v>85</v>
      </c>
      <c r="I56" s="39">
        <f t="shared" si="3"/>
        <v>0</v>
      </c>
    </row>
    <row r="57" spans="2:11" hidden="1" x14ac:dyDescent="0.25">
      <c r="B57" s="108" t="s">
        <v>29</v>
      </c>
      <c r="C57" s="109">
        <v>0.33</v>
      </c>
      <c r="D57" s="110">
        <v>72500</v>
      </c>
      <c r="E57" s="110">
        <v>85000</v>
      </c>
      <c r="F57" s="111">
        <v>95900</v>
      </c>
      <c r="G57" s="107">
        <v>203900</v>
      </c>
      <c r="H57" s="107" t="s">
        <v>86</v>
      </c>
      <c r="I57" s="39">
        <f t="shared" si="3"/>
        <v>0</v>
      </c>
    </row>
    <row r="58" spans="2:11" hidden="1" x14ac:dyDescent="0.25">
      <c r="B58" s="103" t="s">
        <v>30</v>
      </c>
      <c r="C58" s="104">
        <v>0.33</v>
      </c>
      <c r="D58" s="105">
        <v>66900</v>
      </c>
      <c r="E58" s="105">
        <v>78400</v>
      </c>
      <c r="F58" s="106">
        <v>88400</v>
      </c>
      <c r="G58" s="107">
        <v>187900</v>
      </c>
      <c r="H58" s="107" t="s">
        <v>84</v>
      </c>
      <c r="I58" s="39">
        <f t="shared" si="3"/>
        <v>0</v>
      </c>
    </row>
    <row r="59" spans="2:11" hidden="1" x14ac:dyDescent="0.25">
      <c r="B59" s="103" t="s">
        <v>31</v>
      </c>
      <c r="C59" s="104">
        <v>0.33</v>
      </c>
      <c r="D59" s="105">
        <v>66500</v>
      </c>
      <c r="E59" s="105">
        <v>78200</v>
      </c>
      <c r="F59" s="106">
        <v>88200</v>
      </c>
      <c r="G59" s="107">
        <v>187100</v>
      </c>
      <c r="H59" s="107" t="s">
        <v>84</v>
      </c>
      <c r="I59" s="39">
        <f t="shared" si="3"/>
        <v>0</v>
      </c>
    </row>
    <row r="60" spans="2:11" hidden="1" x14ac:dyDescent="0.25">
      <c r="B60" s="108" t="s">
        <v>32</v>
      </c>
      <c r="C60" s="109">
        <v>0.4</v>
      </c>
      <c r="D60" s="110">
        <v>41700</v>
      </c>
      <c r="E60" s="110">
        <v>48700</v>
      </c>
      <c r="F60" s="111">
        <v>55100</v>
      </c>
      <c r="G60" s="107">
        <v>158500</v>
      </c>
      <c r="H60" s="107" t="s">
        <v>85</v>
      </c>
      <c r="I60" s="39">
        <f t="shared" si="3"/>
        <v>0</v>
      </c>
    </row>
    <row r="61" spans="2:11" hidden="1" x14ac:dyDescent="0.25">
      <c r="B61" s="103" t="s">
        <v>33</v>
      </c>
      <c r="C61" s="104">
        <v>0.3</v>
      </c>
      <c r="D61" s="105">
        <v>82200</v>
      </c>
      <c r="E61" s="105">
        <v>96200</v>
      </c>
      <c r="F61" s="106">
        <v>108600</v>
      </c>
      <c r="G61" s="107">
        <v>207700</v>
      </c>
      <c r="H61" s="107" t="s">
        <v>85</v>
      </c>
      <c r="I61" s="39">
        <f t="shared" si="3"/>
        <v>0</v>
      </c>
    </row>
    <row r="62" spans="2:11" hidden="1" x14ac:dyDescent="0.25">
      <c r="B62" s="103" t="s">
        <v>34</v>
      </c>
      <c r="C62" s="104">
        <v>0.33</v>
      </c>
      <c r="D62" s="105">
        <v>70900</v>
      </c>
      <c r="E62" s="105">
        <v>83100</v>
      </c>
      <c r="F62" s="106">
        <v>93700</v>
      </c>
      <c r="G62" s="107">
        <v>199300</v>
      </c>
      <c r="H62" s="107" t="s">
        <v>85</v>
      </c>
      <c r="I62" s="39">
        <f t="shared" si="3"/>
        <v>0</v>
      </c>
    </row>
    <row r="63" spans="2:11" hidden="1" x14ac:dyDescent="0.25">
      <c r="B63" s="108" t="s">
        <v>35</v>
      </c>
      <c r="C63" s="109">
        <v>0.4</v>
      </c>
      <c r="D63" s="110">
        <v>39800</v>
      </c>
      <c r="E63" s="110">
        <v>46500</v>
      </c>
      <c r="F63" s="111">
        <v>52500</v>
      </c>
      <c r="G63" s="107">
        <v>151200</v>
      </c>
      <c r="H63" s="107" t="s">
        <v>85</v>
      </c>
      <c r="I63" s="39">
        <f t="shared" si="3"/>
        <v>0</v>
      </c>
    </row>
    <row r="64" spans="2:11" hidden="1" x14ac:dyDescent="0.25">
      <c r="B64" s="103" t="s">
        <v>36</v>
      </c>
      <c r="C64" s="104">
        <v>0.4</v>
      </c>
      <c r="D64" s="105">
        <v>42100</v>
      </c>
      <c r="E64" s="105">
        <v>49300</v>
      </c>
      <c r="F64" s="106">
        <v>55600</v>
      </c>
      <c r="G64" s="107">
        <v>159600</v>
      </c>
      <c r="H64" s="107" t="s">
        <v>85</v>
      </c>
      <c r="I64" s="39">
        <f t="shared" si="3"/>
        <v>0</v>
      </c>
    </row>
    <row r="65" spans="2:9" hidden="1" x14ac:dyDescent="0.25">
      <c r="B65" s="103" t="s">
        <v>37</v>
      </c>
      <c r="C65" s="104">
        <v>0.4</v>
      </c>
      <c r="D65" s="105">
        <v>39800</v>
      </c>
      <c r="E65" s="105">
        <v>46500</v>
      </c>
      <c r="F65" s="106">
        <v>52500</v>
      </c>
      <c r="G65" s="107">
        <v>151200</v>
      </c>
      <c r="H65" s="107" t="s">
        <v>85</v>
      </c>
      <c r="I65" s="39">
        <f t="shared" si="3"/>
        <v>0</v>
      </c>
    </row>
    <row r="66" spans="2:9" hidden="1" x14ac:dyDescent="0.25">
      <c r="B66" s="108" t="s">
        <v>38</v>
      </c>
      <c r="C66" s="109">
        <v>0.4</v>
      </c>
      <c r="D66" s="110">
        <v>39800</v>
      </c>
      <c r="E66" s="110">
        <v>46500</v>
      </c>
      <c r="F66" s="111">
        <v>52500</v>
      </c>
      <c r="G66" s="107">
        <v>151200</v>
      </c>
      <c r="H66" s="107" t="s">
        <v>85</v>
      </c>
      <c r="I66" s="39">
        <f t="shared" si="3"/>
        <v>0</v>
      </c>
    </row>
    <row r="67" spans="2:9" hidden="1" x14ac:dyDescent="0.25">
      <c r="B67" s="103" t="s">
        <v>39</v>
      </c>
      <c r="C67" s="104">
        <v>0.4</v>
      </c>
      <c r="D67" s="105">
        <v>39800</v>
      </c>
      <c r="E67" s="105">
        <v>46500</v>
      </c>
      <c r="F67" s="106">
        <v>52500</v>
      </c>
      <c r="G67" s="107">
        <v>151200</v>
      </c>
      <c r="H67" s="107" t="s">
        <v>85</v>
      </c>
      <c r="I67" s="39">
        <f t="shared" si="3"/>
        <v>0</v>
      </c>
    </row>
    <row r="68" spans="2:9" hidden="1" x14ac:dyDescent="0.25">
      <c r="B68" s="103" t="s">
        <v>40</v>
      </c>
      <c r="C68" s="104">
        <v>0.33</v>
      </c>
      <c r="D68" s="105">
        <v>71500</v>
      </c>
      <c r="E68" s="105">
        <v>83800</v>
      </c>
      <c r="F68" s="106">
        <v>94600</v>
      </c>
      <c r="G68" s="107">
        <v>201200</v>
      </c>
      <c r="H68" s="107" t="s">
        <v>84</v>
      </c>
      <c r="I68" s="39">
        <f t="shared" si="3"/>
        <v>0</v>
      </c>
    </row>
    <row r="69" spans="2:9" hidden="1" x14ac:dyDescent="0.25">
      <c r="B69" s="108" t="s">
        <v>41</v>
      </c>
      <c r="C69" s="109">
        <v>0.4</v>
      </c>
      <c r="D69" s="110">
        <v>39800</v>
      </c>
      <c r="E69" s="110">
        <v>46500</v>
      </c>
      <c r="F69" s="111">
        <v>52500</v>
      </c>
      <c r="G69" s="107">
        <v>151200</v>
      </c>
      <c r="H69" s="107" t="s">
        <v>84</v>
      </c>
      <c r="I69" s="39">
        <f t="shared" si="3"/>
        <v>0</v>
      </c>
    </row>
    <row r="70" spans="2:9" hidden="1" x14ac:dyDescent="0.25">
      <c r="B70" s="103" t="s">
        <v>42</v>
      </c>
      <c r="C70" s="104">
        <v>0.33</v>
      </c>
      <c r="D70" s="105">
        <v>71500</v>
      </c>
      <c r="E70" s="105">
        <v>83800</v>
      </c>
      <c r="F70" s="106">
        <v>94600</v>
      </c>
      <c r="G70" s="107">
        <v>201200</v>
      </c>
      <c r="H70" s="107" t="s">
        <v>86</v>
      </c>
      <c r="I70" s="39">
        <f t="shared" si="3"/>
        <v>0</v>
      </c>
    </row>
    <row r="71" spans="2:9" hidden="1" x14ac:dyDescent="0.25">
      <c r="B71" s="103" t="s">
        <v>43</v>
      </c>
      <c r="C71" s="104">
        <v>0.4</v>
      </c>
      <c r="D71" s="105">
        <v>39800</v>
      </c>
      <c r="E71" s="105">
        <v>46500</v>
      </c>
      <c r="F71" s="106">
        <v>52500</v>
      </c>
      <c r="G71" s="107">
        <v>151200</v>
      </c>
      <c r="H71" s="107" t="s">
        <v>85</v>
      </c>
      <c r="I71" s="39">
        <f t="shared" si="3"/>
        <v>0</v>
      </c>
    </row>
    <row r="72" spans="2:9" hidden="1" x14ac:dyDescent="0.25">
      <c r="B72" s="108" t="s">
        <v>44</v>
      </c>
      <c r="C72" s="109">
        <v>0.33</v>
      </c>
      <c r="D72" s="110">
        <v>70700</v>
      </c>
      <c r="E72" s="110">
        <v>82700</v>
      </c>
      <c r="F72" s="111">
        <v>93500</v>
      </c>
      <c r="G72" s="107">
        <v>198600</v>
      </c>
      <c r="H72" s="107" t="s">
        <v>84</v>
      </c>
      <c r="I72" s="39">
        <f t="shared" si="3"/>
        <v>0</v>
      </c>
    </row>
    <row r="73" spans="2:9" hidden="1" x14ac:dyDescent="0.25">
      <c r="B73" s="103" t="s">
        <v>45</v>
      </c>
      <c r="C73" s="104">
        <v>0.4</v>
      </c>
      <c r="D73" s="105">
        <v>39800</v>
      </c>
      <c r="E73" s="105">
        <v>46500</v>
      </c>
      <c r="F73" s="106">
        <v>52500</v>
      </c>
      <c r="G73" s="107">
        <v>151200</v>
      </c>
      <c r="H73" s="107" t="s">
        <v>85</v>
      </c>
      <c r="I73" s="39">
        <f t="shared" si="3"/>
        <v>0</v>
      </c>
    </row>
    <row r="74" spans="2:9" hidden="1" x14ac:dyDescent="0.25">
      <c r="B74" s="103" t="s">
        <v>46</v>
      </c>
      <c r="C74" s="104">
        <v>0.3</v>
      </c>
      <c r="D74" s="105">
        <v>82200</v>
      </c>
      <c r="E74" s="105">
        <v>96200</v>
      </c>
      <c r="F74" s="106">
        <v>108600</v>
      </c>
      <c r="G74" s="107">
        <v>207700</v>
      </c>
      <c r="H74" s="107" t="s">
        <v>85</v>
      </c>
      <c r="I74" s="39">
        <f t="shared" si="3"/>
        <v>0</v>
      </c>
    </row>
    <row r="75" spans="2:9" hidden="1" x14ac:dyDescent="0.25">
      <c r="B75" s="108" t="s">
        <v>47</v>
      </c>
      <c r="C75" s="109">
        <v>0.4</v>
      </c>
      <c r="D75" s="110">
        <v>40900</v>
      </c>
      <c r="E75" s="110">
        <v>48000</v>
      </c>
      <c r="F75" s="111">
        <v>54100</v>
      </c>
      <c r="G75" s="107">
        <v>155400</v>
      </c>
      <c r="H75" s="107" t="s">
        <v>85</v>
      </c>
      <c r="I75" s="39">
        <f t="shared" si="3"/>
        <v>0</v>
      </c>
    </row>
    <row r="76" spans="2:9" hidden="1" x14ac:dyDescent="0.25">
      <c r="B76" s="103" t="s">
        <v>48</v>
      </c>
      <c r="C76" s="104">
        <v>0.3</v>
      </c>
      <c r="D76" s="105">
        <v>82200</v>
      </c>
      <c r="E76" s="105">
        <v>96200</v>
      </c>
      <c r="F76" s="106">
        <v>108600</v>
      </c>
      <c r="G76" s="107">
        <v>207700</v>
      </c>
      <c r="H76" s="107" t="s">
        <v>84</v>
      </c>
      <c r="I76" s="39">
        <f t="shared" si="3"/>
        <v>0</v>
      </c>
    </row>
    <row r="77" spans="2:9" hidden="1" x14ac:dyDescent="0.25">
      <c r="B77" s="103" t="s">
        <v>49</v>
      </c>
      <c r="C77" s="104">
        <v>0.33</v>
      </c>
      <c r="D77" s="105">
        <v>69800</v>
      </c>
      <c r="E77" s="105">
        <v>81800</v>
      </c>
      <c r="F77" s="106">
        <v>92100</v>
      </c>
      <c r="G77" s="107">
        <v>195900</v>
      </c>
      <c r="H77" s="107" t="s">
        <v>84</v>
      </c>
      <c r="I77" s="39">
        <f t="shared" si="3"/>
        <v>0</v>
      </c>
    </row>
    <row r="78" spans="2:9" hidden="1" x14ac:dyDescent="0.25">
      <c r="B78" s="108" t="s">
        <v>50</v>
      </c>
      <c r="C78" s="109">
        <v>0.3</v>
      </c>
      <c r="D78" s="110">
        <v>82200</v>
      </c>
      <c r="E78" s="110">
        <v>96200</v>
      </c>
      <c r="F78" s="111">
        <v>108600</v>
      </c>
      <c r="G78" s="107">
        <v>207700</v>
      </c>
      <c r="H78" s="107" t="s">
        <v>84</v>
      </c>
      <c r="I78" s="39">
        <f t="shared" si="3"/>
        <v>0</v>
      </c>
    </row>
    <row r="79" spans="2:9" hidden="1" x14ac:dyDescent="0.25">
      <c r="B79" s="103" t="s">
        <v>51</v>
      </c>
      <c r="C79" s="104">
        <v>0.4</v>
      </c>
      <c r="D79" s="105">
        <v>39800</v>
      </c>
      <c r="E79" s="105">
        <v>46500</v>
      </c>
      <c r="F79" s="106">
        <v>52500</v>
      </c>
      <c r="G79" s="107">
        <v>151200</v>
      </c>
      <c r="H79" s="107" t="s">
        <v>85</v>
      </c>
      <c r="I79" s="39">
        <f t="shared" si="3"/>
        <v>0</v>
      </c>
    </row>
    <row r="80" spans="2:9" hidden="1" x14ac:dyDescent="0.25">
      <c r="B80" s="103" t="s">
        <v>52</v>
      </c>
      <c r="C80" s="104">
        <v>0.4</v>
      </c>
      <c r="D80" s="105">
        <v>39800</v>
      </c>
      <c r="E80" s="105">
        <v>46500</v>
      </c>
      <c r="F80" s="106">
        <v>52500</v>
      </c>
      <c r="G80" s="107">
        <v>151200</v>
      </c>
      <c r="H80" s="107" t="s">
        <v>85</v>
      </c>
      <c r="I80" s="39">
        <f t="shared" si="3"/>
        <v>0</v>
      </c>
    </row>
    <row r="81" spans="2:9" hidden="1" x14ac:dyDescent="0.25">
      <c r="B81" s="108" t="s">
        <v>53</v>
      </c>
      <c r="C81" s="109">
        <v>0.4</v>
      </c>
      <c r="D81" s="110">
        <v>39800</v>
      </c>
      <c r="E81" s="110">
        <v>46500</v>
      </c>
      <c r="F81" s="111">
        <v>52500</v>
      </c>
      <c r="G81" s="107">
        <v>151200</v>
      </c>
      <c r="H81" s="107" t="s">
        <v>85</v>
      </c>
      <c r="I81" s="39">
        <f t="shared" si="3"/>
        <v>0</v>
      </c>
    </row>
    <row r="82" spans="2:9" hidden="1" x14ac:dyDescent="0.25">
      <c r="B82" s="103" t="s">
        <v>54</v>
      </c>
      <c r="C82" s="104">
        <v>0.3</v>
      </c>
      <c r="D82" s="105">
        <v>83200</v>
      </c>
      <c r="E82" s="105">
        <v>97300</v>
      </c>
      <c r="F82" s="106">
        <v>109700</v>
      </c>
      <c r="G82" s="107">
        <v>210400</v>
      </c>
      <c r="H82" s="107" t="s">
        <v>84</v>
      </c>
      <c r="I82" s="39">
        <f t="shared" si="3"/>
        <v>0</v>
      </c>
    </row>
    <row r="83" spans="2:9" hidden="1" x14ac:dyDescent="0.25">
      <c r="B83" s="103" t="s">
        <v>55</v>
      </c>
      <c r="C83" s="104">
        <v>0.4</v>
      </c>
      <c r="D83" s="105">
        <v>40000</v>
      </c>
      <c r="E83" s="105">
        <v>46700</v>
      </c>
      <c r="F83" s="106">
        <v>52700</v>
      </c>
      <c r="G83" s="107">
        <v>151600</v>
      </c>
      <c r="H83" s="107" t="s">
        <v>84</v>
      </c>
      <c r="I83" s="39">
        <f t="shared" si="3"/>
        <v>0</v>
      </c>
    </row>
    <row r="84" spans="2:9" hidden="1" x14ac:dyDescent="0.25">
      <c r="B84" s="108" t="s">
        <v>56</v>
      </c>
      <c r="C84" s="109">
        <v>0.33</v>
      </c>
      <c r="D84" s="110">
        <v>69200</v>
      </c>
      <c r="E84" s="110">
        <v>81200</v>
      </c>
      <c r="F84" s="111">
        <v>91700</v>
      </c>
      <c r="G84" s="107">
        <v>194400</v>
      </c>
      <c r="H84" s="107" t="s">
        <v>84</v>
      </c>
      <c r="I84" s="39">
        <f t="shared" si="3"/>
        <v>0</v>
      </c>
    </row>
    <row r="85" spans="2:9" hidden="1" x14ac:dyDescent="0.25">
      <c r="B85" s="103" t="s">
        <v>57</v>
      </c>
      <c r="C85" s="104">
        <v>0.25</v>
      </c>
      <c r="D85" s="105">
        <v>113400</v>
      </c>
      <c r="E85" s="105">
        <v>133100</v>
      </c>
      <c r="F85" s="106">
        <v>150000</v>
      </c>
      <c r="G85" s="107">
        <v>245900</v>
      </c>
      <c r="H85" s="107" t="s">
        <v>86</v>
      </c>
      <c r="I85" s="39">
        <f t="shared" si="3"/>
        <v>0</v>
      </c>
    </row>
    <row r="86" spans="2:9" hidden="1" x14ac:dyDescent="0.25">
      <c r="B86" s="103" t="s">
        <v>58</v>
      </c>
      <c r="C86" s="104">
        <v>0.25</v>
      </c>
      <c r="D86" s="105">
        <v>127700</v>
      </c>
      <c r="E86" s="105">
        <v>149800</v>
      </c>
      <c r="F86" s="106">
        <v>168800</v>
      </c>
      <c r="G86" s="107">
        <v>276800</v>
      </c>
      <c r="H86" s="107" t="s">
        <v>85</v>
      </c>
      <c r="I86" s="39">
        <f t="shared" si="3"/>
        <v>0</v>
      </c>
    </row>
    <row r="87" spans="2:9" hidden="1" x14ac:dyDescent="0.25">
      <c r="B87" s="108" t="s">
        <v>59</v>
      </c>
      <c r="C87" s="109">
        <v>0.33</v>
      </c>
      <c r="D87" s="110">
        <v>72500</v>
      </c>
      <c r="E87" s="110">
        <v>85000</v>
      </c>
      <c r="F87" s="111">
        <v>95900</v>
      </c>
      <c r="G87" s="107">
        <v>203900</v>
      </c>
      <c r="H87" s="107" t="s">
        <v>85</v>
      </c>
      <c r="I87" s="39">
        <f t="shared" si="3"/>
        <v>0</v>
      </c>
    </row>
    <row r="88" spans="2:9" hidden="1" x14ac:dyDescent="0.25">
      <c r="B88" s="103" t="s">
        <v>60</v>
      </c>
      <c r="C88" s="104">
        <v>0.3</v>
      </c>
      <c r="D88" s="105">
        <v>84700</v>
      </c>
      <c r="E88" s="105">
        <v>99200</v>
      </c>
      <c r="F88" s="106">
        <v>111700</v>
      </c>
      <c r="G88" s="107">
        <v>214200</v>
      </c>
      <c r="H88" s="107" t="s">
        <v>84</v>
      </c>
      <c r="I88" s="39">
        <f t="shared" si="3"/>
        <v>0</v>
      </c>
    </row>
    <row r="89" spans="2:9" hidden="1" x14ac:dyDescent="0.25">
      <c r="B89" s="103" t="s">
        <v>61</v>
      </c>
      <c r="C89" s="104">
        <v>0.4</v>
      </c>
      <c r="D89" s="105">
        <v>39800</v>
      </c>
      <c r="E89" s="105">
        <v>46500</v>
      </c>
      <c r="F89" s="106">
        <v>52500</v>
      </c>
      <c r="G89" s="107">
        <v>151200</v>
      </c>
      <c r="H89" s="107" t="s">
        <v>85</v>
      </c>
      <c r="I89" s="39">
        <f t="shared" si="3"/>
        <v>0</v>
      </c>
    </row>
    <row r="90" spans="2:9" hidden="1" x14ac:dyDescent="0.25">
      <c r="B90" s="108" t="s">
        <v>62</v>
      </c>
      <c r="C90" s="109">
        <v>0.3</v>
      </c>
      <c r="D90" s="110">
        <v>82200</v>
      </c>
      <c r="E90" s="110">
        <v>96200</v>
      </c>
      <c r="F90" s="111">
        <v>108600</v>
      </c>
      <c r="G90" s="107">
        <v>207700</v>
      </c>
      <c r="H90" s="107" t="s">
        <v>86</v>
      </c>
      <c r="I90" s="39">
        <f t="shared" si="3"/>
        <v>0</v>
      </c>
    </row>
    <row r="91" spans="2:9" hidden="1" x14ac:dyDescent="0.25">
      <c r="B91" s="103" t="s">
        <v>63</v>
      </c>
      <c r="C91" s="104">
        <v>0.3</v>
      </c>
      <c r="D91" s="105">
        <v>82200</v>
      </c>
      <c r="E91" s="105">
        <v>96200</v>
      </c>
      <c r="F91" s="106">
        <v>108600</v>
      </c>
      <c r="G91" s="107">
        <v>207700</v>
      </c>
      <c r="H91" s="107" t="s">
        <v>84</v>
      </c>
      <c r="I91" s="39">
        <f t="shared" si="3"/>
        <v>0</v>
      </c>
    </row>
    <row r="92" spans="2:9" hidden="1" x14ac:dyDescent="0.25">
      <c r="B92" s="103" t="s">
        <v>64</v>
      </c>
      <c r="C92" s="104">
        <v>0.28000000000000003</v>
      </c>
      <c r="D92" s="105">
        <v>98300</v>
      </c>
      <c r="E92" s="105">
        <v>115200</v>
      </c>
      <c r="F92" s="106">
        <v>129800</v>
      </c>
      <c r="G92" s="107">
        <v>232900</v>
      </c>
      <c r="H92" s="107" t="s">
        <v>86</v>
      </c>
      <c r="I92" s="39">
        <f t="shared" si="3"/>
        <v>0</v>
      </c>
    </row>
    <row r="93" spans="2:9" hidden="1" x14ac:dyDescent="0.25">
      <c r="B93" s="108" t="s">
        <v>65</v>
      </c>
      <c r="C93" s="109">
        <v>0.33</v>
      </c>
      <c r="D93" s="110">
        <v>71500</v>
      </c>
      <c r="E93" s="110">
        <v>83800</v>
      </c>
      <c r="F93" s="111">
        <v>94600</v>
      </c>
      <c r="G93" s="107">
        <v>201200</v>
      </c>
      <c r="H93" s="107" t="s">
        <v>84</v>
      </c>
      <c r="I93" s="39">
        <f t="shared" si="3"/>
        <v>0</v>
      </c>
    </row>
    <row r="94" spans="2:9" hidden="1" x14ac:dyDescent="0.25">
      <c r="B94" s="103" t="s">
        <v>66</v>
      </c>
      <c r="C94" s="104">
        <v>0.33</v>
      </c>
      <c r="D94" s="105">
        <v>71500</v>
      </c>
      <c r="E94" s="105">
        <v>83800</v>
      </c>
      <c r="F94" s="106">
        <v>94600</v>
      </c>
      <c r="G94" s="107">
        <v>201200</v>
      </c>
      <c r="H94" s="107" t="s">
        <v>86</v>
      </c>
      <c r="I94" s="39">
        <f t="shared" si="3"/>
        <v>0</v>
      </c>
    </row>
    <row r="95" spans="2:9" hidden="1" x14ac:dyDescent="0.25">
      <c r="B95" s="103" t="s">
        <v>67</v>
      </c>
      <c r="C95" s="104">
        <v>0.4</v>
      </c>
      <c r="D95" s="105">
        <v>44200</v>
      </c>
      <c r="E95" s="105">
        <v>51900</v>
      </c>
      <c r="F95" s="106">
        <v>58500</v>
      </c>
      <c r="G95" s="107">
        <v>168000</v>
      </c>
      <c r="H95" s="107" t="s">
        <v>84</v>
      </c>
      <c r="I95" s="39">
        <f t="shared" si="3"/>
        <v>0</v>
      </c>
    </row>
    <row r="96" spans="2:9" hidden="1" x14ac:dyDescent="0.25">
      <c r="B96" s="108" t="s">
        <v>68</v>
      </c>
      <c r="C96" s="109">
        <v>0.4</v>
      </c>
      <c r="D96" s="110">
        <v>39800</v>
      </c>
      <c r="E96" s="110">
        <v>46500</v>
      </c>
      <c r="F96" s="111">
        <v>52500</v>
      </c>
      <c r="G96" s="107">
        <v>151200</v>
      </c>
      <c r="H96" s="107" t="s">
        <v>85</v>
      </c>
      <c r="I96" s="39">
        <f t="shared" si="3"/>
        <v>0</v>
      </c>
    </row>
    <row r="97" spans="2:9" hidden="1" x14ac:dyDescent="0.25">
      <c r="B97" s="103" t="s">
        <v>69</v>
      </c>
      <c r="C97" s="104">
        <v>0.33</v>
      </c>
      <c r="D97" s="105">
        <v>72500</v>
      </c>
      <c r="E97" s="105">
        <v>85000</v>
      </c>
      <c r="F97" s="106">
        <v>95900</v>
      </c>
      <c r="G97" s="107">
        <v>203900</v>
      </c>
      <c r="H97" s="107" t="s">
        <v>84</v>
      </c>
      <c r="I97" s="39">
        <f t="shared" si="3"/>
        <v>0</v>
      </c>
    </row>
    <row r="98" spans="2:9" hidden="1" x14ac:dyDescent="0.25">
      <c r="B98" s="103" t="s">
        <v>70</v>
      </c>
      <c r="C98" s="104">
        <v>0.33</v>
      </c>
      <c r="D98" s="105">
        <v>69200</v>
      </c>
      <c r="E98" s="105">
        <v>81200</v>
      </c>
      <c r="F98" s="106">
        <v>91700</v>
      </c>
      <c r="G98" s="107">
        <v>194400</v>
      </c>
      <c r="H98" s="107" t="s">
        <v>84</v>
      </c>
      <c r="I98" s="39">
        <f t="shared" si="3"/>
        <v>0</v>
      </c>
    </row>
    <row r="99" spans="2:9" hidden="1" x14ac:dyDescent="0.25">
      <c r="B99" s="108" t="s">
        <v>71</v>
      </c>
      <c r="C99" s="109">
        <v>0.33</v>
      </c>
      <c r="D99" s="110">
        <v>66900</v>
      </c>
      <c r="E99" s="110">
        <v>78400</v>
      </c>
      <c r="F99" s="111">
        <v>88400</v>
      </c>
      <c r="G99" s="107">
        <v>187900</v>
      </c>
      <c r="H99" s="107" t="s">
        <v>84</v>
      </c>
      <c r="I99" s="39">
        <f t="shared" si="3"/>
        <v>0</v>
      </c>
    </row>
    <row r="100" spans="2:9" hidden="1" x14ac:dyDescent="0.25">
      <c r="B100" s="103" t="s">
        <v>72</v>
      </c>
      <c r="C100" s="104">
        <v>0.3</v>
      </c>
      <c r="D100" s="105">
        <v>83200</v>
      </c>
      <c r="E100" s="105">
        <v>97300</v>
      </c>
      <c r="F100" s="106">
        <v>109700</v>
      </c>
      <c r="G100" s="107">
        <v>210400</v>
      </c>
      <c r="H100" s="107" t="s">
        <v>84</v>
      </c>
      <c r="I100" s="39">
        <f t="shared" si="3"/>
        <v>0</v>
      </c>
    </row>
    <row r="101" spans="2:9" hidden="1" x14ac:dyDescent="0.25">
      <c r="B101" s="103" t="s">
        <v>73</v>
      </c>
      <c r="C101" s="104">
        <v>0.3</v>
      </c>
      <c r="D101" s="105">
        <v>82200</v>
      </c>
      <c r="E101" s="105">
        <v>96200</v>
      </c>
      <c r="F101" s="106">
        <v>108600</v>
      </c>
      <c r="G101" s="107">
        <v>207700</v>
      </c>
      <c r="H101" s="107" t="s">
        <v>84</v>
      </c>
      <c r="I101" s="39">
        <f t="shared" si="3"/>
        <v>0</v>
      </c>
    </row>
    <row r="102" spans="2:9" hidden="1" x14ac:dyDescent="0.25">
      <c r="B102" s="108" t="s">
        <v>74</v>
      </c>
      <c r="C102" s="109">
        <v>0.35</v>
      </c>
      <c r="D102" s="110">
        <v>60400</v>
      </c>
      <c r="E102" s="110">
        <v>70800</v>
      </c>
      <c r="F102" s="111">
        <v>79800</v>
      </c>
      <c r="G102" s="107">
        <v>183300</v>
      </c>
      <c r="H102" s="107" t="s">
        <v>84</v>
      </c>
      <c r="I102" s="39">
        <f t="shared" si="3"/>
        <v>0</v>
      </c>
    </row>
    <row r="103" spans="2:9" hidden="1" x14ac:dyDescent="0.25">
      <c r="B103" s="103" t="s">
        <v>75</v>
      </c>
      <c r="C103" s="104">
        <v>0.4</v>
      </c>
      <c r="D103" s="105">
        <v>39800</v>
      </c>
      <c r="E103" s="105">
        <v>46500</v>
      </c>
      <c r="F103" s="106">
        <v>52500</v>
      </c>
      <c r="G103" s="107">
        <v>151200</v>
      </c>
      <c r="H103" s="107" t="s">
        <v>85</v>
      </c>
      <c r="I103" s="39">
        <f t="shared" si="3"/>
        <v>0</v>
      </c>
    </row>
    <row r="104" spans="2:9" hidden="1" x14ac:dyDescent="0.25">
      <c r="B104" s="103" t="s">
        <v>76</v>
      </c>
      <c r="C104" s="104">
        <v>0.4</v>
      </c>
      <c r="D104" s="105">
        <v>39800</v>
      </c>
      <c r="E104" s="105">
        <v>46500</v>
      </c>
      <c r="F104" s="106">
        <v>52500</v>
      </c>
      <c r="G104" s="107">
        <v>151200</v>
      </c>
      <c r="H104" s="107" t="s">
        <v>85</v>
      </c>
      <c r="I104" s="39">
        <f t="shared" si="3"/>
        <v>0</v>
      </c>
    </row>
    <row r="105" spans="2:9" hidden="1" x14ac:dyDescent="0.25">
      <c r="B105" s="108" t="s">
        <v>77</v>
      </c>
      <c r="C105" s="109">
        <v>0.4</v>
      </c>
      <c r="D105" s="110">
        <v>39800</v>
      </c>
      <c r="E105" s="110">
        <v>46500</v>
      </c>
      <c r="F105" s="111">
        <v>52500</v>
      </c>
      <c r="G105" s="107">
        <v>151200</v>
      </c>
      <c r="H105" s="107" t="s">
        <v>85</v>
      </c>
      <c r="I105" s="39">
        <f t="shared" si="3"/>
        <v>0</v>
      </c>
    </row>
    <row r="106" spans="2:9" hidden="1" x14ac:dyDescent="0.25">
      <c r="B106" s="103" t="s">
        <v>78</v>
      </c>
      <c r="C106" s="104">
        <v>0.35</v>
      </c>
      <c r="D106" s="105">
        <v>58700</v>
      </c>
      <c r="E106" s="105">
        <v>68700</v>
      </c>
      <c r="F106" s="106">
        <v>77500</v>
      </c>
      <c r="G106" s="107">
        <v>177900</v>
      </c>
      <c r="H106" s="107" t="s">
        <v>84</v>
      </c>
      <c r="I106" s="39">
        <f t="shared" si="3"/>
        <v>0</v>
      </c>
    </row>
    <row r="107" spans="2:9" hidden="1" x14ac:dyDescent="0.25">
      <c r="B107" s="103" t="s">
        <v>79</v>
      </c>
      <c r="C107" s="104">
        <v>0.33</v>
      </c>
      <c r="D107" s="105">
        <v>70700</v>
      </c>
      <c r="E107" s="105">
        <v>83100</v>
      </c>
      <c r="F107" s="106">
        <v>93500</v>
      </c>
      <c r="G107" s="107">
        <v>198900</v>
      </c>
      <c r="H107" s="107" t="s">
        <v>85</v>
      </c>
      <c r="I107" s="39">
        <f t="shared" si="3"/>
        <v>0</v>
      </c>
    </row>
    <row r="108" spans="2:9" hidden="1" x14ac:dyDescent="0.25">
      <c r="B108" s="108" t="s">
        <v>80</v>
      </c>
      <c r="C108" s="109">
        <v>0.33</v>
      </c>
      <c r="D108" s="110">
        <v>67300</v>
      </c>
      <c r="E108" s="110">
        <v>79000</v>
      </c>
      <c r="F108" s="111">
        <v>89100</v>
      </c>
      <c r="G108" s="107">
        <v>189400</v>
      </c>
      <c r="H108" s="107" t="s">
        <v>85</v>
      </c>
      <c r="I108" s="39">
        <f t="shared" ref="I108:I109" si="4">MIN(G108,D$123)</f>
        <v>0</v>
      </c>
    </row>
    <row r="109" spans="2:9" ht="13.8" hidden="1" thickBot="1" x14ac:dyDescent="0.3">
      <c r="B109" s="112" t="s">
        <v>81</v>
      </c>
      <c r="C109" s="113">
        <v>0.4</v>
      </c>
      <c r="D109" s="114">
        <v>39800</v>
      </c>
      <c r="E109" s="114">
        <v>46500</v>
      </c>
      <c r="F109" s="115">
        <v>52500</v>
      </c>
      <c r="G109" s="116">
        <v>151200</v>
      </c>
      <c r="H109" s="116" t="s">
        <v>85</v>
      </c>
      <c r="I109" s="47">
        <f t="shared" si="4"/>
        <v>0</v>
      </c>
    </row>
    <row r="110" spans="2:9" hidden="1" x14ac:dyDescent="0.25">
      <c r="B110" s="10"/>
      <c r="C110" s="10"/>
      <c r="D110" s="10"/>
      <c r="E110" s="10"/>
      <c r="F110" s="10"/>
      <c r="G110" s="10"/>
      <c r="H110" s="10"/>
    </row>
    <row r="111" spans="2:9" hidden="1" x14ac:dyDescent="0.25">
      <c r="B111" s="40" t="s">
        <v>90</v>
      </c>
    </row>
    <row r="112" spans="2:9" hidden="1" x14ac:dyDescent="0.25">
      <c r="B112" s="40" t="s">
        <v>88</v>
      </c>
    </row>
    <row r="113" spans="2:7" hidden="1" x14ac:dyDescent="0.25">
      <c r="B113" s="40" t="s">
        <v>89</v>
      </c>
    </row>
    <row r="114" spans="2:7" hidden="1" x14ac:dyDescent="0.25"/>
    <row r="115" spans="2:7" hidden="1" x14ac:dyDescent="0.25">
      <c r="B115" s="9" t="s">
        <v>92</v>
      </c>
      <c r="C115" s="123">
        <v>600000</v>
      </c>
      <c r="D115" s="123"/>
    </row>
    <row r="116" spans="2:7" hidden="1" x14ac:dyDescent="0.25"/>
    <row r="117" spans="2:7" hidden="1" x14ac:dyDescent="0.25">
      <c r="B117" s="72" t="s">
        <v>90</v>
      </c>
      <c r="C117" s="73"/>
      <c r="D117" s="74" t="s">
        <v>122</v>
      </c>
      <c r="E117" s="75" t="s">
        <v>123</v>
      </c>
      <c r="F117" s="84" t="s">
        <v>90</v>
      </c>
    </row>
    <row r="118" spans="2:7" hidden="1" x14ac:dyDescent="0.25">
      <c r="B118" s="76" t="s">
        <v>97</v>
      </c>
      <c r="C118" s="70"/>
      <c r="D118" s="71" t="s">
        <v>121</v>
      </c>
      <c r="E118" s="77">
        <v>185500</v>
      </c>
      <c r="F118" s="85" t="s">
        <v>115</v>
      </c>
    </row>
    <row r="119" spans="2:7" hidden="1" x14ac:dyDescent="0.25">
      <c r="B119" s="76" t="s">
        <v>98</v>
      </c>
      <c r="C119" s="70"/>
      <c r="D119" s="71">
        <v>239300</v>
      </c>
      <c r="E119" s="77">
        <v>218000</v>
      </c>
      <c r="F119" s="85" t="s">
        <v>114</v>
      </c>
    </row>
    <row r="120" spans="2:7" ht="13.8" hidden="1" thickBot="1" x14ac:dyDescent="0.3">
      <c r="B120" s="76" t="s">
        <v>99</v>
      </c>
      <c r="C120" s="70"/>
      <c r="D120" s="71" t="s">
        <v>121</v>
      </c>
      <c r="E120" s="77">
        <v>218000</v>
      </c>
    </row>
    <row r="121" spans="2:7" ht="26.4" hidden="1" x14ac:dyDescent="0.25">
      <c r="B121" s="78" t="s">
        <v>100</v>
      </c>
      <c r="C121" s="70"/>
      <c r="D121" s="71">
        <v>260300</v>
      </c>
      <c r="E121" s="77">
        <v>237800</v>
      </c>
      <c r="G121" s="3" t="s">
        <v>9</v>
      </c>
    </row>
    <row r="122" spans="2:7" hidden="1" x14ac:dyDescent="0.25">
      <c r="B122" s="78" t="s">
        <v>101</v>
      </c>
      <c r="C122" s="70"/>
      <c r="D122" s="71">
        <v>309200</v>
      </c>
      <c r="E122" s="79">
        <v>284000</v>
      </c>
      <c r="G122" s="13"/>
    </row>
    <row r="123" spans="2:7" hidden="1" x14ac:dyDescent="0.25">
      <c r="B123" s="80"/>
      <c r="C123" s="81"/>
      <c r="D123" s="82">
        <f>IF(OR(G7=B48,G7=B85,G7=B92),IF(G9=B119,D119,IF(G9=B121,D121,IF(G9=B122,D122,0))),IF(G9=B118,E118,IF(G9=B119,E119,IF(G9=B120,E120,IF(G9=B121,E121,IF(G9=B122,E122,0))))))+IF(AND(G9&lt;&gt;B117,G10=B112),E123,0)</f>
        <v>0</v>
      </c>
      <c r="E123" s="83">
        <v>5000</v>
      </c>
      <c r="G123" s="16">
        <f>SUM(C$25:C26)</f>
        <v>0</v>
      </c>
    </row>
    <row r="124" spans="2:7" hidden="1" x14ac:dyDescent="0.25">
      <c r="B124" s="40" t="s">
        <v>90</v>
      </c>
      <c r="G124" s="16">
        <f>SUM(C$25:C27)</f>
        <v>0</v>
      </c>
    </row>
    <row r="125" spans="2:7" hidden="1" x14ac:dyDescent="0.25">
      <c r="B125" s="9" t="s">
        <v>93</v>
      </c>
      <c r="G125" s="19">
        <f>SUM(C$25:C28)</f>
        <v>0</v>
      </c>
    </row>
    <row r="126" spans="2:7" hidden="1" x14ac:dyDescent="0.25">
      <c r="B126" s="41" t="s">
        <v>94</v>
      </c>
      <c r="G126" s="19">
        <f>SUM(C$25:C29)</f>
        <v>0</v>
      </c>
    </row>
    <row r="127" spans="2:7" hidden="1" x14ac:dyDescent="0.25">
      <c r="B127" s="9" t="s">
        <v>95</v>
      </c>
      <c r="G127" s="19">
        <f>SUM(C$25:C30)</f>
        <v>0</v>
      </c>
    </row>
    <row r="128" spans="2:7" hidden="1" x14ac:dyDescent="0.25">
      <c r="G128" s="19">
        <f>SUM(C$25:C31)</f>
        <v>0</v>
      </c>
    </row>
    <row r="129" spans="2:7" ht="13.8" hidden="1" thickBot="1" x14ac:dyDescent="0.3">
      <c r="B129" s="33" t="s">
        <v>91</v>
      </c>
      <c r="G129" s="21"/>
    </row>
    <row r="130" spans="2:7" ht="14.4" hidden="1" thickTop="1" thickBot="1" x14ac:dyDescent="0.3">
      <c r="B130" s="42" t="str">
        <f>IF(AND(G9=B121,OR(G11=B126,G11=B127),G12=B113),10%,IF(AND(G9=B121,G11=B125,G12=B113),15%,IF(AND(G9=B121,G12=B112),30%,IF(AND(G9=B122,G12=B113),0%,IF(AND(G9=B122,G12=B112),30%,"TBD")))))</f>
        <v>TBD</v>
      </c>
      <c r="G130" s="24"/>
    </row>
    <row r="131" spans="2:7" hidden="1" x14ac:dyDescent="0.25"/>
    <row r="132" spans="2:7" hidden="1" x14ac:dyDescent="0.25">
      <c r="B132" s="119">
        <f>IF(OR(G8="Small",G17="No"),"",IF(VLOOKUP(G$7,ELI_PU,7)="Large",4,IF(VLOOKUP(G$7,ELI_PU,7)="Medium",3,0)))</f>
        <v>0</v>
      </c>
      <c r="C132" s="9" t="s">
        <v>132</v>
      </c>
    </row>
    <row r="133" spans="2:7" hidden="1" x14ac:dyDescent="0.25">
      <c r="B133" s="119">
        <f>IF(OR(G8="Small",G17="No"),"",B134-B132)</f>
        <v>0</v>
      </c>
      <c r="C133" s="9" t="s">
        <v>133</v>
      </c>
    </row>
    <row r="134" spans="2:7" hidden="1" x14ac:dyDescent="0.25">
      <c r="B134" s="119">
        <f>IF(OR(G8="Small",G17="No"),"",IF(AND(VLOOKUP(G7,ELI_PU,7)="Medium",G17="Yes"),MIN(3+N(G19),10,ROUNDUP(0.1*N(C33),0)),IF(AND(VLOOKUP(G7,ELI_PU,7)="Large",G17="Yes"),MIN(4+N(G19),10,ROUNDUP(0.1*N(C33),0)),0)))</f>
        <v>0</v>
      </c>
      <c r="C134" s="9" t="s">
        <v>134</v>
      </c>
    </row>
    <row r="135" spans="2:7" hidden="1" x14ac:dyDescent="0.25">
      <c r="B135" s="122" t="s">
        <v>135</v>
      </c>
      <c r="C135" s="122"/>
    </row>
    <row r="136" spans="2:7" hidden="1" x14ac:dyDescent="0.25"/>
  </sheetData>
  <sheetProtection algorithmName="SHA-512" hashValue="1+e5AJfR0xhxmEQZjxDOvdiJOu7SllvffZEM3pfrpmLjxDfwtVraIUVrFMYmSi4W7D2GVRaA+A12k0KeHHhCvw==" saltValue="x3kYZmV9Pf+j2FxmlApWOQ==" spinCount="100000" sheet="1" selectLockedCells="1"/>
  <mergeCells count="37">
    <mergeCell ref="L41:M43"/>
    <mergeCell ref="L45:M48"/>
    <mergeCell ref="G12:H12"/>
    <mergeCell ref="L7:M7"/>
    <mergeCell ref="J41:K51"/>
    <mergeCell ref="G10:H10"/>
    <mergeCell ref="G20:H20"/>
    <mergeCell ref="G13:H13"/>
    <mergeCell ref="G8:H8"/>
    <mergeCell ref="G9:H9"/>
    <mergeCell ref="G11:H11"/>
    <mergeCell ref="V7:W7"/>
    <mergeCell ref="A3:H3"/>
    <mergeCell ref="A4:H4"/>
    <mergeCell ref="A5:H5"/>
    <mergeCell ref="A1:B1"/>
    <mergeCell ref="C1:H1"/>
    <mergeCell ref="S7:T7"/>
    <mergeCell ref="O7:P7"/>
    <mergeCell ref="A2:H2"/>
    <mergeCell ref="G7:H7"/>
    <mergeCell ref="B135:C135"/>
    <mergeCell ref="C115:D115"/>
    <mergeCell ref="G14:H14"/>
    <mergeCell ref="G16:H16"/>
    <mergeCell ref="G17:H17"/>
    <mergeCell ref="G18:H18"/>
    <mergeCell ref="H34:H37"/>
    <mergeCell ref="C34:C37"/>
    <mergeCell ref="D34:D36"/>
    <mergeCell ref="F34:F36"/>
    <mergeCell ref="G34:G37"/>
    <mergeCell ref="E34:E36"/>
    <mergeCell ref="G15:H15"/>
    <mergeCell ref="B21:I21"/>
    <mergeCell ref="B18:F18"/>
    <mergeCell ref="G19:H19"/>
  </mergeCells>
  <conditionalFormatting sqref="H33">
    <cfRule type="expression" dxfId="11" priority="33">
      <formula>SUM(H25:H32)&gt;H33</formula>
    </cfRule>
  </conditionalFormatting>
  <conditionalFormatting sqref="G35:G37">
    <cfRule type="expression" dxfId="10" priority="32">
      <formula>SUM(H27:H33)&gt;H34</formula>
    </cfRule>
  </conditionalFormatting>
  <conditionalFormatting sqref="G43:I109">
    <cfRule type="expression" dxfId="9" priority="14">
      <formula>COUNTA($B$43:$B43)/3=ROUND(COUNTA($B$43:$B43)/3,0)</formula>
    </cfRule>
  </conditionalFormatting>
  <conditionalFormatting sqref="G34">
    <cfRule type="expression" dxfId="8" priority="36">
      <formula>SUM(H25:H32)&gt;H33</formula>
    </cfRule>
  </conditionalFormatting>
  <conditionalFormatting sqref="J27">
    <cfRule type="expression" dxfId="7" priority="37">
      <formula>C27&gt;ROUNDUP(50%*C$33,0)</formula>
    </cfRule>
  </conditionalFormatting>
  <conditionalFormatting sqref="J28">
    <cfRule type="expression" dxfId="6" priority="38">
      <formula>C28&lt;ROUNDUP(15%*C$33,0)</formula>
    </cfRule>
  </conditionalFormatting>
  <conditionalFormatting sqref="J30">
    <cfRule type="expression" dxfId="5" priority="40">
      <formula>C30&gt;ROUNDUP(40%*C$33,0)</formula>
    </cfRule>
  </conditionalFormatting>
  <conditionalFormatting sqref="I19">
    <cfRule type="cellIs" dxfId="4" priority="5" operator="notEqual">
      <formula>""""""</formula>
    </cfRule>
  </conditionalFormatting>
  <conditionalFormatting sqref="J33">
    <cfRule type="expression" dxfId="3" priority="41">
      <formula>OR(AND(G8="Medium",C33&lt;30),AND(G8="Large",C33&lt;50))</formula>
    </cfRule>
  </conditionalFormatting>
  <conditionalFormatting sqref="B135:C135">
    <cfRule type="expression" dxfId="2" priority="4">
      <formula>OR($G$8="Small",$G$17="No")</formula>
    </cfRule>
  </conditionalFormatting>
  <conditionalFormatting sqref="B43:I109">
    <cfRule type="expression" dxfId="1" priority="2">
      <formula>$G$7=$B43</formula>
    </cfRule>
  </conditionalFormatting>
  <conditionalFormatting sqref="G19:H19">
    <cfRule type="expression" dxfId="0" priority="1">
      <formula>OR($G$8="Small",$G$17="No")</formula>
    </cfRule>
  </conditionalFormatting>
  <dataValidations xWindow="531" yWindow="472" count="5">
    <dataValidation type="list" allowBlank="1" showInputMessage="1" showErrorMessage="1" sqref="G7:H7" xr:uid="{00000000-0002-0000-0000-000000000000}">
      <formula1>$B$42:$B$109</formula1>
    </dataValidation>
    <dataValidation type="list" allowBlank="1" showInputMessage="1" showErrorMessage="1" sqref="G17 G12 G10" xr:uid="{22A46BD2-A9B7-43B9-83F5-62EFF7A0AFC7}">
      <formula1>$B$111:$B$113</formula1>
    </dataValidation>
    <dataValidation type="list" allowBlank="1" showInputMessage="1" showErrorMessage="1" sqref="G9" xr:uid="{6BED0E39-88C6-4BC4-B192-CC2919FC9C1D}">
      <formula1>$B$117:$B$122</formula1>
    </dataValidation>
    <dataValidation type="list" allowBlank="1" showInputMessage="1" showErrorMessage="1" sqref="G11:H11" xr:uid="{D348BC0F-E15E-43B9-A33E-F8E0F31D7DDB}">
      <formula1>$B$124:$B$127</formula1>
    </dataValidation>
    <dataValidation type="list" allowBlank="1" showInputMessage="1" showErrorMessage="1" sqref="G13:H13" xr:uid="{DA854AB0-99F4-495D-ADFE-46F5B3E9D600}">
      <formula1>$F$117:$F$119</formula1>
    </dataValidation>
  </dataValidations>
  <printOptions horizontalCentered="1"/>
  <pageMargins left="0.25" right="0.25" top="0.75" bottom="0.75" header="0.3" footer="0.3"/>
  <pageSetup scale="99" orientation="portrait" r:id="rId1"/>
  <rowBreaks count="1" manualBreakCount="1">
    <brk id="37" max="16383" man="1"/>
  </rowBreaks>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2.xml><?xml version="1.0" encoding="utf-8"?>
<ds:datastoreItem xmlns:ds="http://schemas.openxmlformats.org/officeDocument/2006/customXml" ds:itemID="{C6CB79A7-AAA4-4F15-BC3F-566DCF15C10A}">
  <ds:schemaRefs>
    <ds:schemaRef ds:uri="http://purl.org/dc/elements/1.1/"/>
    <ds:schemaRef ds:uri="http://schemas.microsoft.com/sharepoint/v3"/>
    <ds:schemaRef ds:uri="http://www.w3.org/XML/1998/namespace"/>
    <ds:schemaRef ds:uri="a226f5f0-4194-4a70-829c-4bbef480395c"/>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5a5b18f4-a66d-498a-8c29-5461dd409234"/>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1AE7CC7-7C9A-4583-8EA7-6A7EC86BB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2021-01-11T19:06:04Z</cp:lastPrinted>
  <dcterms:created xsi:type="dcterms:W3CDTF">2015-07-20T21:55:29Z</dcterms:created>
  <dcterms:modified xsi:type="dcterms:W3CDTF">2021-10-07T20:19:52Z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