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3 Rules and RFAs/2023-102 SAIL PSN/Exhibit A/"/>
    </mc:Choice>
  </mc:AlternateContent>
  <xr:revisionPtr revIDLastSave="7" documentId="8_{68A037A1-AAB1-4F7F-BF1B-1FA42E7450F5}" xr6:coauthVersionLast="47" xr6:coauthVersionMax="47" xr10:uidLastSave="{B49F77F8-DA9D-4813-9D12-CDD36D3C723E}"/>
  <workbookProtection workbookAlgorithmName="SHA-512" workbookHashValue="3eTVYJ2M4KX+pAVnhtHORhzi/47R/L1kiIK7rRUfDaqiF/cscsJdcIEAHx7UtEX8RlxuknObqSHLyqPDDorsfA==" workbookSaltValue="OEov21Nm46aoZFFmczXZgA==" workbookSpinCount="100000" lockStructure="1"/>
  <bookViews>
    <workbookView xWindow="-110" yWindow="-110" windowWidth="19420" windowHeight="11620" tabRatio="857"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URA" sheetId="36" r:id="rId15"/>
    <sheet name="Local Gov't Contributions" sheetId="18" state="veryHidden" r:id="rId16"/>
    <sheet name="B. Other Information" sheetId="10" r:id="rId17"/>
    <sheet name="Certification" sheetId="20" r:id="rId18"/>
    <sheet name="Narrative Scoring" sheetId="34" r:id="rId19"/>
  </sheets>
  <definedNames>
    <definedName name="ACC_units">'Proposed Development Info'!$F$31</definedName>
    <definedName name="Acq_elig">'Pro Forma'!$H$177</definedName>
    <definedName name="Acq_inelig">'Pro Forma'!$K$177</definedName>
    <definedName name="Acq_total">'Pro Forma'!$N$177</definedName>
    <definedName name="Acquisition_eligible">'Pro Forma'!$H$182</definedName>
    <definedName name="Acquisition_ineligible">'Pro Forma'!$K$182</definedName>
    <definedName name="Acquisition_total">'Pro Forma'!$N$182</definedName>
    <definedName name="Actual_Accessory_eligible">'Pro Forma'!$H$45</definedName>
    <definedName name="Actual_Accessory_ineligible">'Pro Forma'!$K$45</definedName>
    <definedName name="Actual_Accessory_total">'Pro Forma'!$N$45</definedName>
    <definedName name="Actual_Comm_Retail_eligible">'Pro Forma'!$H$49</definedName>
    <definedName name="Actual_Comm_Retail_ineligible">'Pro Forma'!$K$49</definedName>
    <definedName name="Actual_Comm_Retail_total">'Pro Forma'!$N$49</definedName>
    <definedName name="Actual_commonareas_eligible">'Pro Forma'!$H$57</definedName>
    <definedName name="Actual_commonareas_ineligible">'Pro Forma'!$K$57</definedName>
    <definedName name="Actual_commonareas_total">'Pro Forma'!$N$57</definedName>
    <definedName name="Actual_Constructioncost_eligible">'Pro Forma'!$H$65</definedName>
    <definedName name="Actual_Constructioncost_ineligible">'Pro Forma'!$K$65</definedName>
    <definedName name="Actual_Constructioncost_total">'Pro Forma'!$N$65</definedName>
    <definedName name="Actual_Demolition_eligible">'Pro Forma'!$H$47</definedName>
    <definedName name="Actual_Demolition_ineligible">'Pro Forma'!$K$47</definedName>
    <definedName name="Actual_Demolition_total">'Pro Forma'!$N$47</definedName>
    <definedName name="Actual_existingrental_eligible">'Pro Forma'!$H$59</definedName>
    <definedName name="Actual_existingrental_ineligible">'Pro Forma'!$K$59</definedName>
    <definedName name="Actual_existingrental_total">'Pro Forma'!$N$59</definedName>
    <definedName name="Actual_GCfee_eligible">'Pro Forma'!$H$68</definedName>
    <definedName name="Actual_GCfee_ineligible">'Pro Forma'!$K$68</definedName>
    <definedName name="Actual_GCfee_total">'Pro Forma'!$N$68</definedName>
    <definedName name="Actual_NewUnits_eligible">'Pro Forma'!$H$51</definedName>
    <definedName name="Actual_NewUnits_ineligible">'Pro Forma'!$K$51</definedName>
    <definedName name="Actual_NewUnits_total">'Pro Forma'!$N$51</definedName>
    <definedName name="Actual_Offsite_eligible">'Pro Forma'!$H$53</definedName>
    <definedName name="Actual_Offsite_ineligible">'Pro Forma'!$K$53</definedName>
    <definedName name="Actual_Offsite_total">'Pro Forma'!$N$53</definedName>
    <definedName name="Actual_Other_eligible">'Pro Forma'!$H$63</definedName>
    <definedName name="Actual_Other_ineligible">'Pro Forma'!$K$63</definedName>
    <definedName name="Actual_Other_total">'Pro Forma'!$N$63</definedName>
    <definedName name="Actual_recreational_eligible">'Pro Forma'!$H$55</definedName>
    <definedName name="Actual_recreational_ineligible">'Pro Forma'!$K$55</definedName>
    <definedName name="Actual_recreational_total">'Pro Forma'!$N$55</definedName>
    <definedName name="Actual_sitework_eligible">'Pro Forma'!$H$61</definedName>
    <definedName name="Actual_sitework_ineligible">'Pro Forma'!$K$61</definedName>
    <definedName name="Actual_sitework_total">'Pro Forma'!$N$61</definedName>
    <definedName name="Actual_TotalConstructioncost_eligible">'Pro Forma'!$H$71</definedName>
    <definedName name="Actual_TotalConstructioncost_ineligible">'Pro Forma'!$K$71</definedName>
    <definedName name="Actual_TotalConstructioncost_total">'Pro Forma'!$N$71</definedName>
    <definedName name="Addenda_Comments">'B. Other Information'!$A$18</definedName>
    <definedName name="Addenda_Comments_2">'B. Other Information'!$A$19</definedName>
    <definedName name="AIT_HC_SA_Percent">'Units, Set-Asides, Bldgs'!$G$47</definedName>
    <definedName name="App_number_first_phase">Funding!$E$197</definedName>
    <definedName name="Application_Fee_Method">'B. Other Information'!$A$9</definedName>
    <definedName name="Authorized_Contact_Address">'General Information'!$F$148</definedName>
    <definedName name="Authorized_Contact_City">'General Information'!$F$149</definedName>
    <definedName name="Authorized_Contact_EMail">'General Information'!$F$153</definedName>
    <definedName name="Authorized_Contact_First_Name">'General Information'!$F$145</definedName>
    <definedName name="Authorized_Contact_Last_Name">'General Information'!$F$146</definedName>
    <definedName name="Authorized_Contact_Middle_Initial">'General Information'!$H$145</definedName>
    <definedName name="Authorized_Contact_Phone">'General Information'!$F$152</definedName>
    <definedName name="Authorized_Contact_Phone_Ext">'General Information'!$H$152</definedName>
    <definedName name="Authorized_Contact_State">'General Information'!$F$150</definedName>
    <definedName name="Authorized_Contact_Zip">'General Information'!$F$151</definedName>
    <definedName name="avg_AMI_HC_Units_in_avg_inc_chart">'Units, Set-Asides, Bldgs'!$I$49</definedName>
    <definedName name="Calc_BusRapid">Data1!$D$370</definedName>
    <definedName name="Calc_BusStop1">Data1!$D$366</definedName>
    <definedName name="Calc_BusStop2">Data1!$D$367</definedName>
    <definedName name="Calc_BusStop3">Data1!$D$368</definedName>
    <definedName name="Calc_BusTransfer">Data1!$D$369</definedName>
    <definedName name="Calc_Rail">Data1!$D$371</definedName>
    <definedName name="Cert_Signature">Certification!$K$35</definedName>
    <definedName name="Cert_Title_of_Signature">Certification!$C$37</definedName>
    <definedName name="Community_Based_Board">'General Information'!$C$141</definedName>
    <definedName name="community_service_points_achieved">'Proximity, Mand.Dist., RECAP'!$H$77</definedName>
    <definedName name="Company_Of_Authorized_Contact_Person">'General Information'!$F$147</definedName>
    <definedName name="Company_Of_Operational_Contact_Person">'General Information'!$F$160</definedName>
    <definedName name="Competitive_HC_Request_Amount">Funding!$I$184</definedName>
    <definedName name="Compliance_Period">'Units, Set-Asides, Bldgs'!$K$136</definedName>
    <definedName name="ConstrAnalysis__1st_Mtg">'Pro Forma'!$H$266</definedName>
    <definedName name="ConstrAnalysis__1st_Type">'Pro Forma'!$K$266</definedName>
    <definedName name="ConstrAnalysis__2nd_Mtg">'Pro Forma'!$H$268</definedName>
    <definedName name="ConstrAnalysis__2nd_Type">'Pro Forma'!$K$268</definedName>
    <definedName name="ConstrAnalysis__3rd_Mtg">'Pro Forma'!$H$270</definedName>
    <definedName name="ConstrAnalysis__3rd_Type">'Pro Forma'!$K$270</definedName>
    <definedName name="ConstrAnalysis__4th_Mtg">'Pro Forma'!$H$272</definedName>
    <definedName name="ConstrAnalysis__4th_Type">'Pro Forma'!$K$272</definedName>
    <definedName name="ConstrAnalysis__5th_Mtg">'Pro Forma'!$H$274</definedName>
    <definedName name="ConstrAnalysis__5th_Type">'Pro Forma'!$K$274</definedName>
    <definedName name="ConstrAnalysis__6th_Mtg">'Pro Forma'!$H$276</definedName>
    <definedName name="ConstrAnalysis__6th_Type">'Pro Forma'!$K$276</definedName>
    <definedName name="ConstrAnalysis__7th_Mtg">'Pro Forma'!$H$278</definedName>
    <definedName name="ConstrAnalysis__7th_Type">'Pro Forma'!$K$278</definedName>
    <definedName name="ConstrAnalysis__8th_Mtg">'Pro Forma'!$H$280</definedName>
    <definedName name="ConstrAnalysis__8th_Type">'Pro Forma'!$K$280</definedName>
    <definedName name="ConstrAnalysis__9th_Mtg">'Pro Forma'!$H$282</definedName>
    <definedName name="ConstrAnalysis__9th_Type">'Pro Forma'!$K$282</definedName>
    <definedName name="ConstrAnalysis_10th_Mtg">'Pro Forma'!$H$284</definedName>
    <definedName name="ConstrAnalysis_10th_Type">'Pro Forma'!$K$284</definedName>
    <definedName name="ConstrAnalysis_deferredfee">'Pro Forma'!$H$298</definedName>
    <definedName name="ConstrAnalysis_HC">'Pro Forma'!$H$292</definedName>
    <definedName name="ConstrAnalysis_Other_1_Type">'Pro Forma'!$K$294</definedName>
    <definedName name="ConstrAnalysis_Other_2_Type">'Pro Forma'!$K$296</definedName>
    <definedName name="ConstrAnalysis_other1">'Pro Forma'!$H$294</definedName>
    <definedName name="ConstrAnalysis_other1_title">'Pro Forma'!$E$294</definedName>
    <definedName name="ConstrAnalysis_other2">'Pro Forma'!$H$296</definedName>
    <definedName name="ConstrAnalysis_other2_title">'Pro Forma'!$E$296</definedName>
    <definedName name="ConstrAnalysis_surplus">'Pro Forma'!$H$304</definedName>
    <definedName name="ConstrAnalysis_totalsources">'Pro Forma'!$H$300</definedName>
    <definedName name="ConstrFeaturesMultiplier">Funding!$I$357</definedName>
    <definedName name="ConstrSource_Use_Ratio">'Pro Forma'!$M$306</definedName>
    <definedName name="Contingency_Hard_eligible">'Pro Forma'!$H$73</definedName>
    <definedName name="Contingency_Hard_ineligible">'Pro Forma'!$K$73</definedName>
    <definedName name="Contingency_Hard_total">'Pro Forma'!$N$73</definedName>
    <definedName name="Contingency_Soft_eligible">'Pro Forma'!$H$139</definedName>
    <definedName name="Contingency_Soft_ineligible">'Pro Forma'!$K$139</definedName>
    <definedName name="Contingency_Soft_total">'Pro Forma'!$N$139</definedName>
    <definedName name="County">'Development Location'!$F$3</definedName>
    <definedName name="County_Size">'Development Location'!$H$3</definedName>
    <definedName name="DDA_nonmetro">Funding!$E$208</definedName>
    <definedName name="DDA_nonmetro_name">Funding!$E$210</definedName>
    <definedName name="Demographic">'General Information'!$F$10</definedName>
    <definedName name="Description_acquisition_other">'Pro Forma'!$F$250</definedName>
    <definedName name="Description_Actual_offsite">'Pro Forma'!$F$217</definedName>
    <definedName name="Description_Actual_other">'Pro Forma'!$F$221</definedName>
    <definedName name="Description_financial_other">'Pro Forma'!$F$243</definedName>
    <definedName name="Description_General_impact">'Pro Forma'!$F$228</definedName>
    <definedName name="Description_General_other">'Pro Forma'!$F$234</definedName>
    <definedName name="Dev_Fee_Max_Acq">'Pro Forma'!$F$189</definedName>
    <definedName name="Dev_Fee_Max_Demo">'Pro Forma'!$F$194</definedName>
    <definedName name="Dev_Fee_Max_Non_Acq">'Pro Forma'!$F$191</definedName>
    <definedName name="Dev_Fee_Max_Total">'Pro Forma'!$F$196</definedName>
    <definedName name="DevCat_Test_QualBasis">'Proposed Development Info'!$I$17</definedName>
    <definedName name="DevCat_Test_RehabExps">'Proposed Development Info'!$I$14</definedName>
    <definedName name="DevCat_Test_Units">'Proposed Development Info'!$I$12</definedName>
    <definedName name="Developer_fee_acq_eligible">'Pro Forma'!$H$188</definedName>
    <definedName name="Developer_fee_acq_ineligible">'Pro Forma'!$K$188</definedName>
    <definedName name="Developer_fee_acq_total">'Pro Forma'!$N$188</definedName>
    <definedName name="Developer_fee_demo">'Pro Forma'!$N$193</definedName>
    <definedName name="Developer_fee_eligible">'Pro Forma'!$H$195</definedName>
    <definedName name="Developer_fee_ineligible">'Pro Forma'!$K$195</definedName>
    <definedName name="Developer_fee_non_acq_eligible">'Pro Forma'!$H$190</definedName>
    <definedName name="Developer_fee_non_acq_ineligible">'Pro Forma'!$K$190</definedName>
    <definedName name="Developer_fee_non_acq_total">'Pro Forma'!$N$190</definedName>
    <definedName name="Developer_fee_total">'Pro Forma'!$N$195</definedName>
    <definedName name="Development_Category">'Proposed Development Info'!$G$6</definedName>
    <definedName name="Development_Cost_eligible">'Pro Forma'!$H$184</definedName>
    <definedName name="Development_Cost_ineligible">'Pro Forma'!$K$184</definedName>
    <definedName name="Development_Cost_total">'Pro Forma'!$N$184</definedName>
    <definedName name="Development_Location">'Development Location'!$E$11</definedName>
    <definedName name="Development_Location_City">'Development Location'!$G$13</definedName>
    <definedName name="Development_Location_Zip">'Development Location'!$I$13</definedName>
    <definedName name="DevExp_first_Dev_location">'General Information'!$F$74</definedName>
    <definedName name="DevExp_first_Dev_name">'General Information'!$F$73</definedName>
    <definedName name="DevExp_first_Dev_program">'General Information'!$F$75</definedName>
    <definedName name="DevExp_first_Dev_units">'General Information'!$F$77</definedName>
    <definedName name="DevExp_first_Dev_year">'General Information'!$F$78</definedName>
    <definedName name="DevExp_natural_person">'General Information'!$G$69</definedName>
    <definedName name="DevExp_natural_person_entity">'General Information'!$G$70</definedName>
    <definedName name="DevExp_second_Dev_location">'General Information'!$F$82</definedName>
    <definedName name="DevExp_second_Dev_name">'General Information'!$F$81</definedName>
    <definedName name="DevExp_second_Dev_program">'General Information'!$F$83</definedName>
    <definedName name="DevExp_second_Dev_units">'General Information'!$F$85</definedName>
    <definedName name="DevExp_second_Dev_year">'General Information'!$F$86</definedName>
    <definedName name="DevExp_third_Dev_location">'General Information'!$F$90</definedName>
    <definedName name="DevExp_third_Dev_name">'General Information'!$F$89</definedName>
    <definedName name="DevExp_third_Dev_program">'General Information'!$F$91</definedName>
    <definedName name="DevExp_third_Dev_units">'General Information'!$F$93</definedName>
    <definedName name="DevExp_third_Dev_year">'General Information'!$F$94</definedName>
    <definedName name="DevType">'Proposed Development Info'!$C$45</definedName>
    <definedName name="DLP_latitude">'Development Location'!$H$23</definedName>
    <definedName name="DLP_longitude">'Development Location'!$H$24</definedName>
    <definedName name="DonationOfLand">Funding!$I$311</definedName>
    <definedName name="DS_2022_County_GAOs">Data2!$Q$23:$Q$311</definedName>
    <definedName name="DS_2022_County_QCTs">Data2!$O$23:$O$181</definedName>
    <definedName name="DS_2022_GAO_Counties">Data2!$M$23:$M$2323</definedName>
    <definedName name="DS_2022_GAO_QCTs_Sorted">Data2!$AB$23:$AB$2323</definedName>
    <definedName name="DS_2022_Metro_QCT_Counties">Data2!$G$23:$G$748</definedName>
    <definedName name="DS_2022_Metro_QCTs_Sorted">Data2!$V$23:$W$748</definedName>
    <definedName name="DS_2022_NonMetro_QCT_Counties">Data2!$J$23:$J$52</definedName>
    <definedName name="DS_2022_NonMetro_QCTs_Sorted">Data2!$Y$23:$Z$52</definedName>
    <definedName name="DS_2022_ZCTAs_Sorted">Data2!$S$23:$T$370</definedName>
    <definedName name="DS_2023_County_GAOs">Data2!$AU$23:$AU$311</definedName>
    <definedName name="DS_2023_County_QCTs">Data2!$AS$23:$AS$181</definedName>
    <definedName name="DS_2023_Metro_QCT_Counties">Data2!$AK$23:$AK$824</definedName>
    <definedName name="DS_2023_Metro_QCTs_Sorted">Data2!$AZ$23:$BA$824</definedName>
    <definedName name="DS_2023_NonMetro_QCT_Counties">Data2!$AN$23:$AN$58</definedName>
    <definedName name="DS_2023_NonMetro_QCTs_Sorted">Data2!$BC$23:$BD$58</definedName>
    <definedName name="DS_2023_ZCTAs_Sorted">Data2!$AW$23:$AX$375</definedName>
    <definedName name="DS_Add_On_1">Data3!$F$207</definedName>
    <definedName name="DS_Add_On_1_Y">Data3!$F$207</definedName>
    <definedName name="DS_Add_On_2">Data3!$F$208</definedName>
    <definedName name="DS_Add_On_2_Y">Data3!$F$208</definedName>
    <definedName name="DS_AMI_List">Data1!$F$622:$F$636</definedName>
    <definedName name="DS_AppDeadline">Data1!$E$9</definedName>
    <definedName name="DS_ARP_PD">Data3!$C$105</definedName>
    <definedName name="DS_ARP_PU">Data3!$C$106</definedName>
    <definedName name="DS_Authorized_Contact_Full_Name">Data1!$F$144</definedName>
    <definedName name="DS_Bond_ADDON">Data3!$G$208</definedName>
    <definedName name="DS_Comment_Max_Gap_SA">Data1!$B$500</definedName>
    <definedName name="DS_Comment_Min_ElderlyALF_SA_a">Data1!$B$484</definedName>
    <definedName name="DS_Comment_Min_ElderlyALF_SA_b">Data1!$B$493</definedName>
    <definedName name="DS_Comment_Min_ELI_SA_a">Data1!$B$486</definedName>
    <definedName name="DS_Comment_Min_ELI_SA_b">Data1!$B$495</definedName>
    <definedName name="DS_Comment_Min_Gap_ELI_SA">Data1!$B$502</definedName>
    <definedName name="DS_Comment_Min_Gap_SA">Data1!$B$499</definedName>
    <definedName name="DS_Comment_Min_Gap_SA_ALF">Data1!$B$501</definedName>
    <definedName name="DS_Comment_Min_Gap_SS_Below_50Percent_SA">Data1!$B$503</definedName>
    <definedName name="DS_Comment_Min_IRS_and_Loan_SA_a">Data1!$B$481</definedName>
    <definedName name="DS_Comment_Min_IRS_and_Loan_SA_b">Data1!$B$490</definedName>
    <definedName name="DS_Comment_Min_IRS_NonProfit_SA_a">Data1!$B$482</definedName>
    <definedName name="DS_Comment_Min_IRS_NonProfit_SA_b">Data1!$B$491</definedName>
    <definedName name="DS_Comment_Min_Max_Workforce_SA_a">Data1!$B$483</definedName>
    <definedName name="DS_Comment_Min_Max_Workforce_SA_b">Data1!$B$492</definedName>
    <definedName name="DS_Comment_Min_RFA_SA_a">Data1!$B$485</definedName>
    <definedName name="DS_Comment_Min_RFA_SA_b">Data1!$B$494</definedName>
    <definedName name="DS_Comment_Min_SS_Below_50Percent_SA_a">Data1!$B$487</definedName>
    <definedName name="DS_Comment_Min_SS_Below_50Percent_SA_b">Data1!$B$496</definedName>
    <definedName name="DS_Comment_Total_Units_a">Data1!$B$480</definedName>
    <definedName name="DS_Comment_Total_Units_b">Data1!$B$489</definedName>
    <definedName name="DS_Comment_Total_Units_Gap">Data1!$B$498</definedName>
    <definedName name="DS_Constr_Feat_Multiplier">Data3!$G$213</definedName>
    <definedName name="DS_Counties_DataNames">Data1!$A$250:$A$316</definedName>
    <definedName name="DS_Counties_DDMenu">Data1!$F$249:$F$316</definedName>
    <definedName name="DS_Counties_Sequence">Data1!$C$250:$C$316</definedName>
    <definedName name="DS_County_Sizes">Data1!$A$250:$I$316</definedName>
    <definedName name="DS_CountyData">Data3!$A$9:$P$76</definedName>
    <definedName name="DS_Demo_DataNames">Data1!$A$12:$A$21</definedName>
    <definedName name="DS_Demo_DDMenu">Data1!$F$11:$F$21</definedName>
    <definedName name="DS_Demo_Multiplier">Data3!$G$210</definedName>
    <definedName name="DS_Demo_Sequence">Data1!$C$12:$C$21</definedName>
    <definedName name="DS_DevCat_DataNames">Data1!$A$148:$A$154</definedName>
    <definedName name="DS_DevCat_DDMenu">Data1!$F$147:$F$154</definedName>
    <definedName name="DS_DevCat_Min_Occ">Data1!$O$173</definedName>
    <definedName name="DS_DevCat_Note_1">Data1!$H$148</definedName>
    <definedName name="DS_DevCat_Note_2">Data1!$H$149</definedName>
    <definedName name="DS_DevCat_Note_3">Data1!$H$150</definedName>
    <definedName name="DS_DevCat_Note_4">Data1!$H$151</definedName>
    <definedName name="DS_DevCat_Note_5">Data1!$H$152</definedName>
    <definedName name="DS_DevCat_Note_6">Data1!$H$153</definedName>
    <definedName name="DS_DevCat_Q_Basis_Pres_1">Data1!$G$190</definedName>
    <definedName name="DS_DevCat_Q_Basis_Pres_2">Data1!$G$191</definedName>
    <definedName name="DS_DevCat_Q_Basis_Rehab_1">Data1!$G$213</definedName>
    <definedName name="DS_DevCat_Q_Basis_Rehab_2">Data1!$G$214</definedName>
    <definedName name="DS_DevCat_Qual_Letter">Data1!$O$164</definedName>
    <definedName name="DS_DevCat_R_Exp_Pres_1">Data1!$G$183</definedName>
    <definedName name="DS_DevCat_R_Exp_Pres_2">Data1!$G$184</definedName>
    <definedName name="DS_DevCat_R_Exp_Rehab_1">Data1!$G$206</definedName>
    <definedName name="DS_DevCat_R_Exp_Rehab_2">Data1!$G$207</definedName>
    <definedName name="DS_DevCat_Rule_Def">Data1!$O$196</definedName>
    <definedName name="DS_DevCat_Sequence">Data1!$C$148:$C$154</definedName>
    <definedName name="DS_DevCat_Units_NC_1">Data1!$G$160</definedName>
    <definedName name="DS_DevCat_Units_NC_2">Data1!$G$161</definedName>
    <definedName name="DS_DevCat_Units_Pres_1">Data1!$G$176</definedName>
    <definedName name="DS_DevCat_Units_Pres_2">Data1!$G$177</definedName>
    <definedName name="DS_DevCat_Units_Redev_1">Data1!$G$167</definedName>
    <definedName name="DS_DevCat_Units_Redev_2">Data1!$G$168</definedName>
    <definedName name="DS_DevCat_Units_Rehab_1">Data1!$G$199</definedName>
    <definedName name="DS_DevCat_Units_Rehab_2">Data1!$G$200</definedName>
    <definedName name="DS_DevExpDate">Data1!$E$70</definedName>
    <definedName name="DS_DevExpDateMinDevs">Data1!$E$71</definedName>
    <definedName name="DS_DevExpMinDevs_List">Data1!$E$69</definedName>
    <definedName name="DS_DevExpMinDevs_Units">Data1!$E$78</definedName>
    <definedName name="DS_DevExpMinUnitsNumber">Data1!$E$76</definedName>
    <definedName name="DS_DevExpMinUnitsPercent">Data1!$E$75</definedName>
    <definedName name="DS_DevExpMinUnitsSelect">Data1!$E$77</definedName>
    <definedName name="DS_DevExpPrgm">Data1!$E$72</definedName>
    <definedName name="DS_DevExpPrgm_Date">Data1!$E$73</definedName>
    <definedName name="DS_DevExpPrgmMinDevs">Data1!$E$74</definedName>
    <definedName name="DS_DevExpProgs_DataNames">Data1!$A$35:$A$66</definedName>
    <definedName name="DS_DevExpProgs_DDMenu">Data1!$F$34:$F$66</definedName>
    <definedName name="DS_DevExpProgs_Sequence">Data1!$C$35:$C$66</definedName>
    <definedName name="DS_DevType_DataNames">Data1!$A$327:$A$338</definedName>
    <definedName name="DS_DevType_DDMenu">Data1!$F$326:$F$338</definedName>
    <definedName name="DS_DevType_Sequence">Data1!$C$327:$C$338</definedName>
    <definedName name="DS_Elderly_ALF_Multiplier">Data3!$G$209</definedName>
    <definedName name="DS_ELI_Data">Data3!$A$9:$N$76</definedName>
    <definedName name="DS_ELI_PD">Data3!$C$94</definedName>
    <definedName name="DS_ExcelCheckbox_After_School">Data1!$B$557</definedName>
    <definedName name="DS_ExcelCheckBox_AtLeast80">Data1!$B$26</definedName>
    <definedName name="DS_ExcelCheckbox_cabinets">Data1!$B$540</definedName>
    <definedName name="DS_ExcelCheckbox_Computer_Training">Data1!$B$565</definedName>
    <definedName name="DS_ExcelCheckbox_Coordination_Exp_3rd_party">Data1!$B$552</definedName>
    <definedName name="DS_ExcelCheckbox_Daily_Activities">Data1!$B$566</definedName>
    <definedName name="DS_ExcelCheckBox_DC_Impaired">Data1!$B$28</definedName>
    <definedName name="DS_ExcelCheckBox_DC_Not_Impaired">Data1!$B$30</definedName>
    <definedName name="DS_ExcelCheckbox_dual_flush">Data1!$B$536</definedName>
    <definedName name="DS_ExcelCheckbox_Employment_Assistance_general">Data1!$B$559</definedName>
    <definedName name="DS_ExcelCheckbox_ES_roof_coating">Data1!$B$538</definedName>
    <definedName name="DS_ExcelCheckbox_ES_roof_materials">Data1!$B$539</definedName>
    <definedName name="DS_ExcelCheckbox_ExpApplicant">Data1!$B$553</definedName>
    <definedName name="DS_ExcelCheckbox_Family_Support_Coordinator">Data1!$B$560</definedName>
    <definedName name="DS_ExcelCheckbox_Financial_Counseling">Data1!$B$561</definedName>
    <definedName name="DS_ExcelCheckbox_flooring">Data1!$B$541</definedName>
    <definedName name="DS_ExcelCheckbox_Homeownership_seminar">Data1!$B$562</definedName>
    <definedName name="DS_ExcelCheckbox_Housekeeping">Data1!$B$567</definedName>
    <definedName name="DS_ExcelCheckbox_Humidistat">Data1!$B$535</definedName>
    <definedName name="DS_ExcelCheckBox_LessThan80">Data1!$B$25</definedName>
    <definedName name="DS_ExcelCheckbox_LGAO_Continuous">Data1!$B$595</definedName>
    <definedName name="DS_ExcelCheckbox_LGAO_NoPref">Data1!$B$596</definedName>
    <definedName name="DS_ExcelCheckbox_LGAO_Revite">Data1!$B$594</definedName>
    <definedName name="DS_ExcelCheckbox_light_pavement">Data1!$B$537</definedName>
    <definedName name="DS_ExcelCheckbox_Literacy_Elderly">Data1!$B$564</definedName>
    <definedName name="DS_ExcelCheckbox_Literacy_Family">Data1!$B$558</definedName>
    <definedName name="DS_ExcelCheckBox_RD515">Data1!$B$575</definedName>
    <definedName name="DS_ExcelCheckBox_RD538">Data1!$B$576</definedName>
    <definedName name="DS_ExcelCheckbox_Resident_checkin">Data1!$B$568</definedName>
    <definedName name="DS_ExcelCheckbox_SEER_for_AC">Data1!$B$542</definedName>
    <definedName name="DS_ExcelCheckbox_sensors">Data1!$B$549</definedName>
    <definedName name="DS_ExcelCheckBox_SSI">Data1!$B$29</definedName>
    <definedName name="DS_ExcelCheckBox_Survivors">Data1!$B$32</definedName>
    <definedName name="DS_ExcelCheckbox_thermostat">Data1!$B$534</definedName>
    <definedName name="DS_ExcelCheckbox_windows">Data1!$B$543</definedName>
    <definedName name="DS_ExcelCheckbox_Yards">Data1!$B$548</definedName>
    <definedName name="DS_ExcelCheckBox_YouthAgingOut">Data1!$B$31</definedName>
    <definedName name="DS_FHFC_9HC_Amt">Data2!$D$10</definedName>
    <definedName name="DS_FHFC_9HC_Label">Data2!$F$10</definedName>
    <definedName name="DS_FHFC_9HC_Max_Amt">Data2!$G$10</definedName>
    <definedName name="DS_FHFC_9HC_Name">Data2!$B$10</definedName>
    <definedName name="DS_FHFC_Source_1_Amt">Data2!$D$5</definedName>
    <definedName name="DS_FHFC_Source_1_Label">Data2!$F$5</definedName>
    <definedName name="DS_FHFC_Source_1_Max_Amt">Data2!$G$5</definedName>
    <definedName name="DS_FHFC_Source_1_Name">Data2!$B$5</definedName>
    <definedName name="DS_FHFC_Source_2_Amt">Data2!$D$6</definedName>
    <definedName name="DS_FHFC_Source_2_Label">Data2!$F$6</definedName>
    <definedName name="DS_FHFC_Source_2_Max_Amt">Data2!$G$6</definedName>
    <definedName name="DS_FHFC_Source_2_Name">Data2!$B$6</definedName>
    <definedName name="DS_FHFC_Source_3_Amt">Data2!$D$7</definedName>
    <definedName name="DS_FHFC_Source_3_Label">Data2!$F$7</definedName>
    <definedName name="DS_FHFC_Source_3_Max_Amt">Data2!$G$7</definedName>
    <definedName name="DS_FHFC_Source_3_Name">Data2!$B$7</definedName>
    <definedName name="DS_FHFC_Source_4_Amt">Data2!$D$8</definedName>
    <definedName name="DS_FHFC_Source_4_Label">Data2!$F$8</definedName>
    <definedName name="DS_FHFC_Source_4_Max_Amt">Data2!$G$8</definedName>
    <definedName name="DS_FHFC_Source_4_Name">Data2!$B$8</definedName>
    <definedName name="DS_FLJobs_Grant">Data3!$G$155</definedName>
    <definedName name="DS_FLJobs_HC">Data3!$G$150</definedName>
    <definedName name="DS_FLJobs_HOME">Data3!$G$153</definedName>
    <definedName name="DS_FLJobs_HOME_ARP">Data3!$G$154</definedName>
    <definedName name="DS_FLJobs_MFAR">Data3!$G$146</definedName>
    <definedName name="DS_FLJobs_MFNC">Data3!$G$145</definedName>
    <definedName name="DS_FLJobs_MFRO">Data3!$G$148</definedName>
    <definedName name="DS_FLJobs_Min_Score1">Data3!$G$143</definedName>
    <definedName name="DS_FLJobs_Min_Score2">Data3!$G$144</definedName>
    <definedName name="DS_FLJobs_MP_HC">Data3!$G$149</definedName>
    <definedName name="DS_FLJobs_SAIL">Data3!$G$152</definedName>
    <definedName name="DS_FLJobs_SFNC">Data3!$G$147</definedName>
    <definedName name="DS_FLJobs_Workforce">Data3!$G$151</definedName>
    <definedName name="DS_GAOs_effective2.1.22">Data2!$L$23:$M$2323</definedName>
    <definedName name="DS_Gap_AMI_Auto">Data1!$B$447</definedName>
    <definedName name="DS_Gap_AMI_Auto_AvgAIT">Data1!$B$449</definedName>
    <definedName name="DS_Gap_AMI_Auto_YN">Data1!$C$447</definedName>
    <definedName name="DS_Gap_AMI_Max">Data1!$B$448</definedName>
    <definedName name="DS_Gap_Max_SA_Perc">Data1!$B$451</definedName>
    <definedName name="DS_Gap_Min_SA_ALF">Data1!$B$452</definedName>
    <definedName name="DS_Gap_Min_SA_Perc">Data1!$B$450</definedName>
    <definedName name="DS_Gap_Name">Data1!$B$446</definedName>
    <definedName name="DS_Gap_SS_Low_AMI_AIT">Data1!$B$456</definedName>
    <definedName name="DS_Gap_SS_Low_AMI_Non">Data1!$B$454</definedName>
    <definedName name="DS_Gap_SS_Low_SA_AIT">Data1!$B$455</definedName>
    <definedName name="DS_Gap_SS_Low_SA_Non">Data1!$B$453</definedName>
    <definedName name="DS_Gap_YN">Data1!$B$445</definedName>
    <definedName name="DS_Grant_PD">Data3!$C$115</definedName>
    <definedName name="DS_Green_DataNames">Data1!$A$527:$A$530</definedName>
    <definedName name="DS_Green_DDMenu">Data1!$F$526:$F$530</definedName>
    <definedName name="DS_Green_Sequence">Data1!$C$527:$C$530</definedName>
    <definedName name="DS_HC_Min_SA_Perc">Data1!$B$428</definedName>
    <definedName name="DS_HOME_PD">Data3!$C$99</definedName>
    <definedName name="DS_HOME_PU_0Bd">Data3!$C$100</definedName>
    <definedName name="DS_HOME_PU_1Bd">Data3!$C$101</definedName>
    <definedName name="DS_HOME_PU_2Bd">Data3!$C$102</definedName>
    <definedName name="DS_HOME_PU_3Bd">Data3!$C$103</definedName>
    <definedName name="DS_HOME_PU_4Bd">Data3!$C$104</definedName>
    <definedName name="DS_IssueDate">Data1!$E$8</definedName>
    <definedName name="DS_KeysLocation_DDMenu">Data1!$F$318:$F$320</definedName>
    <definedName name="DS_Lev_MP_Broward">Data3!$G$133</definedName>
    <definedName name="DS_Lev_MP_ESS">Data3!$G$135</definedName>
    <definedName name="DS_Lev_MP_GA">Data3!$G$138</definedName>
    <definedName name="DS_Lev_MP_HC">Data3!$G$131</definedName>
    <definedName name="DS_Lev_MP_HR">Data3!$G$136</definedName>
    <definedName name="DS_Lev_MP_Loan">Data3!$G$132</definedName>
    <definedName name="DS_Lev_MP_MR">Data3!$G$137</definedName>
    <definedName name="DS_Lev_MP_Oth">Data3!$G$139</definedName>
    <definedName name="DS_Lev_MP_PHA">Data3!$G$134</definedName>
    <definedName name="DS_Limiting_DevCat_Menu">Data3!$M$80:$M$81</definedName>
    <definedName name="DS_Loan_Min_SA_Perc">Data1!$B$441</definedName>
    <definedName name="DS_Loan_Name">Data1!$B$440</definedName>
    <definedName name="DS_Managing_DDMenu">Data1!$F$137:$F$139</definedName>
    <definedName name="DS_Max_NHTF">Data3!$C$187:$K$201</definedName>
    <definedName name="DS_Max_ODR">Data3!$G$167</definedName>
    <definedName name="DS_Max_Units">Data1!$F$399</definedName>
    <definedName name="DS_MaxDevFeeAcq_Percent">Data3!$G$164</definedName>
    <definedName name="DS_MaxDevFeeNonAcq_Percent">Data3!$G$165</definedName>
    <definedName name="DS_MaxDevFeeODR_Percent">Data3!$G$166</definedName>
    <definedName name="DS_MaxGCFee">Data3!$G$160</definedName>
    <definedName name="DS_MaxHCCNC">Data3!$G$161</definedName>
    <definedName name="DS_MaxHCCR">Data3!$G$162</definedName>
    <definedName name="DS_MaxSCC">Data3!$G$163</definedName>
    <definedName name="DS_MaxUnits_E_NonOccRehab">Data1!$B$408</definedName>
    <definedName name="DS_MaxUnits_E_OccRehab">Data1!$B$407</definedName>
    <definedName name="DS_MaxUnits_Fam">Data1!$B$409</definedName>
    <definedName name="DS_MaxUnits_General_Large">Data1!$B$412</definedName>
    <definedName name="DS_MaxUnits_General_Medium">Data1!$B$411</definedName>
    <definedName name="DS_MaxUnits_General_Small">Data1!$B$410</definedName>
    <definedName name="DS_MaxUnits_NC_ALF">Data1!$B$403</definedName>
    <definedName name="DS_MaxUnits_NC_E_BMD">Data1!$B$401</definedName>
    <definedName name="DS_MaxUnits_NC_E_NonBMD">Data1!$B$402</definedName>
    <definedName name="DS_MaxUnits_NC_F_MMRB">Data1!$B$405</definedName>
    <definedName name="DS_MaxUnits_NotNC_ALF">Data1!$B$404</definedName>
    <definedName name="DS_MaxUnits_PDC">Data1!$B$400</definedName>
    <definedName name="DS_MaxUnits_PDD">Data1!$B$399</definedName>
    <definedName name="DS_MaxUnits_Pres">Data1!$B$406</definedName>
    <definedName name="DS_MDCounty_DDMenu">Data1!$F$322:$F$324</definedName>
    <definedName name="DS_Metro_QCTs_2022">Data2!$F$23:$G$748</definedName>
    <definedName name="DS_Metro_QCTs_2023">Data2!$AJ$23:$AK$824</definedName>
    <definedName name="DS_Min_ELI_AIT_Buy_NSS">Data1!$B$472</definedName>
    <definedName name="DS_Min_ELI_AIT_Buy_SS">Data1!$B$474</definedName>
    <definedName name="DS_Min_ELI_AIT_NSS">Data1!$B$471</definedName>
    <definedName name="DS_Min_ELI_AIT_SS">Data1!$B$473</definedName>
    <definedName name="DS_Min_ELI_NonAIT_Buy_NSS">Data1!$B$468</definedName>
    <definedName name="DS_Min_ELI_NonAIT_Buy_SS">Data1!$B$470</definedName>
    <definedName name="DS_Min_ELI_NonAIT_NSS">Data1!$B$467</definedName>
    <definedName name="DS_Min_ELI_NonAIT_SS">Data1!$B$469</definedName>
    <definedName name="DS_Min_Units">Data1!$F$389</definedName>
    <definedName name="DS_Min_Units_6Large">Data1!$B$395</definedName>
    <definedName name="DS_Min_Units_General_Large">Data1!$B$398</definedName>
    <definedName name="DS_Min_Units_General_Medium">Data1!$B$397</definedName>
    <definedName name="DS_Min_Units_General_Small">Data1!$B$396</definedName>
    <definedName name="DS_Min_Units_Keys">Data1!$B$391</definedName>
    <definedName name="DS_Min_Units_No_MiamiDade">Data1!$B$392</definedName>
    <definedName name="DS_Min_Units_PDC">Data1!$B$390</definedName>
    <definedName name="DS_Min_Units_PDD">Data1!$B$389</definedName>
    <definedName name="DS_Min_Units_Pinellas">Data1!$B$394</definedName>
    <definedName name="DS_Min_Units_So_MiamiDade">Data1!$B$393</definedName>
    <definedName name="DS_Minimum_ELI">Data1!$G$460</definedName>
    <definedName name="DS_MinIRS_DataNames">Data1!$A$422:$A$425</definedName>
    <definedName name="DS_MinIRS_DDMenu">Data1!$F$421:$F$425</definedName>
    <definedName name="DS_MinIRS_Sequence">Data1!$C$422:$C$425</definedName>
    <definedName name="DS_Multiplier_1_Y">Data3!$F$209</definedName>
    <definedName name="DS_Multiplier_2_Y">Data3!$F$210</definedName>
    <definedName name="DS_Multiplier_3_Y">Data3!$F$211</definedName>
    <definedName name="DS_Multiplier_4_Y">Data3!$F$212</definedName>
    <definedName name="DS_Multiplier_5_Y">Data3!$F$213</definedName>
    <definedName name="DS_Multiplier_6_Y">Data3!$F$214</definedName>
    <definedName name="DS_Multiplier_7_Y">Data3!$F$215</definedName>
    <definedName name="DS_N_Keys_Multiplier">Data3!$G$214</definedName>
    <definedName name="DS_NHTF_PD">Data3!$C$108</definedName>
    <definedName name="DS_NHTF_PU">Data3!$C$109</definedName>
    <definedName name="DS_NonMetro_DDAs_2022">Data2!$D$23:$D$45</definedName>
    <definedName name="DS_NonMetro_DDAs_2023">Data2!$AH$23:$AH$45</definedName>
    <definedName name="DS_NonMetro_QCTs_2022">Data2!$I$23:$J$52</definedName>
    <definedName name="DS_NonMetro_QCTs_2023">Data2!$AM$23:$AN$58</definedName>
    <definedName name="DS_Notes_New_Construction">Data1!$G$162</definedName>
    <definedName name="DS_Notes_Preservation">Data1!$G$194</definedName>
    <definedName name="DS_Notes_Redevelopment">Data1!$G$171</definedName>
    <definedName name="DS_Notes_Rehabilitation">Data1!$G$215</definedName>
    <definedName name="DS_Occ_DataNames">Data1!$A$415:$A$417</definedName>
    <definedName name="DS_Occ_DDMenu">Data1!$F$414:$F$417</definedName>
    <definedName name="DS_Occ_Sequence">Data1!$C$415:$C$417</definedName>
    <definedName name="DS_Operational_Contact_Full_Name">Data1!$F$145</definedName>
    <definedName name="DS_PDDDC_51_Multiplier">Data3!$G$211</definedName>
    <definedName name="DS_PDDDC_81_Multiplier">Data3!$G$212</definedName>
    <definedName name="DS_PFNCGAE">Data3!$G$188</definedName>
    <definedName name="DS_PFNCGAW">Data3!$G$189</definedName>
    <definedName name="DS_PFNCHRE">Data3!$G$190</definedName>
    <definedName name="DS_PFNCMRE">Data3!$G$191</definedName>
    <definedName name="DS_PFNCMRW">Data3!$G$192</definedName>
    <definedName name="DS_PFRCGA">Data3!$G$193</definedName>
    <definedName name="DS_PFRCNG">Data3!$G$194</definedName>
    <definedName name="DS_PHA_FED_ADDON">Data3!$G$207</definedName>
    <definedName name="DS_Priority_DataNames">Data1!$A$81:$A$82</definedName>
    <definedName name="DS_Priority_DDMenu">Data1!$F$80:$F$82</definedName>
    <definedName name="DS_Priority_Sequence">Data1!$C$81:$C$82</definedName>
    <definedName name="DS_Pro_Forma_Dev_Cat">'Pro Forma'!$K$38</definedName>
    <definedName name="DS_ProAppSource_Name">Data3!$A$170:$A$183</definedName>
    <definedName name="DS_ProAppSource_Sequence">Data3!$G$170:$G$183</definedName>
    <definedName name="DS_ProAppSources_DDMenu">Data3!$J$169:$J$183</definedName>
    <definedName name="DS_Prox_List">Data2!$BP$23:$BS$141</definedName>
    <definedName name="DS_PU_Constr_Fund_Pref_Dollar">Data1!$F$587</definedName>
    <definedName name="DS_QualFin_DDMenu">Data1!$F$578:$F$584</definedName>
    <definedName name="DS_Qualifying_FAFP_Basis">Data1!$B$580</definedName>
    <definedName name="DS_Qualifying_FAFP_Basis_Code">Data1!$E$580</definedName>
    <definedName name="DS_Qualifying_FAFP_Percent">Data1!$B$579</definedName>
    <definedName name="DS_RA_Level">Data1!$F$228</definedName>
    <definedName name="DS_RA_Source_DataNames">Data1!$A$219:$A$225</definedName>
    <definedName name="DS_RA_Source_DDMenu">Data1!$F$218:$F$225</definedName>
    <definedName name="DS_RA_Source_Sequence">Data1!$C$219:$C$225</definedName>
    <definedName name="DS_Request_Maximum">Data1!$F$572</definedName>
    <definedName name="DS_Request_Minimum">Data1!$F$571</definedName>
    <definedName name="DS_S_Keys_Multiplier">Data3!$G$215</definedName>
    <definedName name="DS_SAIL_ELI_Inclusive">Data3!$C$98</definedName>
    <definedName name="DS_SAIL_PD_Demo">Data3!$C$89</definedName>
    <definedName name="DS_SAIL_PD_Large">Data3!$C$85</definedName>
    <definedName name="DS_SAIL_PD_Large_DevCat">Data3!$J$85</definedName>
    <definedName name="DS_SAIL_PD_Min_MD">Data3!$C$87</definedName>
    <definedName name="DS_SAIL_PD_Pres">Data3!$C$88</definedName>
    <definedName name="DS_SAIL_PD_Sm_Med">Data3!$C$86</definedName>
    <definedName name="DS_SAIL_PD_Sm_Med_DevCat">Data3!$J$86</definedName>
    <definedName name="DS_SAIL_Percent_TDC_1">Data3!$C$96</definedName>
    <definedName name="DS_SAIL_Percent_TDC_2">Data3!$C$97</definedName>
    <definedName name="DS_SAIL_PU_NC">Data3!$C$90</definedName>
    <definedName name="DS_SAIL_PU_Not_SS">Data3!$C$93</definedName>
    <definedName name="DS_SAIL_PU_SR">Data3!$C$91</definedName>
    <definedName name="DS_SAIL_PU_SS">Data3!$C$92</definedName>
    <definedName name="DS_Select_One">Data1!$F$249</definedName>
    <definedName name="DS_Serv_DataNames">Data1!$A$644:$A$647</definedName>
    <definedName name="DS_Serv_DDMenu">Data1!$F$643:$F$647</definedName>
    <definedName name="DS_Serv_Sequence">Data1!$C$644:$C$647</definedName>
    <definedName name="DS_SFNCGAE">Data3!$G$195</definedName>
    <definedName name="DS_SFNCGAW">Data3!$G$196</definedName>
    <definedName name="DS_SFNCHRE">Data3!$G$197</definedName>
    <definedName name="DS_SFNCMRE">Data3!$G$198</definedName>
    <definedName name="DS_SFNCMRW">Data3!$G$199</definedName>
    <definedName name="DS_SFRCGA">Data3!$G$200</definedName>
    <definedName name="DS_SFRCNG">Data3!$G$201</definedName>
    <definedName name="DS_States_DataNames">Data1!$A$85:$A$135</definedName>
    <definedName name="DS_States_DDMenu">Data1!$F$84:$F$135</definedName>
    <definedName name="DS_States_Sequence">Data1!$C$85:$C$135</definedName>
    <definedName name="DS_TabHeader">Data1!$A$4</definedName>
    <definedName name="DS_TabLeftFooter">Data1!$A$7</definedName>
    <definedName name="DS_UnitTypeMatch">Data1!$C$247</definedName>
    <definedName name="DS_W_SAIL_PD">Data3!$C$83</definedName>
    <definedName name="DS_W_SAIL_PD_FLKeys">Data3!$C$80</definedName>
    <definedName name="DS_W_SAIL_PU">Data3!$C$84</definedName>
    <definedName name="DS_W_SAIL_PU_FLKeys_80Plus">Data3!$C$81</definedName>
    <definedName name="DS_W_SAIL_PU_FLKeys_No80Plus">Data3!$C$82</definedName>
    <definedName name="DS_ZCTAs_2022">Data2!$A$23:$B$370</definedName>
    <definedName name="DS_ZCTAs_2023">Data2!$AE$23:$AF$375</definedName>
    <definedName name="eighty_AMI_Avg_Income_Units">'Units, Set-Asides, Bldgs'!$F$45</definedName>
    <definedName name="ELI_Request_Amount">Funding!$I$52</definedName>
    <definedName name="Eligible_Competitive_HC_Request_Amount">Funding!$I$186</definedName>
    <definedName name="Eligible_ELI_Request_Amount">Funding!$I$54</definedName>
    <definedName name="Eligible_Grant_Request_Amount">Funding!$I$126</definedName>
    <definedName name="Eligible_HOME_ARP_Request_Amount">Funding!$I$118</definedName>
    <definedName name="Eligible_HOME_Request_Amount">Funding!$I$75</definedName>
    <definedName name="Eligible_NHTF_Request_Amount">Funding!$I$150</definedName>
    <definedName name="Eligible_SAIL_Request_Amount">Funding!$I$44</definedName>
    <definedName name="Eligible_TBD_Request_Amount">Funding!$I$163</definedName>
    <definedName name="Eligible_Workforce_Request_Amount">Funding!$I$17</definedName>
    <definedName name="eminentdomain">URA!$F$25</definedName>
    <definedName name="ESS_Constr_Pref">'Proposed Development Info'!$C$52</definedName>
    <definedName name="Excel_RFA_Number">Data1!$F$7</definedName>
    <definedName name="ExcelCheckbox_After_School">'Resident Programs'!$A$5</definedName>
    <definedName name="ExcelCheckBox_AtLeast80">'General Information'!$A$15</definedName>
    <definedName name="ExcelCheckbox_cabinets">'Construction Features'!$A$20</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Information'!$A$19</definedName>
    <definedName name="ExcelCheckBox_DC_Not_Impaired">'General Information'!$A$21</definedName>
    <definedName name="ExcelCheckbox_dual_flush">'Construction Features'!$A$16</definedName>
    <definedName name="ExcelCheckbox_Employment_Assistance_general">'Resident Programs'!$A$7</definedName>
    <definedName name="ExcelCheckbox_ES_roof_coating">'Construction Features'!$A$18</definedName>
    <definedName name="ExcelCheckbox_ES_roof_materials">'Construction Features'!$A$19</definedName>
    <definedName name="ExcelCheckbox_ExpApplicant">Services!$A$8</definedName>
    <definedName name="ExcelCheckbox_Family_Support_Coordinator">'Resident Programs'!$A$8</definedName>
    <definedName name="ExcelCheckbox_Financial_Counseling">'Resident Programs'!$A$9</definedName>
    <definedName name="ExcelCheckbox_flooring">'Construction Features'!$A$21</definedName>
    <definedName name="ExcelCheckbox_Homeownership_seminar">'Resident Programs'!$A$10</definedName>
    <definedName name="ExcelCheckbox_Housekeeping">'Resident Programs'!$A$20</definedName>
    <definedName name="ExcelCheckbox_Humidistat">'Construction Features'!$A$15</definedName>
    <definedName name="ExcelCheckBox_LessThan80">'General Information'!$A$14</definedName>
    <definedName name="ExcelCheckbox_LGAO_Continuous">'Local Gov''t Contributions'!$A$42</definedName>
    <definedName name="ExcelCheckbox_LGAO_NoPref">'Local Gov''t Contributions'!$A$43</definedName>
    <definedName name="ExcelCheckbox_LGAO_Revite">'Local Gov''t Contributions'!$A$41</definedName>
    <definedName name="ExcelCheckbox_light_pavement">'Construction Features'!$A$17</definedName>
    <definedName name="ExcelCheckbox_Literacy_Elderly">'Resident Programs'!$A$17</definedName>
    <definedName name="ExcelCheckbox_Literacy_Family">'Resident Programs'!$A$6</definedName>
    <definedName name="ExcelCheckBox_RD515">Funding!$C$277</definedName>
    <definedName name="ExcelCheckBox_RD538">Funding!$C$278</definedName>
    <definedName name="ExcelCheckbox_Resident_checkin">'Resident Programs'!$A$21</definedName>
    <definedName name="ExcelCheckbox_SEER_for_AC">'Construction Features'!$A$22</definedName>
    <definedName name="ExcelCheckbox_sensors">'Construction Features'!$A$29</definedName>
    <definedName name="ExcelCheckBox_SSI">'General Information'!$A$20</definedName>
    <definedName name="ExcelCheckBox_Survivors">'General Information'!$A$23</definedName>
    <definedName name="ExcelCheckbox_thermostat">'Construction Features'!$A$14</definedName>
    <definedName name="ExcelCheckbox_windows">'Construction Features'!$A$23</definedName>
    <definedName name="ExcelCheckbox_Yards">'Construction Features'!$A$28</definedName>
    <definedName name="ExcelCheckBox_YouthAgingOut">'General Information'!$A$22</definedName>
    <definedName name="expected_PIS_date">'Proposed Development Info'!$H$53</definedName>
    <definedName name="Fee_Pmt_Information">'B. Other Information'!$A$8</definedName>
    <definedName name="FHFC_9HC_Adj_Rqst_Amt">Data2!$I$10</definedName>
    <definedName name="FHFC_9HC_Adj_Rqst_Label">Data2!$Q$10</definedName>
    <definedName name="FHFC_Source_1_Adj_Rqst_Amt">Data2!$I$5</definedName>
    <definedName name="FHFC_Source_1_Adj_Rqst_Label">Data2!$Q$5</definedName>
    <definedName name="FHFC_Source_2_Adj_Rqst_Amt">Data2!$I$6</definedName>
    <definedName name="FHFC_Source_2_Adj_Rqst_Label">Data2!$Q$6</definedName>
    <definedName name="FHFC_Source_3_Adj_Rqst_Amt">Data2!$I$7</definedName>
    <definedName name="FHFC_Source_3_Adj_Rqst_Label">Data2!$Q$7</definedName>
    <definedName name="FHFC_Source_4_Adj_Rqst_Amt">Data2!$I$8</definedName>
    <definedName name="FHFC_Source_4_Adj_Rqst_Label">Data2!$Q$8</definedName>
    <definedName name="fifty_AMI_Avg_Income_Units">'Units, Set-Asides, Bldgs'!$F$42</definedName>
    <definedName name="fifty_AMI_HC">'Units, Set-Asides, Bldgs'!$G$27</definedName>
    <definedName name="Financial_bridge_commitment_eligible">'Pro Forma'!$H$167</definedName>
    <definedName name="Financial_bridge_commitment_ineligible">'Pro Forma'!$K$167</definedName>
    <definedName name="Financial_bridge_commitment_total">'Pro Forma'!$N$167</definedName>
    <definedName name="Financial_bridge_interest_eligible">'Pro Forma'!$H$169</definedName>
    <definedName name="Financial_bridge_interest_ineligible">'Pro Forma'!$K$169</definedName>
    <definedName name="Financial_bridge_interest_total">'Pro Forma'!$N$169</definedName>
    <definedName name="Financial_constr_commitment_eligible">'Pro Forma'!$H$148</definedName>
    <definedName name="Financial_constr_commitment_ineligible">'Pro Forma'!$K$148</definedName>
    <definedName name="Financial_constr_commitment_total">'Pro Forma'!$N$148</definedName>
    <definedName name="Financial_constr_enhancement_eligible">'Pro Forma'!$H$151</definedName>
    <definedName name="Financial_constr_enhancement_ineligible">'Pro Forma'!$K$151</definedName>
    <definedName name="Financial_constr_enhancement_total">'Pro Forma'!$N$151</definedName>
    <definedName name="Financial_constr_interest_eligible">'Pro Forma'!$H$153</definedName>
    <definedName name="Financial_constr_interest_ineligible">'Pro Forma'!$K$153</definedName>
    <definedName name="Financial_constr_interest_total">'Pro Forma'!$N$153</definedName>
    <definedName name="Financial_nonperm_closing_eligible">'Pro Forma'!$H$156</definedName>
    <definedName name="Financial_nonperm_closing_ineligible">'Pro Forma'!$K$156</definedName>
    <definedName name="Financial_nonperm_closing_total">'Pro Forma'!$N$156</definedName>
    <definedName name="Financial_other_eligible">'Pro Forma'!$H$171</definedName>
    <definedName name="Financial_other_ineligible">'Pro Forma'!$K$171</definedName>
    <definedName name="Financial_other_total">'Pro Forma'!$N$171</definedName>
    <definedName name="Financial_perm_closing_ineligible">'Pro Forma'!$K$164</definedName>
    <definedName name="Financial_perm_closing_total">'Pro Forma'!$N$164</definedName>
    <definedName name="Financial_perm_commitment_ineligible">'Pro Forma'!$K$159</definedName>
    <definedName name="Financial_perm_commitment_total">'Pro Forma'!$N$159</definedName>
    <definedName name="Financial_perm_enhancement_ineligible">'Pro Forma'!$K$162</definedName>
    <definedName name="Financial_perm_enhancement_total">'Pro Forma'!$N$162</definedName>
    <definedName name="Financial_total_eligible">'Pro Forma'!$H$173</definedName>
    <definedName name="Financial_total_ineligible">'Pro Forma'!$K$173</definedName>
    <definedName name="Financial_totalcosts_total">'Pro Forma'!$N$173</definedName>
    <definedName name="FLJobs_Score">Data3!$G$156</definedName>
    <definedName name="FLKeys_N_S">'Development Location'!$H$5</definedName>
    <definedName name="FO_TDC_PU_Limit">'Pro Forma'!$L$397</definedName>
    <definedName name="forty_AMI_Avg_Income_Units">'Units, Set-Asides, Bldgs'!$F$41</definedName>
    <definedName name="forty_AMI_HC">'Units, Set-Asides, Bldgs'!$G$25</definedName>
    <definedName name="fortyfive_AMI_HC">'Units, Set-Asides, Bldgs'!$G$26</definedName>
    <definedName name="Four_Bed_Four_Bath_Total_Units">'Units, Set-Asides, Bldgs'!$H$111</definedName>
    <definedName name="Four_Bed_One_and_half_Bath_Total_Units">'Units, Set-Asides, Bldgs'!$H$106</definedName>
    <definedName name="Four_Bed_One_Bath_Total_Units">'Units, Set-Asides, Bldgs'!$H$105</definedName>
    <definedName name="Four_Bed_Three_and_half_Bath_Total_Units">'Units, Set-Asides, Bldgs'!$H$110</definedName>
    <definedName name="Four_Bed_Three_Bath_Total_Units">'Units, Set-Asides, Bldgs'!$H$109</definedName>
    <definedName name="Four_Bed_Two_and_half_Bath_Total_Units">'Units, Set-Asides, Bldgs'!$H$108</definedName>
    <definedName name="Four_Bed_Two_Bath_Total_Units">'Units, Set-Asides, Bldgs'!$H$107</definedName>
    <definedName name="GAO_Number1">Funding!$E$224</definedName>
    <definedName name="GAO_Number2">Funding!$E$225</definedName>
    <definedName name="GAO_Number3">Funding!$E$226</definedName>
    <definedName name="Garden_ESS_NC_units">'Proposed Development Info'!$H$59</definedName>
    <definedName name="Garden_ESS_Rehab_units">'Proposed Development Info'!$H$68</definedName>
    <definedName name="Garden_non_ESS_NC_units">'Proposed Development Info'!$H$60</definedName>
    <definedName name="Garden_non_ESS_Rehab_units">'Proposed Development Info'!$H$69</definedName>
    <definedName name="GCF_DollarMax">'Pro Forma'!$F$69</definedName>
    <definedName name="GCFee_Pass">'Pro Forma'!$Q$68</definedName>
    <definedName name="GCFee_PercentMax">'Pro Forma'!$Q$67</definedName>
    <definedName name="General_Accounting_eligible">'Pro Forma'!$H$81</definedName>
    <definedName name="General_Accounting_ineligible">'Pro Forma'!$K$81</definedName>
    <definedName name="General_Accounting_total">'Pro Forma'!$N$81</definedName>
    <definedName name="General_adminfee_ineligible">'Pro Forma'!$K$99</definedName>
    <definedName name="General_adminfee_total">'Pro Forma'!$N$99</definedName>
    <definedName name="General_applicationfee_ineligible">'Pro Forma'!$K$101</definedName>
    <definedName name="General_applicationfee_total">'Pro Forma'!$N$101</definedName>
    <definedName name="General_Appraisal_eligible">'Pro Forma'!$H$83</definedName>
    <definedName name="General_Appraisal_ineligible">'Pro Forma'!$K$83</definedName>
    <definedName name="General_Appraisal_total">'Pro Forma'!$N$83</definedName>
    <definedName name="General_Architectfeedesign_eligible">'Pro Forma'!$H$85</definedName>
    <definedName name="General_Architectfeedesign_ineligible">'Pro Forma'!$K$85</definedName>
    <definedName name="General_Architectfeedesign_total">'Pro Forma'!$N$85</definedName>
    <definedName name="General_Architectfeesupervision_eligible">'Pro Forma'!$H$87</definedName>
    <definedName name="General_Architectfeesupervision_ineligible">'Pro Forma'!$K$87</definedName>
    <definedName name="General_Architectfeesupervision_total">'Pro Forma'!$N$87</definedName>
    <definedName name="General_builder_ins_eligible">'Pro Forma'!$H$89</definedName>
    <definedName name="General_builder_ins_ineligible">'Pro Forma'!$K$89</definedName>
    <definedName name="General_builder_ins_total">'Pro Forma'!$N$89</definedName>
    <definedName name="General_capitalneeds_eligible">'Pro Forma'!$H$93</definedName>
    <definedName name="General_capitalneeds_ineligible">'Pro Forma'!$K$93</definedName>
    <definedName name="General_capitalneeds_total">'Pro Forma'!$N$93</definedName>
    <definedName name="General_compliancefee_ineligible">'Pro Forma'!$K$103</definedName>
    <definedName name="General_compliancefee_total">'Pro Forma'!$N$103</definedName>
    <definedName name="General_cu_fee_eligible">'Pro Forma'!$H$105</definedName>
    <definedName name="General_cu_fee_ineligible">'Pro Forma'!$K$105</definedName>
    <definedName name="General_cu_fee_total">'Pro Forma'!$N$105</definedName>
    <definedName name="General_engineering_eligible">'Pro Forma'!$H$95</definedName>
    <definedName name="General_engineering_ineligible">'Pro Forma'!$K$95</definedName>
    <definedName name="General_engineering_total">'Pro Forma'!$N$95</definedName>
    <definedName name="General_environmental_eligible">'Pro Forma'!$H$97</definedName>
    <definedName name="General_environmental_ineligible">'Pro Forma'!$K$97</definedName>
    <definedName name="General_environmental_total">'Pro Forma'!$N$97</definedName>
    <definedName name="General_HERS_eligible">'Pro Forma'!$H$108</definedName>
    <definedName name="General_HERS_ineligible">'Pro Forma'!$K$108</definedName>
    <definedName name="General_HERS_total">'Pro Forma'!$N$108</definedName>
    <definedName name="General_Impact_eligible">'Pro Forma'!$H$110</definedName>
    <definedName name="General_Impact_ineligible">'Pro Forma'!$K$110</definedName>
    <definedName name="General_Impact_total">'Pro Forma'!$N$110</definedName>
    <definedName name="General_inspectionfee_eligible">'Pro Forma'!$H$112</definedName>
    <definedName name="General_inspectionfee_ineligible">'Pro Forma'!$K$112</definedName>
    <definedName name="General_inspectionfee_total">'Pro Forma'!$N$112</definedName>
    <definedName name="General_insurance_eligible">'Pro Forma'!$H$114</definedName>
    <definedName name="General_insurance_ineligible">'Pro Forma'!$K$114</definedName>
    <definedName name="General_insurance_total">'Pro Forma'!$N$114</definedName>
    <definedName name="General_legalfee_eligible">'Pro Forma'!$H$116</definedName>
    <definedName name="General_legalfee_ineligible">'Pro Forma'!$K$116</definedName>
    <definedName name="General_legalfee_total">'Pro Forma'!$N$116</definedName>
    <definedName name="General_marketing_ineligible">'Pro Forma'!$K$120</definedName>
    <definedName name="General_marketing_total">'Pro Forma'!$N$120</definedName>
    <definedName name="General_marketstudy_eligible">'Pro Forma'!$H$118</definedName>
    <definedName name="General_marketstudy_ineligible">'Pro Forma'!$K$118</definedName>
    <definedName name="General_marketstudy_total">'Pro Forma'!$N$118</definedName>
    <definedName name="General_other_eligible">'Pro Forma'!$H$134</definedName>
    <definedName name="General_other_ineligible">'Pro Forma'!$K$134</definedName>
    <definedName name="General_other_total">'Pro Forma'!$N$134</definedName>
    <definedName name="General_permit_eligible">'Pro Forma'!$H$91</definedName>
    <definedName name="General_permit_ineligible">'Pro Forma'!$K$91</definedName>
    <definedName name="General_permit_total">'Pro Forma'!$N$91</definedName>
    <definedName name="General_propertytaxes_eligible">'Pro Forma'!$H$122</definedName>
    <definedName name="General_propertytaxes_ineligible">'Pro Forma'!$K$122</definedName>
    <definedName name="General_propertytaxes_total">'Pro Forma'!$N$122</definedName>
    <definedName name="General_relocation_eligible">'Pro Forma'!$H$128</definedName>
    <definedName name="General_relocation_ineligible">'Pro Forma'!$K$128</definedName>
    <definedName name="General_relocation_total">'Pro Forma'!$N$128</definedName>
    <definedName name="General_soiltest_eligible">'Pro Forma'!$H$124</definedName>
    <definedName name="General_soiltest_ineligible">'Pro Forma'!$K$124</definedName>
    <definedName name="General_soiltest_total">'Pro Forma'!$N$124</definedName>
    <definedName name="General_survey_eligible">'Pro Forma'!$H$126</definedName>
    <definedName name="General_survey_ineligible">'Pro Forma'!$K$126</definedName>
    <definedName name="General_survey_total">'Pro Forma'!$N$126</definedName>
    <definedName name="General_titleinsurance_eligible">'Pro Forma'!$H$130</definedName>
    <definedName name="General_titleinsurance_ineligible">'Pro Forma'!$K$130</definedName>
    <definedName name="General_titleinsurance_total">'Pro Forma'!$N$130</definedName>
    <definedName name="General_totaldevelopmentcost_eligible">'Pro Forma'!$H$137</definedName>
    <definedName name="General_totaldevelopmentcost_ineligible">'Pro Forma'!$K$137</definedName>
    <definedName name="General_totaldevelopmentcost_total">'Pro Forma'!$N$137</definedName>
    <definedName name="General_utilityconnection_eligible">'Pro Forma'!$H$132</definedName>
    <definedName name="General_utilityconnection_ineligible">'Pro Forma'!$K$132</definedName>
    <definedName name="General_utilityconnection_total">'Pro Forma'!$N$132</definedName>
    <definedName name="Geo_Area_of_Opp_boost">Funding!$E$222</definedName>
    <definedName name="govt_app">URA!$F$22</definedName>
    <definedName name="Grant_Request_Amount">Funding!$I$124</definedName>
    <definedName name="Greatest_distance_for_PBS">Data1!$B$379</definedName>
    <definedName name="Green_cert">'Construction Features'!$C$12</definedName>
    <definedName name="Green_total_points">'Construction Features'!$H$31</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CC_DollarMax">'Pro Forma'!$V$72</definedName>
    <definedName name="HardCC_Pass">'Pro Forma'!$Q$73</definedName>
    <definedName name="HardCC_PercentMax">'Pro Forma'!$Q$72</definedName>
    <definedName name="HCC_DollarMax">'Pro Forma'!$F$74</definedName>
    <definedName name="HOME_ARP_Request_Amount">Funding!$I$116</definedName>
    <definedName name="HOME_Request_Amount">Funding!$I$73</definedName>
    <definedName name="HR_ESS_NC_units">'Proposed Development Info'!$H$63</definedName>
    <definedName name="Land_ineligible">'Pro Forma'!$K$199</definedName>
    <definedName name="Land_total">'Pro Forma'!$N$199</definedName>
    <definedName name="LG_Name1">'Local Gov''t Contributions'!$B$27</definedName>
    <definedName name="LG_Name1_Cash_Grant">'Local Gov''t Contributions'!$I$27</definedName>
    <definedName name="LG_Name1_Cash_Loan">'Local Gov''t Contributions'!$H$27</definedName>
    <definedName name="LG_Name2">'Local Gov''t Contributions'!$B$28</definedName>
    <definedName name="LG_Name2_Cash_Grant">'Local Gov''t Contributions'!$I$28</definedName>
    <definedName name="LG_Name2_Cash_Loan">'Local Gov''t Contributions'!$H$28</definedName>
    <definedName name="LG_Name3">'Local Gov''t Contributions'!$B$29</definedName>
    <definedName name="LG_Name3_Cash_Grant">'Local Gov''t Contributions'!$I$29</definedName>
    <definedName name="LG_Name3_Cash_Loan">'Local Gov''t Contributions'!$H$29</definedName>
    <definedName name="LG_Name4">'Local Gov''t Contributions'!$B$30</definedName>
    <definedName name="LG_Name4_Cash_Grant">'Local Gov''t Contributions'!$I$30</definedName>
    <definedName name="LG_Name4_Cash_Loan">'Local Gov''t Contributions'!$H$30</definedName>
    <definedName name="LGAO_Designation">'Local Gov''t Contributions'!$J$21</definedName>
    <definedName name="LGAO_Number">Funding!$E$236</definedName>
    <definedName name="LGAO_Prior_App_Number">'Local Gov''t Contributions'!$J$42</definedName>
    <definedName name="LGC_FD_Face">'Local Gov''t Contributions'!$G$14</definedName>
    <definedName name="LGC_FD_NPV">'Local Gov''t Contributions'!$H$14</definedName>
    <definedName name="LGC_FW_Face">'Local Gov''t Contributions'!$G$13</definedName>
    <definedName name="LGC_Grant_Face">'Local Gov''t Contributions'!$G$12</definedName>
    <definedName name="LGC_Loan_Face">'Local Gov''t Contributions'!$G$11</definedName>
    <definedName name="LGC_Loan_NPV">'Local Gov''t Contributions'!$H$11</definedName>
    <definedName name="Local_govt_contribution">'Local Gov''t Contributions'!$J$4</definedName>
    <definedName name="Mand_distance">'Proximity, Mand.Dist., RECAP'!$B$55</definedName>
    <definedName name="Market_Avg_Income_Units">'Units, Set-Asides, Bldgs'!$F$46</definedName>
    <definedName name="Max_ARP">Funding!$H$114</definedName>
    <definedName name="Max_Competitive_HC">Funding!$H$182</definedName>
    <definedName name="Max_ELI">Funding!$H$50</definedName>
    <definedName name="Max_Grant">Funding!$H$122</definedName>
    <definedName name="Max_HOME">Funding!$H$69</definedName>
    <definedName name="Max_NHTF">Funding!$H$146</definedName>
    <definedName name="Max_SAIL">Funding!$H$40</definedName>
    <definedName name="Max_TBD">Funding!$H$159</definedName>
    <definedName name="Max_Workforce">Funding!$H$13</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gmt_Co_Address">'General Information'!$F$115</definedName>
    <definedName name="Mgmt_Co_City">'General Information'!$F$116</definedName>
    <definedName name="Mgmt_Co_Email">'General Information'!$F$120</definedName>
    <definedName name="Mgmt_Co_Exp_first_currently_or_formerly_managed">'General Information'!$F$128</definedName>
    <definedName name="Mgmt_Co_Exp_first_Dev_name">'General Information'!$F$126</definedName>
    <definedName name="Mgmt_Co_Exp_first_location">'General Information'!$F$127</definedName>
    <definedName name="Mgmt_Co_Exp_first_time">'General Information'!$F$129</definedName>
    <definedName name="Mgmt_Co_Exp_first_units">'General Information'!$F$130</definedName>
    <definedName name="Mgmt_Co_Exp_secnod_currently_or_formerly_managed">'General Information'!$F$135</definedName>
    <definedName name="Mgmt_Co_Exp_second_Dev_name">'General Information'!$F$133</definedName>
    <definedName name="Mgmt_Co_Exp_second_location">'General Information'!$F$134</definedName>
    <definedName name="Mgmt_Co_Exp_second_time">'General Information'!$F$136</definedName>
    <definedName name="Mgmt_Co_Exp_second_units">'General Information'!$F$137</definedName>
    <definedName name="Mgmt_Co_Experienced_entity">'General Information'!$G$123</definedName>
    <definedName name="Mgmt_Co_Phone">'General Information'!$F$119</definedName>
    <definedName name="Mgmt_Co_Phone_ext">'General Information'!$H$119</definedName>
    <definedName name="Mgmt_Co_State">'General Information'!$F$117</definedName>
    <definedName name="Mgmt_Co_Zip_Code">'General Information'!$F$118</definedName>
    <definedName name="Mgmt_InputTracking">'General Information'!$N$114:$N$120</definedName>
    <definedName name="Minimum_SetAside_per_Sec_42">'Units, Set-Asides, Bldgs'!$C$13</definedName>
    <definedName name="MMRB_Request_Amount">Funding!$I$252</definedName>
    <definedName name="MR_and_HR_ESS_Rehab_units">'Proposed Development Info'!$H$70</definedName>
    <definedName name="MR_and_HR_non_ESS_Rehab_units">'Proposed Development Info'!$H$71</definedName>
    <definedName name="MR_ESS_NC_units">'Proposed Development Info'!$H$61</definedName>
    <definedName name="MR_Non_ESS_NC_units">'Proposed Development Info'!$H$62</definedName>
    <definedName name="Multiphase_firstphase">Funding!$E$191</definedName>
    <definedName name="Multiphase_subsequent">Funding!$E$195</definedName>
    <definedName name="Name_Of_Applicant">'General Information'!$F$32</definedName>
    <definedName name="Name_Of_Developer_1">'General Information'!$D$61</definedName>
    <definedName name="Name_Of_Developer_2">'General Information'!$D$62</definedName>
    <definedName name="Name_Of_Developer_3">'General Information'!$D$63</definedName>
    <definedName name="Name_of_Mgmt_Co">'General Information'!$F$114</definedName>
    <definedName name="Name_of_proposed_Development">'Proposed Development Info'!$G$3</definedName>
    <definedName name="NHTF_Indicator">Funding!$I$128</definedName>
    <definedName name="NHTF_Request_Amount">Funding!$I$148</definedName>
    <definedName name="Non_Competitive_HC_Request_Amount">Funding!$I$188</definedName>
    <definedName name="NonAIT_HC_SA_Percent">'Units, Set-Asides, Bldgs'!$G$31</definedName>
    <definedName name="NonProfit_Applicant">'General Information'!$D$40</definedName>
    <definedName name="NR_Optional_CF">Data1!$H$608</definedName>
    <definedName name="NR_Optional_DL">Data1!$H$604</definedName>
    <definedName name="NR_Optional_Fund">Data1!$H$611</definedName>
    <definedName name="NR_Optional_GI">Data1!$H$602</definedName>
    <definedName name="NR_Optional_HOME">Data1!$H$615</definedName>
    <definedName name="NR_Optional_PDI">Data1!$H$603</definedName>
    <definedName name="NR_Optional_Prox">Data1!$H$605</definedName>
    <definedName name="NR_Optional_RP">Data1!$H$610</definedName>
    <definedName name="NR_Optional_Serv">Data1!$H$609</definedName>
    <definedName name="NR_Optional_USAB">Data1!$H$606</definedName>
    <definedName name="NR_Required_CF">Data1!$G$608</definedName>
    <definedName name="NR_Required_DL">Data1!$G$604</definedName>
    <definedName name="NR_Required_Fund">Data1!$G$611</definedName>
    <definedName name="NR_Required_GI">Data1!$G$602</definedName>
    <definedName name="NR_Required_HOME">Data1!$G$615</definedName>
    <definedName name="NR_Required_PDI">Data1!$G$603</definedName>
    <definedName name="NR_Required_Prox">Data1!$G$605</definedName>
    <definedName name="NR_Required_RP">Data1!$G$610</definedName>
    <definedName name="NR_Required_Serv">Data1!$G$609</definedName>
    <definedName name="NR_Required_USAB">Data1!$G$606</definedName>
    <definedName name="number_of_PBS">Data1!$B$378</definedName>
    <definedName name="occupancy_status">'Units, Set-Asides, Bldgs'!$C$6</definedName>
    <definedName name="Occupancy_status_URA">URA!$E$3</definedName>
    <definedName name="Occupied_units">URA!$E$8</definedName>
    <definedName name="ODR_eligible">'Pro Forma'!$H$197</definedName>
    <definedName name="ODR_ineligible">'Pro Forma'!$K$197</definedName>
    <definedName name="ODR_Max">'Pro Forma'!$F$198</definedName>
    <definedName name="ODR_total">'Pro Forma'!$N$197</definedName>
    <definedName name="One_Bed_One_Bath_Total_Units">'Units, Set-Asides, Bldgs'!$H$96</definedName>
    <definedName name="Operational_Contact_Address">'General Information'!$F$161</definedName>
    <definedName name="Operational_Contact_City">'General Information'!$F$162</definedName>
    <definedName name="Operational_Contact_EMail">'General Information'!$F$166</definedName>
    <definedName name="Operational_Contact_First_Name">'General Information'!$F$158</definedName>
    <definedName name="Operational_Contact_Last_Name">'General Information'!$F$159</definedName>
    <definedName name="Operational_Contact_Middle_Initial">'General Information'!$H$158</definedName>
    <definedName name="Operational_Contact_Phone">'General Information'!$F$165</definedName>
    <definedName name="Operational_Contact_Phone_Ext">'General Information'!$H$165</definedName>
    <definedName name="Operational_Contact_State">'General Information'!$F$163</definedName>
    <definedName name="Operational_Contact_Zip_Code">'General Information'!$F$164</definedName>
    <definedName name="Other_eligible">'Pro Forma'!$H$179</definedName>
    <definedName name="Other_ESS_NC_units">'Proposed Development Info'!$H$66</definedName>
    <definedName name="Other_ESS_Rehab_units">'Proposed Development Info'!$H$72</definedName>
    <definedName name="Other_Federal_assistance_units">'Proposed Development Info'!$F$32</definedName>
    <definedName name="Other_ineligible">'Pro Forma'!$K$179</definedName>
    <definedName name="Other_Non_ESS_NC_units">'Proposed Development Info'!$H$67</definedName>
    <definedName name="Other_non_ESS_Rehab_units">'Proposed Development Info'!$H$73</definedName>
    <definedName name="Other_total">'Pro Forma'!$N$179</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'Proposed Development Info'!$F$30</definedName>
    <definedName name="pct_units_in_setaside_chart">'Units, Set-Asides, Bldgs'!$G$32</definedName>
    <definedName name="Percent_Credits_Purchased">'Pro Forma'!$L$461</definedName>
    <definedName name="perm_relocated_units">URA!$F$11</definedName>
    <definedName name="perm_relocation">URA!$H$9</definedName>
    <definedName name="PermAnalysis__1st_Mtg">'Pro Forma'!$H$320</definedName>
    <definedName name="PermAnalysis__1st_Type">'Pro Forma'!$K$320</definedName>
    <definedName name="PermAnalysis__2nd_Mtg">'Pro Forma'!$H$322</definedName>
    <definedName name="PermAnalysis__2nd_Type">'Pro Forma'!$K$322</definedName>
    <definedName name="PermAnalysis__3rd_Mtg">'Pro Forma'!$H$324</definedName>
    <definedName name="PermAnalysis__3rd_Type">'Pro Forma'!$K$324</definedName>
    <definedName name="PermAnalysis__4th_Mtg">'Pro Forma'!$H$326</definedName>
    <definedName name="PermAnalysis__4th_Type">'Pro Forma'!$K$326</definedName>
    <definedName name="PermAnalysis__5th_Mtg">'Pro Forma'!$H$328</definedName>
    <definedName name="PermAnalysis__5th_Type">'Pro Forma'!$K$328</definedName>
    <definedName name="PermAnalysis__6th_Mtg">'Pro Forma'!$H$330</definedName>
    <definedName name="PermAnalysis__6th_Type">'Pro Forma'!$K$330</definedName>
    <definedName name="PermAnalysis__7th_Mtg">'Pro Forma'!$H$332</definedName>
    <definedName name="PermAnalysis__7th_Type">'Pro Forma'!$K$332</definedName>
    <definedName name="PermAnalysis__8th_Mtg">'Pro Forma'!$H$334</definedName>
    <definedName name="PermAnalysis__8th_Type">'Pro Forma'!$K$334</definedName>
    <definedName name="PermAnalysis__9th_Mtg">'Pro Forma'!$H$336</definedName>
    <definedName name="PermAnalysis__9th_Type">'Pro Forma'!$K$336</definedName>
    <definedName name="PermAnalysis_10th_Mtg">'Pro Forma'!$H$338</definedName>
    <definedName name="PermAnalysis_10th_Type">'Pro Forma'!$K$338</definedName>
    <definedName name="PermAnalysis_deferredfee">'Pro Forma'!$H$346</definedName>
    <definedName name="PermAnalysis_HC">'Pro Forma'!$H$340</definedName>
    <definedName name="PermAnalysis_Other_1_Type">'Pro Forma'!$K$342</definedName>
    <definedName name="PermAnalysis_Other_2_Type">'Pro Forma'!$K$344</definedName>
    <definedName name="PermAnalysis_other1">'Pro Forma'!$H$342</definedName>
    <definedName name="PermAnalysis_other1_title">'Pro Forma'!$E$342</definedName>
    <definedName name="PermAnalysis_other2">'Pro Forma'!$H$344</definedName>
    <definedName name="PermAnalysis_other2_title">'Pro Forma'!$E$344</definedName>
    <definedName name="PermAnalysis_surplus">'Pro Forma'!$H$352</definedName>
    <definedName name="PermAnalysis_totalsources">'Pro Forma'!$H$348</definedName>
    <definedName name="PermSource_Use_Ratio">'Pro Forma'!$M$354</definedName>
    <definedName name="PerUnitConstFundingPref">Funding!$I$317</definedName>
    <definedName name="PHA">Funding!$E$353</definedName>
    <definedName name="PHA_Area_of_Opp_boost">Funding!$E$239</definedName>
    <definedName name="PHA_as_Principal">Funding!$D$350</definedName>
    <definedName name="PHA_land_lease">Funding!$D$347</definedName>
    <definedName name="PHA_Name">Funding!$D$353</definedName>
    <definedName name="PHA_or_RD_points_achieved">'Proximity, Mand.Dist., RECAP'!$H$78</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Funding!$G$264</definedName>
    <definedName name="PLP_File_number">Funding!$G$263</definedName>
    <definedName name="Pres_def">'Proposed Development Info'!$D$39</definedName>
    <definedName name="previous_EHCL_award">Funding!$H$272</definedName>
    <definedName name="previous_EHCL_File_number">Funding!$G$272</definedName>
    <definedName name="previous_HOME_award">Funding!$H$270</definedName>
    <definedName name="previous_HOME_File_number">Funding!$G$270</definedName>
    <definedName name="previous_MMRB_award">Funding!$H$271</definedName>
    <definedName name="previous_MMRB_File_number">Funding!$G$271</definedName>
    <definedName name="previous_SAIL_award">Funding!$H$269</definedName>
    <definedName name="previous_SAIL_File_number">Funding!$G$269</definedName>
    <definedName name="_xlnm.Print_Area" localSheetId="16">'B. Other Information'!$A$1:$J$19</definedName>
    <definedName name="_xlnm.Print_Area" localSheetId="17">Certification!$A$3:$M$40</definedName>
    <definedName name="_xlnm.Print_Area" localSheetId="9">'Construction Features'!$A$1:$I$35</definedName>
    <definedName name="_xlnm.Print_Area" localSheetId="5">'Development Location'!$A$1:$J$36</definedName>
    <definedName name="_xlnm.Print_Area" localSheetId="12">Funding!$A$3:$I$405</definedName>
    <definedName name="_xlnm.Print_Area" localSheetId="3">'General Information'!$A$1:$H$179</definedName>
    <definedName name="_xlnm.Print_Area" localSheetId="15">'Local Gov''t Contributions'!$A$1:$J$45</definedName>
    <definedName name="_xlnm.Print_Area" localSheetId="13">'Pro Forma'!$A$1:$P$482</definedName>
    <definedName name="_xlnm.Print_Area" localSheetId="4">'Proposed Development Info'!$A$1:$I$80</definedName>
    <definedName name="_xlnm.Print_Area" localSheetId="6">'Proximity, Mand.Dist., RECAP'!$A$1:$I$91</definedName>
    <definedName name="_xlnm.Print_Area" localSheetId="8">'Readiness to Proceed'!$A$1:$O$13</definedName>
    <definedName name="_xlnm.Print_Area" localSheetId="11">'Resident Programs'!$A$1:$H$22</definedName>
    <definedName name="_xlnm.Print_Area" localSheetId="10">Services!$A$1:$H$42</definedName>
    <definedName name="_xlnm.Print_Area" localSheetId="7">'Units, Set-Asides, Bldgs'!$A$1:$K$141</definedName>
    <definedName name="_xlnm.Print_Area" localSheetId="14">URA!$A$2:$I$26</definedName>
    <definedName name="_xlnm.Print_Titles" localSheetId="17">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4">URA!$1:$2</definedName>
    <definedName name="Priority_Level">'General Information'!$D$108</definedName>
    <definedName name="private_co">URA!$F$19</definedName>
    <definedName name="Private_transportation">'Proximity, Mand.Dist., RECAP'!$D$19</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QCT">Funding!$E$213</definedName>
    <definedName name="QCT_metro_or_nonmetro">Funding!$E$215</definedName>
    <definedName name="QCT_number">Funding!$E$217</definedName>
    <definedName name="Qualified_Fin_Assist_Pref_Met">Funding!$I$313</definedName>
    <definedName name="RD_Prox_boost">'Proximity, Mand.Dist., RECAP'!$D$11</definedName>
    <definedName name="RECAP">'Proximity, Mand.Dist., RECAP'!$B$69</definedName>
    <definedName name="residential_buildings">'Units, Set-Asides, Bldgs'!$H$133</definedName>
    <definedName name="SADDA_ZCTA_1">Funding!$E$202</definedName>
    <definedName name="SADDA_ZCTA_2">Funding!$E$203</definedName>
    <definedName name="SADDA_ZCTA_3">Funding!$E$204</definedName>
    <definedName name="SAIL_PD_Demo_Updated">Funding!$T$19</definedName>
    <definedName name="SAIL_Request_Amount">Funding!$I$42</definedName>
    <definedName name="Scattered_Sites">'Development Location'!$G$18</definedName>
    <definedName name="Scattered_Sites_lat_long">'Development Location'!$E$28</definedName>
    <definedName name="SCC_DollarMax">'Pro Forma'!$F$140</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f_Sourced_Applicant">'General Information'!$G$34</definedName>
    <definedName name="seventy_AMI_Avg_Income_Units">'Units, Set-Asides, Bldgs'!$F$44</definedName>
    <definedName name="SiF_ESS_NC_Units">'Proposed Development Info'!$H$64</definedName>
    <definedName name="SiF_Non_ESS_NC_Units">'Proposed Development Info'!$H$65</definedName>
    <definedName name="sixty_AMI_Avg_Income_Units">'Units, Set-Asides, Bldgs'!$F$43</definedName>
    <definedName name="sixty_AMI_HC">'Units, Set-Asides, Bldgs'!$G$28</definedName>
    <definedName name="sixtyfive_AMI_Legislative">'Units, Set-Asides, Bldgs'!$G$29</definedName>
    <definedName name="Small_Area_DDA">Funding!$E$200</definedName>
    <definedName name="SS_Compliance_Period">'Units, Set-Asides, Bldgs'!$K$138</definedName>
    <definedName name="SS_Higher_Percentage">Funding!$I$294</definedName>
    <definedName name="SS_Waive_the_Option">'Units, Set-Asides, Bldgs'!$K$140</definedName>
    <definedName name="Submission_Goal_1">'General Information'!$C$170</definedName>
    <definedName name="Submission_Goal_2">'General Information'!$C$174</definedName>
    <definedName name="Submission_Goal_3">'General Information'!$C$178</definedName>
    <definedName name="TB_90Pct_TDC">Data3!$J$230</definedName>
    <definedName name="TB_Corp_Fund_PSAU">Data3!$J$231</definedName>
    <definedName name="TB_Extra_1">Data3!$J$237</definedName>
    <definedName name="TB_Extra_2">Data3!$J$238</definedName>
    <definedName name="TB_Extra_3">Data3!$J$239</definedName>
    <definedName name="TB_Extra_4">Data3!$J$240</definedName>
    <definedName name="TB_Extra_5">Data3!$J$241</definedName>
    <definedName name="TB_FL_JobCreat_Pref_Met">Data3!$J$226</definedName>
    <definedName name="TB_HOME_Match_Pct">Data3!$J$235</definedName>
    <definedName name="TB_HOME_PctMax">Data3!$J$234</definedName>
    <definedName name="TB_Leveraging_Level">Data3!$J$236</definedName>
    <definedName name="TB_PUConst_Pref_Met">Data3!$J$228</definedName>
    <definedName name="TB_QFA_Pref_Met">Data3!$J$227</definedName>
    <definedName name="TB_Request_Percent_TDC">Data3!$J$233</definedName>
    <definedName name="TB_Request_PSAU">Data3!$J$232</definedName>
    <definedName name="TB_SAIL_Per_SAU">Data3!$J$229</definedName>
    <definedName name="TBD_Request_Amount">Funding!$I$161</definedName>
    <definedName name="TDC_Base_Limit">'Pro Forma'!$L$380</definedName>
    <definedName name="TDC_eligible">'Pro Forma'!$H$201</definedName>
    <definedName name="TDC_ineligible">'Pro Forma'!$K$201</definedName>
    <definedName name="TDC_PU_Actual">'Pro Forma'!$L$415</definedName>
    <definedName name="TDC_PU_Met">'Pro Forma'!$L$417</definedName>
    <definedName name="TDC_total">'Pro Forma'!$N$201</definedName>
    <definedName name="temp_relocated">URA!$G$12</definedName>
    <definedName name="temp_relocated_units">URA!$G$13</definedName>
    <definedName name="thirty_AMI_Avg_Income_Units">'Units, Set-Asides, Bldgs'!$F$40</definedName>
    <definedName name="thirty_AMI_HC">'Units, Set-Asides, Bldgs'!$G$22</definedName>
    <definedName name="thirtyfive_AMI_HC">'Units, Set-Asides, Bldgs'!$G$24</definedName>
    <definedName name="thirtythree_AMI_HC">'Units, Set-Asides, Bldgs'!$G$23</definedName>
    <definedName name="Three_Bed_One_and_half_Bath_Total_Units">'Units, Set-Asides, Bldgs'!$H$101</definedName>
    <definedName name="Three_Bed_One_Bath_Total_Units">'Units, Set-Asides, Bldgs'!$H$100</definedName>
    <definedName name="Three_Bed_Three_Bath_Total_Units">'Units, Set-Asides, Bldgs'!$H$104</definedName>
    <definedName name="Three_Bed_Two_and_half_Bath_Total_Units">'Units, Set-Asides, Bldgs'!$H$103</definedName>
    <definedName name="Three_Bed_Two_Bath_Total_Units">'Units, Set-Asides, Bldgs'!$H$102</definedName>
    <definedName name="Total_AIT_Chart_Units">'Units, Set-Asides, Bldgs'!$F$48</definedName>
    <definedName name="Total_Cash_Funding">Funding!$I$305</definedName>
    <definedName name="Total_Cash_Funding_Met">Funding!$I$307</definedName>
    <definedName name="Total_Cash_Funding_Min">Funding!$I$306</definedName>
    <definedName name="Total_Corp_Funding">Funding!$I$393</definedName>
    <definedName name="Total_Corp_Funding_PSAU">Funding!$I$394</definedName>
    <definedName name="Total_Existing_Units">URA!$F$7</definedName>
    <definedName name="Total_Gap_Chart_Units">'Units, Set-Asides, Bldgs'!$F$87</definedName>
    <definedName name="total_HC_units_avg_inc">'Units, Set-Asides, Bldgs'!$F$47</definedName>
    <definedName name="total_HC_units_NonAIT">'Units, Set-Asides, Bldgs'!$F$31</definedName>
    <definedName name="Total_NonGrant_Mtg">'Pro Forma'!$X$348</definedName>
    <definedName name="total_proximity_points_achieved">'Proximity, Mand.Dist., RECAP'!$H$80</definedName>
    <definedName name="total_proximity_points_min_met">'Proximity, Mand.Dist., RECAP'!$H$89</definedName>
    <definedName name="total_proximity_points_pref_met">'Proximity, Mand.Dist., RECAP'!$H$90</definedName>
    <definedName name="Total_Units">'Units, Set-Asides, Bldgs'!$K$3</definedName>
    <definedName name="total_units_in_setaside_chart">'Units, Set-Asides, Bldgs'!$F$32</definedName>
    <definedName name="total_units_in_unit_desc_chart">'Proposed Development Info'!$H$74</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RECAP'!$H$76</definedName>
    <definedName name="transit_points_min_met">'Proximity, Mand.Dist., RECAP'!$H$88</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vg_Income_Units">'Units, Set-Asides, Bldgs'!$F$39</definedName>
    <definedName name="twentyeight_AMI_HC">'Units, Set-Asides, Bldgs'!$G$21</definedName>
    <definedName name="twentyeight_AMI_non_avg_inc">'Units, Set-Asides, Bldgs'!$G$21</definedName>
    <definedName name="twentyeight_non_avg_inc">'Units, Set-Asides, Bldgs'!$G$21</definedName>
    <definedName name="twentyfive_AMI_HC">'Units, Set-Asides, Bldgs'!$G$20</definedName>
    <definedName name="twentyfive_AMI_non">'Units, Set-Asides, Bldgs'!$G$20</definedName>
    <definedName name="twentyfive_AMI_non_avg_inc">'Units, Set-Asides, Bldgs'!$G$20</definedName>
    <definedName name="Two_Bed_One_and_half_Bath_Total_Units">'Units, Set-Asides, Bldgs'!$H$98</definedName>
    <definedName name="Two_Bed_One_Bath_Total_Units">'Units, Set-Asides, Bldgs'!$H$97</definedName>
    <definedName name="Two_Bed_Two_Bath_Total_Units">'Units, Set-Asides, Bldgs'!$H$99</definedName>
    <definedName name="UrbanCenter">'Proximity, Mand.Dist., RECAP'!$H$72</definedName>
    <definedName name="UrbanCenter_Name">'Proximity, Mand.Dist., RECAP'!$H$73</definedName>
    <definedName name="UrbanCenter_Tier">'Proximity, Mand.Dist., RECAP'!$I$73</definedName>
    <definedName name="Workforce_AMI_non_avg_inc">'Units, Set-Asides, Bldgs'!$G$30</definedName>
    <definedName name="Workforce_Avg_Income_Units">'Units, Set-Asides, Bldgs'!$F$46</definedName>
    <definedName name="Workforce_Request_Amount">Funding!$I$15</definedName>
    <definedName name="year_built">'Proposed Development Info'!$F$28</definedName>
    <definedName name="Youth_Aging_Out_Goal">'General Information'!$H$27</definedName>
    <definedName name="Zero_Bed_One_Bath_Total_Units">'Units, Set-Asides, Bldgs'!$H$95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3" i="1" l="1"/>
  <c r="B496" i="1"/>
  <c r="B487" i="1"/>
  <c r="D114" i="5"/>
  <c r="C390" i="9"/>
  <c r="K389" i="26"/>
  <c r="D389" i="26"/>
  <c r="D390" i="26" s="1"/>
  <c r="K202" i="24"/>
  <c r="H74" i="3" l="1"/>
  <c r="L59" i="3" s="1"/>
  <c r="M59" i="3" s="1"/>
  <c r="B73" i="3"/>
  <c r="B72" i="3"/>
  <c r="B71" i="3"/>
  <c r="B70" i="3"/>
  <c r="B69" i="3"/>
  <c r="B68" i="3"/>
  <c r="B67" i="3"/>
  <c r="B66" i="3"/>
  <c r="B65" i="3"/>
  <c r="B64" i="3"/>
  <c r="B63" i="3"/>
  <c r="B62" i="3"/>
  <c r="B61" i="3"/>
  <c r="B60" i="3"/>
  <c r="B59" i="3"/>
  <c r="L73" i="3"/>
  <c r="M73" i="3" s="1"/>
  <c r="L72" i="3"/>
  <c r="M72" i="3" s="1"/>
  <c r="L71" i="3"/>
  <c r="M71" i="3" s="1"/>
  <c r="L70" i="3"/>
  <c r="M70" i="3" s="1"/>
  <c r="L69" i="3"/>
  <c r="M69" i="3" s="1"/>
  <c r="L68" i="3"/>
  <c r="M68" i="3" s="1"/>
  <c r="L65" i="3"/>
  <c r="M65" i="3" s="1"/>
  <c r="L64" i="3"/>
  <c r="M64" i="3" s="1"/>
  <c r="L63" i="3"/>
  <c r="M63" i="3" s="1"/>
  <c r="L65" i="9"/>
  <c r="L64" i="9"/>
  <c r="L63" i="9"/>
  <c r="L62" i="9"/>
  <c r="L61" i="9"/>
  <c r="N6" i="3"/>
  <c r="O25" i="36"/>
  <c r="L25" i="36" s="1"/>
  <c r="N25" i="36" s="1"/>
  <c r="M25" i="36"/>
  <c r="O22" i="36"/>
  <c r="M22" i="36"/>
  <c r="L22" i="36"/>
  <c r="N22" i="36" s="1"/>
  <c r="O19" i="36"/>
  <c r="L19" i="36" s="1"/>
  <c r="N19" i="36" s="1"/>
  <c r="M19" i="36"/>
  <c r="N16" i="36"/>
  <c r="M16" i="36"/>
  <c r="N13" i="36"/>
  <c r="M13" i="36"/>
  <c r="L13" i="36"/>
  <c r="M12" i="36"/>
  <c r="L12" i="36"/>
  <c r="N12" i="36" s="1"/>
  <c r="M11" i="36"/>
  <c r="L11" i="36"/>
  <c r="N11" i="36" s="1"/>
  <c r="N9" i="36"/>
  <c r="M9" i="36"/>
  <c r="L9" i="36"/>
  <c r="M8" i="36"/>
  <c r="L8" i="36"/>
  <c r="N8" i="36" s="1"/>
  <c r="M7" i="36"/>
  <c r="L7" i="36"/>
  <c r="N7" i="36" s="1"/>
  <c r="L278" i="9"/>
  <c r="L277" i="9"/>
  <c r="A66" i="3" l="1"/>
  <c r="A70" i="3"/>
  <c r="I74" i="3"/>
  <c r="A59" i="3"/>
  <c r="A63" i="3"/>
  <c r="A67" i="3"/>
  <c r="A71" i="3"/>
  <c r="L60" i="3"/>
  <c r="L61" i="3" s="1"/>
  <c r="M61" i="3" s="1"/>
  <c r="A62" i="3"/>
  <c r="A61" i="3"/>
  <c r="A65" i="3"/>
  <c r="A69" i="3"/>
  <c r="A73" i="3"/>
  <c r="A60" i="3"/>
  <c r="A64" i="3"/>
  <c r="A68" i="3"/>
  <c r="A72" i="3"/>
  <c r="O111" i="9"/>
  <c r="Q111" i="9" s="1"/>
  <c r="H108" i="9"/>
  <c r="O109" i="9"/>
  <c r="Q109" i="9" s="1"/>
  <c r="Q110" i="9"/>
  <c r="Q108" i="9"/>
  <c r="Q107" i="9"/>
  <c r="I389" i="9"/>
  <c r="C49" i="2"/>
  <c r="M60" i="3" l="1"/>
  <c r="L62" i="3"/>
  <c r="M62" i="3" s="1"/>
  <c r="O112" i="9"/>
  <c r="Q112" i="9" s="1"/>
  <c r="N106" i="5"/>
  <c r="P106" i="5" s="1"/>
  <c r="N105" i="5"/>
  <c r="P105" i="5" s="1"/>
  <c r="N101" i="5"/>
  <c r="N100" i="5"/>
  <c r="L39" i="3"/>
  <c r="N39" i="3" s="1"/>
  <c r="G78" i="2"/>
  <c r="M75" i="2"/>
  <c r="F523" i="1"/>
  <c r="G523" i="1" s="1"/>
  <c r="F522" i="1"/>
  <c r="G522" i="1" s="1"/>
  <c r="D117" i="5" s="1"/>
  <c r="F520" i="1"/>
  <c r="G520" i="1" s="1"/>
  <c r="F517" i="1"/>
  <c r="G517" i="1" s="1"/>
  <c r="F515" i="1"/>
  <c r="G515" i="1" s="1"/>
  <c r="F514" i="1"/>
  <c r="G514" i="1" s="1"/>
  <c r="F509" i="1"/>
  <c r="F507" i="1"/>
  <c r="F521" i="1"/>
  <c r="F510" i="1"/>
  <c r="F508" i="1"/>
  <c r="F506" i="1"/>
  <c r="B460" i="1"/>
  <c r="L66" i="3" l="1"/>
  <c r="M66" i="3" s="1"/>
  <c r="O105" i="5"/>
  <c r="O106" i="5"/>
  <c r="M39" i="3"/>
  <c r="B450" i="1"/>
  <c r="B449" i="1"/>
  <c r="L67" i="3" l="1"/>
  <c r="M67" i="3" s="1"/>
  <c r="C89" i="24"/>
  <c r="H28" i="9" s="1"/>
  <c r="K390" i="26" l="1"/>
  <c r="O25" i="18"/>
  <c r="O27" i="9" l="1"/>
  <c r="Q27" i="9" s="1"/>
  <c r="E215" i="9" l="1"/>
  <c r="G218" i="9" s="1"/>
  <c r="G204" i="9"/>
  <c r="G203" i="9"/>
  <c r="G202" i="9"/>
  <c r="I46" i="9"/>
  <c r="I21" i="9"/>
  <c r="B48" i="3"/>
  <c r="G217" i="9" l="1"/>
  <c r="D48" i="2"/>
  <c r="G20" i="36" l="1"/>
  <c r="H19" i="36"/>
  <c r="I16" i="36"/>
  <c r="B7" i="7"/>
  <c r="D50" i="2"/>
  <c r="L27" i="2"/>
  <c r="L49" i="2"/>
  <c r="M49" i="2"/>
  <c r="A25" i="2"/>
  <c r="A17" i="2"/>
  <c r="A12" i="2"/>
  <c r="M27" i="2"/>
  <c r="O38" i="9" l="1"/>
  <c r="Q38" i="9" s="1"/>
  <c r="AS21" i="19" l="1"/>
  <c r="AU21" i="19"/>
  <c r="Q22" i="19" l="1"/>
  <c r="O22" i="19"/>
  <c r="B452" i="1"/>
  <c r="N3" i="36" l="1"/>
  <c r="M3" i="36"/>
  <c r="G224" i="9" l="1"/>
  <c r="Q21" i="19" l="1"/>
  <c r="A416" i="1"/>
  <c r="A415" i="1"/>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G226" i="9"/>
  <c r="G225" i="9"/>
  <c r="AU22" i="19"/>
  <c r="AS22" i="19"/>
  <c r="V520" i="1"/>
  <c r="V519" i="1"/>
  <c r="V518" i="1"/>
  <c r="D393" i="26"/>
  <c r="D394" i="26" s="1"/>
  <c r="D395" i="26" s="1"/>
  <c r="B18" i="18"/>
  <c r="B79" i="3" a="1"/>
  <c r="B79" i="3" s="1"/>
  <c r="C94" i="2"/>
  <c r="C86" i="2"/>
  <c r="C78" i="2"/>
  <c r="K23" i="2"/>
  <c r="K22" i="2"/>
  <c r="K21" i="2"/>
  <c r="K20" i="2"/>
  <c r="K19" i="2"/>
  <c r="C19" i="2" s="1"/>
  <c r="AU302" i="19" l="1" a="1"/>
  <c r="AU302" i="19" s="1"/>
  <c r="AU297" i="19" a="1"/>
  <c r="AU297" i="19" s="1"/>
  <c r="AU286" i="19" a="1"/>
  <c r="AU286" i="19" s="1"/>
  <c r="AU281" i="19" a="1"/>
  <c r="AU281" i="19" s="1"/>
  <c r="AU270" i="19" a="1"/>
  <c r="AU270" i="19" s="1"/>
  <c r="AU265" i="19" a="1"/>
  <c r="AU265" i="19" s="1"/>
  <c r="AU254" i="19" a="1"/>
  <c r="AU254" i="19" s="1"/>
  <c r="AU249" i="19" a="1"/>
  <c r="AU249" i="19" s="1"/>
  <c r="AU238" i="19" a="1"/>
  <c r="AU238" i="19" s="1"/>
  <c r="AU233" i="19" a="1"/>
  <c r="AU233" i="19" s="1"/>
  <c r="AU222" i="19" a="1"/>
  <c r="AU222" i="19" s="1"/>
  <c r="AU217" i="19" a="1"/>
  <c r="AU217" i="19" s="1"/>
  <c r="AU206" i="19" a="1"/>
  <c r="AU206" i="19" s="1"/>
  <c r="AU201" i="19" a="1"/>
  <c r="AU201" i="19" s="1"/>
  <c r="AU190" i="19" a="1"/>
  <c r="AU190" i="19" s="1"/>
  <c r="AU185" i="19" a="1"/>
  <c r="AU185" i="19" s="1"/>
  <c r="AU174" i="19" a="1"/>
  <c r="AU174" i="19" s="1"/>
  <c r="AU169" i="19" a="1"/>
  <c r="AU169" i="19" s="1"/>
  <c r="AU163" i="19" a="1"/>
  <c r="AU163" i="19" s="1"/>
  <c r="AU157" i="19" a="1"/>
  <c r="AU157" i="19" s="1"/>
  <c r="AU150" i="19" a="1"/>
  <c r="AU150" i="19" s="1"/>
  <c r="AU144" i="19" a="1"/>
  <c r="AU144" i="19" s="1"/>
  <c r="AU137" i="19" a="1"/>
  <c r="AU137" i="19" s="1"/>
  <c r="AU129" i="19" a="1"/>
  <c r="AU129" i="19" s="1"/>
  <c r="AU121" i="19" a="1"/>
  <c r="AU121" i="19" s="1"/>
  <c r="AU113" i="19" a="1"/>
  <c r="AU113" i="19" s="1"/>
  <c r="AU105" i="19" a="1"/>
  <c r="AU105" i="19" s="1"/>
  <c r="AU97" i="19" a="1"/>
  <c r="AU97" i="19" s="1"/>
  <c r="AU89" i="19" a="1"/>
  <c r="AU89" i="19" s="1"/>
  <c r="AU81" i="19" a="1"/>
  <c r="AU81" i="19" s="1"/>
  <c r="AU73" i="19" a="1"/>
  <c r="AU73" i="19" s="1"/>
  <c r="AU65" i="19" a="1"/>
  <c r="AU65" i="19" s="1"/>
  <c r="AU57" i="19" a="1"/>
  <c r="AU57" i="19" s="1"/>
  <c r="AU49" i="19" a="1"/>
  <c r="AU49" i="19" s="1"/>
  <c r="AU41" i="19" a="1"/>
  <c r="AU41" i="19" s="1"/>
  <c r="AU33" i="19" a="1"/>
  <c r="AU33" i="19" s="1"/>
  <c r="AU25" i="19" a="1"/>
  <c r="AU25" i="19" s="1"/>
  <c r="AU276" i="19" a="1"/>
  <c r="AU276" i="19" s="1"/>
  <c r="AU271" i="19" a="1"/>
  <c r="AU271" i="19" s="1"/>
  <c r="AU239" i="19" a="1"/>
  <c r="AU239" i="19" s="1"/>
  <c r="AU164" i="19" a="1"/>
  <c r="AU164" i="19" s="1"/>
  <c r="AU114" i="19" a="1"/>
  <c r="AU114" i="19" s="1"/>
  <c r="AU74" i="19" a="1"/>
  <c r="AU74" i="19" s="1"/>
  <c r="AU26" i="19" a="1"/>
  <c r="AU26" i="19" s="1"/>
  <c r="AU307" i="19" a="1"/>
  <c r="AU307" i="19" s="1"/>
  <c r="AU296" i="19" a="1"/>
  <c r="AU296" i="19" s="1"/>
  <c r="AU291" i="19" a="1"/>
  <c r="AU291" i="19" s="1"/>
  <c r="AU280" i="19" a="1"/>
  <c r="AU280" i="19" s="1"/>
  <c r="AU275" i="19" a="1"/>
  <c r="AU275" i="19" s="1"/>
  <c r="AU264" i="19" a="1"/>
  <c r="AU264" i="19" s="1"/>
  <c r="AU259" i="19" a="1"/>
  <c r="AU259" i="19" s="1"/>
  <c r="AU248" i="19" a="1"/>
  <c r="AU248" i="19" s="1"/>
  <c r="AU243" i="19" a="1"/>
  <c r="AU243" i="19" s="1"/>
  <c r="AU232" i="19" a="1"/>
  <c r="AU232" i="19" s="1"/>
  <c r="AU227" i="19" a="1"/>
  <c r="AU227" i="19" s="1"/>
  <c r="AU216" i="19" a="1"/>
  <c r="AU216" i="19" s="1"/>
  <c r="AU211" i="19" a="1"/>
  <c r="AU211" i="19" s="1"/>
  <c r="AU200" i="19" a="1"/>
  <c r="AU200" i="19" s="1"/>
  <c r="AU195" i="19" a="1"/>
  <c r="AU195" i="19" s="1"/>
  <c r="AU184" i="19" a="1"/>
  <c r="AU184" i="19" s="1"/>
  <c r="AU179" i="19" a="1"/>
  <c r="AU179" i="19" s="1"/>
  <c r="AU168" i="19" a="1"/>
  <c r="AU168" i="19" s="1"/>
  <c r="AU162" i="19" a="1"/>
  <c r="AU162" i="19" s="1"/>
  <c r="AU156" i="19" a="1"/>
  <c r="AU156" i="19" s="1"/>
  <c r="AU143" i="19" a="1"/>
  <c r="AU143" i="19" s="1"/>
  <c r="AU136" i="19" a="1"/>
  <c r="AU136" i="19" s="1"/>
  <c r="AU128" i="19" a="1"/>
  <c r="AU128" i="19" s="1"/>
  <c r="AU120" i="19" a="1"/>
  <c r="AU120" i="19" s="1"/>
  <c r="AU112" i="19" a="1"/>
  <c r="AU112" i="19" s="1"/>
  <c r="AU104" i="19" a="1"/>
  <c r="AU104" i="19" s="1"/>
  <c r="AU96" i="19" a="1"/>
  <c r="AU96" i="19" s="1"/>
  <c r="AU88" i="19" a="1"/>
  <c r="AU88" i="19" s="1"/>
  <c r="AU80" i="19" a="1"/>
  <c r="AU80" i="19" s="1"/>
  <c r="AU72" i="19" a="1"/>
  <c r="AU72" i="19" s="1"/>
  <c r="AU64" i="19" a="1"/>
  <c r="AU64" i="19" s="1"/>
  <c r="AU56" i="19" a="1"/>
  <c r="AU56" i="19" s="1"/>
  <c r="AU48" i="19" a="1"/>
  <c r="AU48" i="19" s="1"/>
  <c r="AU40" i="19" a="1"/>
  <c r="AU40" i="19" s="1"/>
  <c r="AU32" i="19" a="1"/>
  <c r="AU32" i="19" s="1"/>
  <c r="AU24" i="19" a="1"/>
  <c r="AU24" i="19" s="1"/>
  <c r="AU287" i="19" a="1"/>
  <c r="AU287" i="19" s="1"/>
  <c r="AU255" i="19" a="1"/>
  <c r="AU255" i="19" s="1"/>
  <c r="AU196" i="19" a="1"/>
  <c r="AU196" i="19" s="1"/>
  <c r="AU151" i="19" a="1"/>
  <c r="AU151" i="19" s="1"/>
  <c r="AU106" i="19" a="1"/>
  <c r="AU106" i="19" s="1"/>
  <c r="AU58" i="19" a="1"/>
  <c r="AU58" i="19" s="1"/>
  <c r="AU306" i="19" a="1"/>
  <c r="AU306" i="19" s="1"/>
  <c r="AU301" i="19" a="1"/>
  <c r="AU301" i="19" s="1"/>
  <c r="AU290" i="19" a="1"/>
  <c r="AU290" i="19" s="1"/>
  <c r="AU285" i="19" a="1"/>
  <c r="AU285" i="19" s="1"/>
  <c r="AU274" i="19" a="1"/>
  <c r="AU274" i="19" s="1"/>
  <c r="AU269" i="19" a="1"/>
  <c r="AU269" i="19" s="1"/>
  <c r="AU258" i="19" a="1"/>
  <c r="AU258" i="19" s="1"/>
  <c r="AU253" i="19" a="1"/>
  <c r="AU253" i="19" s="1"/>
  <c r="AU242" i="19" a="1"/>
  <c r="AU242" i="19" s="1"/>
  <c r="AU237" i="19" a="1"/>
  <c r="AU237" i="19" s="1"/>
  <c r="AU226" i="19" a="1"/>
  <c r="AU226" i="19" s="1"/>
  <c r="AU221" i="19" a="1"/>
  <c r="AU221" i="19" s="1"/>
  <c r="AU210" i="19" a="1"/>
  <c r="AU210" i="19" s="1"/>
  <c r="AU205" i="19" a="1"/>
  <c r="AU205" i="19" s="1"/>
  <c r="AU194" i="19" a="1"/>
  <c r="AU194" i="19" s="1"/>
  <c r="AU189" i="19" a="1"/>
  <c r="AU189" i="19" s="1"/>
  <c r="AU178" i="19" a="1"/>
  <c r="AU178" i="19" s="1"/>
  <c r="AU173" i="19" a="1"/>
  <c r="AU173" i="19" s="1"/>
  <c r="AU155" i="19" a="1"/>
  <c r="AU155" i="19" s="1"/>
  <c r="AU149" i="19" a="1"/>
  <c r="AU149" i="19" s="1"/>
  <c r="AU142" i="19" a="1"/>
  <c r="AU142" i="19" s="1"/>
  <c r="AU135" i="19" a="1"/>
  <c r="AU135" i="19" s="1"/>
  <c r="AU127" i="19" a="1"/>
  <c r="AU127" i="19" s="1"/>
  <c r="AU119" i="19" a="1"/>
  <c r="AU119" i="19" s="1"/>
  <c r="AU111" i="19" a="1"/>
  <c r="AU111" i="19" s="1"/>
  <c r="AU103" i="19" a="1"/>
  <c r="AU103" i="19" s="1"/>
  <c r="AU95" i="19" a="1"/>
  <c r="AU95" i="19" s="1"/>
  <c r="AU87" i="19" a="1"/>
  <c r="AU87" i="19" s="1"/>
  <c r="AU79" i="19" a="1"/>
  <c r="AU79" i="19" s="1"/>
  <c r="AU71" i="19" a="1"/>
  <c r="AU71" i="19" s="1"/>
  <c r="AU63" i="19" a="1"/>
  <c r="AU63" i="19" s="1"/>
  <c r="AU55" i="19" a="1"/>
  <c r="AU55" i="19" s="1"/>
  <c r="AU47" i="19" a="1"/>
  <c r="AU47" i="19" s="1"/>
  <c r="AU39" i="19" a="1"/>
  <c r="AU39" i="19" s="1"/>
  <c r="AU31" i="19" a="1"/>
  <c r="AU31" i="19" s="1"/>
  <c r="AU23" i="19" a="1"/>
  <c r="AU23" i="19" s="1"/>
  <c r="AU292" i="19" a="1"/>
  <c r="AU292" i="19" s="1"/>
  <c r="AU244" i="19" a="1"/>
  <c r="AU244" i="19" s="1"/>
  <c r="AU207" i="19" a="1"/>
  <c r="AU207" i="19" s="1"/>
  <c r="AU138" i="19" a="1"/>
  <c r="AU138" i="19" s="1"/>
  <c r="AU50" i="19" a="1"/>
  <c r="AU50" i="19" s="1"/>
  <c r="AU311" i="19" a="1"/>
  <c r="AU311" i="19" s="1"/>
  <c r="AU300" i="19" a="1"/>
  <c r="AU300" i="19" s="1"/>
  <c r="AU295" i="19" a="1"/>
  <c r="AU295" i="19" s="1"/>
  <c r="AU284" i="19" a="1"/>
  <c r="AU284" i="19" s="1"/>
  <c r="AU279" i="19" a="1"/>
  <c r="AU279" i="19" s="1"/>
  <c r="AU268" i="19" a="1"/>
  <c r="AU268" i="19" s="1"/>
  <c r="AU263" i="19" a="1"/>
  <c r="AU263" i="19" s="1"/>
  <c r="AU252" i="19" a="1"/>
  <c r="AU252" i="19" s="1"/>
  <c r="AU247" i="19" a="1"/>
  <c r="AU247" i="19" s="1"/>
  <c r="AU236" i="19" a="1"/>
  <c r="AU236" i="19" s="1"/>
  <c r="AU231" i="19" a="1"/>
  <c r="AU231" i="19" s="1"/>
  <c r="AU220" i="19" a="1"/>
  <c r="AU220" i="19" s="1"/>
  <c r="AU215" i="19" a="1"/>
  <c r="AU215" i="19" s="1"/>
  <c r="AU204" i="19" a="1"/>
  <c r="AU204" i="19" s="1"/>
  <c r="AU199" i="19" a="1"/>
  <c r="AU199" i="19" s="1"/>
  <c r="AU188" i="19" a="1"/>
  <c r="AU188" i="19" s="1"/>
  <c r="AU183" i="19" a="1"/>
  <c r="AU183" i="19" s="1"/>
  <c r="AU172" i="19" a="1"/>
  <c r="AU172" i="19" s="1"/>
  <c r="AU167" i="19" a="1"/>
  <c r="AU167" i="19" s="1"/>
  <c r="AU161" i="19" a="1"/>
  <c r="AU161" i="19" s="1"/>
  <c r="AU154" i="19" a="1"/>
  <c r="AU154" i="19" s="1"/>
  <c r="AU148" i="19" a="1"/>
  <c r="AU148" i="19" s="1"/>
  <c r="AU134" i="19" a="1"/>
  <c r="AU134" i="19" s="1"/>
  <c r="AU126" i="19" a="1"/>
  <c r="AU126" i="19" s="1"/>
  <c r="AU118" i="19" a="1"/>
  <c r="AU118" i="19" s="1"/>
  <c r="AU110" i="19" a="1"/>
  <c r="AU110" i="19" s="1"/>
  <c r="AU102" i="19" a="1"/>
  <c r="AU102" i="19" s="1"/>
  <c r="AU94" i="19" a="1"/>
  <c r="AU94" i="19" s="1"/>
  <c r="AU86" i="19" a="1"/>
  <c r="AU86" i="19" s="1"/>
  <c r="AU78" i="19" a="1"/>
  <c r="AU78" i="19" s="1"/>
  <c r="AU70" i="19" a="1"/>
  <c r="AU70" i="19" s="1"/>
  <c r="AU62" i="19" a="1"/>
  <c r="AU62" i="19" s="1"/>
  <c r="AU54" i="19" a="1"/>
  <c r="AU54" i="19" s="1"/>
  <c r="AU46" i="19" a="1"/>
  <c r="AU46" i="19" s="1"/>
  <c r="AU38" i="19" a="1"/>
  <c r="AU38" i="19" s="1"/>
  <c r="AU30" i="19" a="1"/>
  <c r="AU30" i="19" s="1"/>
  <c r="AU223" i="19" a="1"/>
  <c r="AU223" i="19" s="1"/>
  <c r="AU175" i="19" a="1"/>
  <c r="AU175" i="19" s="1"/>
  <c r="AU122" i="19" a="1"/>
  <c r="AU122" i="19" s="1"/>
  <c r="AU82" i="19" a="1"/>
  <c r="AU82" i="19" s="1"/>
  <c r="AU310" i="19" a="1"/>
  <c r="AU310" i="19" s="1"/>
  <c r="AU305" i="19" a="1"/>
  <c r="AU305" i="19" s="1"/>
  <c r="AU294" i="19" a="1"/>
  <c r="AU294" i="19" s="1"/>
  <c r="AU289" i="19" a="1"/>
  <c r="AU289" i="19" s="1"/>
  <c r="AU278" i="19" a="1"/>
  <c r="AU278" i="19" s="1"/>
  <c r="AU273" i="19" a="1"/>
  <c r="AU273" i="19" s="1"/>
  <c r="AU262" i="19" a="1"/>
  <c r="AU262" i="19" s="1"/>
  <c r="AU257" i="19" a="1"/>
  <c r="AU257" i="19" s="1"/>
  <c r="AU246" i="19" a="1"/>
  <c r="AU246" i="19" s="1"/>
  <c r="AU241" i="19" a="1"/>
  <c r="AU241" i="19" s="1"/>
  <c r="AU230" i="19" a="1"/>
  <c r="AU230" i="19" s="1"/>
  <c r="AU225" i="19" a="1"/>
  <c r="AU225" i="19" s="1"/>
  <c r="AU214" i="19" a="1"/>
  <c r="AU214" i="19" s="1"/>
  <c r="AU209" i="19" a="1"/>
  <c r="AU209" i="19" s="1"/>
  <c r="AU198" i="19" a="1"/>
  <c r="AU198" i="19" s="1"/>
  <c r="AU193" i="19" a="1"/>
  <c r="AU193" i="19" s="1"/>
  <c r="AU182" i="19" a="1"/>
  <c r="AU182" i="19" s="1"/>
  <c r="AU177" i="19" a="1"/>
  <c r="AU177" i="19" s="1"/>
  <c r="AU166" i="19" a="1"/>
  <c r="AU166" i="19" s="1"/>
  <c r="AU160" i="19" a="1"/>
  <c r="AU160" i="19" s="1"/>
  <c r="AU147" i="19" a="1"/>
  <c r="AU147" i="19" s="1"/>
  <c r="AU141" i="19" a="1"/>
  <c r="AU141" i="19" s="1"/>
  <c r="AU133" i="19" a="1"/>
  <c r="AU133" i="19" s="1"/>
  <c r="AU125" i="19" a="1"/>
  <c r="AU125" i="19" s="1"/>
  <c r="AU117" i="19" a="1"/>
  <c r="AU117" i="19" s="1"/>
  <c r="AU109" i="19" a="1"/>
  <c r="AU109" i="19" s="1"/>
  <c r="AU101" i="19" a="1"/>
  <c r="AU101" i="19" s="1"/>
  <c r="AU93" i="19" a="1"/>
  <c r="AU93" i="19" s="1"/>
  <c r="AU85" i="19" a="1"/>
  <c r="AU85" i="19" s="1"/>
  <c r="AU77" i="19" a="1"/>
  <c r="AU77" i="19" s="1"/>
  <c r="AU69" i="19" a="1"/>
  <c r="AU69" i="19" s="1"/>
  <c r="AU61" i="19" a="1"/>
  <c r="AU61" i="19" s="1"/>
  <c r="AU53" i="19" a="1"/>
  <c r="AU53" i="19" s="1"/>
  <c r="AU45" i="19" a="1"/>
  <c r="AU45" i="19" s="1"/>
  <c r="AU37" i="19" a="1"/>
  <c r="AU37" i="19" s="1"/>
  <c r="AU29" i="19" a="1"/>
  <c r="AU29" i="19" s="1"/>
  <c r="AU303" i="19" a="1"/>
  <c r="AU303" i="19" s="1"/>
  <c r="AU260" i="19" a="1"/>
  <c r="AU260" i="19" s="1"/>
  <c r="AU228" i="19" a="1"/>
  <c r="AU228" i="19" s="1"/>
  <c r="AU191" i="19" a="1"/>
  <c r="AU191" i="19" s="1"/>
  <c r="AU130" i="19" a="1"/>
  <c r="AU130" i="19" s="1"/>
  <c r="AU90" i="19" a="1"/>
  <c r="AU90" i="19" s="1"/>
  <c r="AU42" i="19" a="1"/>
  <c r="AU42" i="19" s="1"/>
  <c r="AU304" i="19" a="1"/>
  <c r="AU304" i="19" s="1"/>
  <c r="AU299" i="19" a="1"/>
  <c r="AU299" i="19" s="1"/>
  <c r="AU288" i="19" a="1"/>
  <c r="AU288" i="19" s="1"/>
  <c r="AU283" i="19" a="1"/>
  <c r="AU283" i="19" s="1"/>
  <c r="AU272" i="19" a="1"/>
  <c r="AU272" i="19" s="1"/>
  <c r="AU267" i="19" a="1"/>
  <c r="AU267" i="19" s="1"/>
  <c r="AU256" i="19" a="1"/>
  <c r="AU256" i="19" s="1"/>
  <c r="AU251" i="19" a="1"/>
  <c r="AU251" i="19" s="1"/>
  <c r="AU240" i="19" a="1"/>
  <c r="AU240" i="19" s="1"/>
  <c r="AU235" i="19" a="1"/>
  <c r="AU235" i="19" s="1"/>
  <c r="AU224" i="19" a="1"/>
  <c r="AU224" i="19" s="1"/>
  <c r="AU219" i="19" a="1"/>
  <c r="AU219" i="19" s="1"/>
  <c r="AU208" i="19" a="1"/>
  <c r="AU208" i="19" s="1"/>
  <c r="AU203" i="19" a="1"/>
  <c r="AU203" i="19" s="1"/>
  <c r="AU192" i="19" a="1"/>
  <c r="AU192" i="19" s="1"/>
  <c r="AU187" i="19" a="1"/>
  <c r="AU187" i="19" s="1"/>
  <c r="AU176" i="19" a="1"/>
  <c r="AU176" i="19" s="1"/>
  <c r="AU171" i="19" a="1"/>
  <c r="AU171" i="19" s="1"/>
  <c r="AU159" i="19" a="1"/>
  <c r="AU159" i="19" s="1"/>
  <c r="AU153" i="19" a="1"/>
  <c r="AU153" i="19" s="1"/>
  <c r="AU146" i="19" a="1"/>
  <c r="AU146" i="19" s="1"/>
  <c r="AU140" i="19" a="1"/>
  <c r="AU140" i="19" s="1"/>
  <c r="AU132" i="19" a="1"/>
  <c r="AU132" i="19" s="1"/>
  <c r="AU124" i="19" a="1"/>
  <c r="AU124" i="19" s="1"/>
  <c r="AU116" i="19" a="1"/>
  <c r="AU116" i="19" s="1"/>
  <c r="AU108" i="19" a="1"/>
  <c r="AU108" i="19" s="1"/>
  <c r="AU100" i="19" a="1"/>
  <c r="AU100" i="19" s="1"/>
  <c r="AU92" i="19" a="1"/>
  <c r="AU92" i="19" s="1"/>
  <c r="AU84" i="19" a="1"/>
  <c r="AU84" i="19" s="1"/>
  <c r="AU76" i="19" a="1"/>
  <c r="AU76" i="19" s="1"/>
  <c r="AU68" i="19" a="1"/>
  <c r="AU68" i="19" s="1"/>
  <c r="AU60" i="19" a="1"/>
  <c r="AU60" i="19" s="1"/>
  <c r="AU52" i="19" a="1"/>
  <c r="AU52" i="19" s="1"/>
  <c r="AU44" i="19" a="1"/>
  <c r="AU44" i="19" s="1"/>
  <c r="AU36" i="19" a="1"/>
  <c r="AU36" i="19" s="1"/>
  <c r="AU28" i="19" a="1"/>
  <c r="AU28" i="19" s="1"/>
  <c r="AU308" i="19" a="1"/>
  <c r="AU308" i="19" s="1"/>
  <c r="AU212" i="19" a="1"/>
  <c r="AU212" i="19" s="1"/>
  <c r="AU180" i="19" a="1"/>
  <c r="AU180" i="19" s="1"/>
  <c r="AU145" i="19" a="1"/>
  <c r="AU145" i="19" s="1"/>
  <c r="AU98" i="19" a="1"/>
  <c r="AU98" i="19" s="1"/>
  <c r="AU66" i="19" a="1"/>
  <c r="AU66" i="19" s="1"/>
  <c r="AU34" i="19" a="1"/>
  <c r="AU34" i="19" s="1"/>
  <c r="AU309" i="19" a="1"/>
  <c r="AU309" i="19" s="1"/>
  <c r="AU298" i="19" a="1"/>
  <c r="AU298" i="19" s="1"/>
  <c r="AU293" i="19" a="1"/>
  <c r="AU293" i="19" s="1"/>
  <c r="AU282" i="19" a="1"/>
  <c r="AU282" i="19" s="1"/>
  <c r="AU277" i="19" a="1"/>
  <c r="AU277" i="19" s="1"/>
  <c r="AU266" i="19" a="1"/>
  <c r="AU266" i="19" s="1"/>
  <c r="AU261" i="19" a="1"/>
  <c r="AU261" i="19" s="1"/>
  <c r="AU250" i="19" a="1"/>
  <c r="AU250" i="19" s="1"/>
  <c r="AU245" i="19" a="1"/>
  <c r="AU245" i="19" s="1"/>
  <c r="AU234" i="19" a="1"/>
  <c r="AU234" i="19" s="1"/>
  <c r="AU229" i="19" a="1"/>
  <c r="AU229" i="19" s="1"/>
  <c r="AU218" i="19" a="1"/>
  <c r="AU218" i="19" s="1"/>
  <c r="AU213" i="19" a="1"/>
  <c r="AU213" i="19" s="1"/>
  <c r="AU202" i="19" a="1"/>
  <c r="AU202" i="19" s="1"/>
  <c r="AU197" i="19" a="1"/>
  <c r="AU197" i="19" s="1"/>
  <c r="AU186" i="19" a="1"/>
  <c r="AU186" i="19" s="1"/>
  <c r="AU181" i="19" a="1"/>
  <c r="AU181" i="19" s="1"/>
  <c r="AU170" i="19" a="1"/>
  <c r="AU170" i="19" s="1"/>
  <c r="AU165" i="19" a="1"/>
  <c r="AU165" i="19" s="1"/>
  <c r="AU158" i="19" a="1"/>
  <c r="AU158" i="19" s="1"/>
  <c r="AU152" i="19" a="1"/>
  <c r="AU152" i="19" s="1"/>
  <c r="AU139" i="19" a="1"/>
  <c r="AU139" i="19" s="1"/>
  <c r="AU131" i="19" a="1"/>
  <c r="AU131" i="19" s="1"/>
  <c r="AU123" i="19" a="1"/>
  <c r="AU123" i="19" s="1"/>
  <c r="AU115" i="19" a="1"/>
  <c r="AU115" i="19" s="1"/>
  <c r="AU107" i="19" a="1"/>
  <c r="AU107" i="19" s="1"/>
  <c r="AU99" i="19" a="1"/>
  <c r="AU99" i="19" s="1"/>
  <c r="AU91" i="19" a="1"/>
  <c r="AU91" i="19" s="1"/>
  <c r="AU83" i="19" a="1"/>
  <c r="AU83" i="19" s="1"/>
  <c r="AU75" i="19" a="1"/>
  <c r="AU75" i="19" s="1"/>
  <c r="AU67" i="19" a="1"/>
  <c r="AU67" i="19" s="1"/>
  <c r="AU59" i="19" a="1"/>
  <c r="AU59" i="19" s="1"/>
  <c r="AU51" i="19" a="1"/>
  <c r="AU51" i="19" s="1"/>
  <c r="AU43" i="19" a="1"/>
  <c r="AU43" i="19" s="1"/>
  <c r="AU35" i="19" a="1"/>
  <c r="AU35" i="19" s="1"/>
  <c r="AU27" i="19" a="1"/>
  <c r="AU27" i="19" s="1"/>
  <c r="C20" i="2"/>
  <c r="C21" i="2" l="1"/>
  <c r="C22" i="2" l="1"/>
  <c r="C23" i="2" l="1"/>
  <c r="B17" i="2" s="1"/>
  <c r="D70" i="5" l="1"/>
  <c r="O29" i="9" l="1"/>
  <c r="Q29" i="9" s="1"/>
  <c r="B19" i="18" l="1"/>
  <c r="H172" i="9"/>
  <c r="O133" i="5"/>
  <c r="E233" i="9" l="1"/>
  <c r="E231" i="9"/>
  <c r="M231" i="9" s="1"/>
  <c r="N231" i="9"/>
  <c r="I73" i="14"/>
  <c r="N72" i="14"/>
  <c r="M72" i="14"/>
  <c r="BP101" i="19"/>
  <c r="BP100" i="19"/>
  <c r="BP99" i="19"/>
  <c r="BP98" i="19"/>
  <c r="BN97" i="19"/>
  <c r="BP97" i="19" s="1"/>
  <c r="BP96" i="19"/>
  <c r="BP95" i="19"/>
  <c r="BP94" i="19"/>
  <c r="BP93" i="19"/>
  <c r="BP92" i="19"/>
  <c r="B250" i="1"/>
  <c r="B254" i="1"/>
  <c r="P18" i="5" l="1"/>
  <c r="P39" i="5"/>
  <c r="P73" i="5"/>
  <c r="N73" i="5"/>
  <c r="N39" i="5"/>
  <c r="N18" i="5"/>
  <c r="J458" i="1"/>
  <c r="J459" i="1" l="1"/>
  <c r="O13" i="5" l="1"/>
  <c r="A5" i="20" l="1"/>
  <c r="B374" i="9"/>
  <c r="O36" i="18"/>
  <c r="B3" i="18"/>
  <c r="A6" i="20" l="1"/>
  <c r="A21" i="18"/>
  <c r="A6" i="18"/>
  <c r="A4" i="18"/>
  <c r="A3" i="18"/>
  <c r="A41" i="18"/>
  <c r="A43" i="18"/>
  <c r="A42" i="18"/>
  <c r="N284" i="9"/>
  <c r="A7" i="20" l="1"/>
  <c r="L161" i="9"/>
  <c r="L148" i="9"/>
  <c r="L124" i="9"/>
  <c r="L116" i="9"/>
  <c r="L73" i="9"/>
  <c r="L52" i="9"/>
  <c r="L42" i="9"/>
  <c r="L15" i="9"/>
  <c r="L14" i="7"/>
  <c r="H3" i="4"/>
  <c r="F399" i="1" s="1" a="1"/>
  <c r="F399" i="1" s="1"/>
  <c r="D130" i="9" l="1"/>
  <c r="A8" i="20"/>
  <c r="F389" i="1"/>
  <c r="N14" i="7"/>
  <c r="L15" i="7"/>
  <c r="J46" i="5"/>
  <c r="D428" i="1"/>
  <c r="I428" i="1"/>
  <c r="A9" i="20" l="1"/>
  <c r="A10" i="20"/>
  <c r="A11" i="20" s="1"/>
  <c r="N15" i="7"/>
  <c r="L16" i="7"/>
  <c r="N16" i="7" s="1"/>
  <c r="H78" i="14"/>
  <c r="B472" i="1"/>
  <c r="L20" i="5"/>
  <c r="L21" i="5"/>
  <c r="L22" i="5"/>
  <c r="L23" i="5"/>
  <c r="L24" i="5"/>
  <c r="L25" i="5"/>
  <c r="L26" i="5"/>
  <c r="L28" i="5"/>
  <c r="A12" i="20" l="1"/>
  <c r="A13" i="20" s="1"/>
  <c r="A14" i="20" s="1"/>
  <c r="L17" i="7"/>
  <c r="N17" i="7" s="1"/>
  <c r="C470" i="1"/>
  <c r="A15" i="20" l="1"/>
  <c r="A16" i="20" s="1"/>
  <c r="A17" i="20" s="1"/>
  <c r="L18" i="7"/>
  <c r="N18" i="7" s="1"/>
  <c r="L19" i="7"/>
  <c r="N19" i="7" s="1"/>
  <c r="C52" i="3"/>
  <c r="R266" i="26"/>
  <c r="E253" i="9"/>
  <c r="A18" i="20" l="1"/>
  <c r="A19" i="20" s="1"/>
  <c r="L20" i="7"/>
  <c r="L264" i="9" a="1"/>
  <c r="L264" i="9" s="1"/>
  <c r="L263" i="9" a="1"/>
  <c r="L263" i="9" s="1"/>
  <c r="L248" i="9"/>
  <c r="L226" i="9"/>
  <c r="L225" i="9"/>
  <c r="L224" i="9"/>
  <c r="L217" i="9"/>
  <c r="L204" i="9"/>
  <c r="L203" i="9"/>
  <c r="L202" i="9"/>
  <c r="L197" i="9"/>
  <c r="O34" i="9"/>
  <c r="O36" i="9" s="1"/>
  <c r="N138" i="5"/>
  <c r="C139" i="5" s="1"/>
  <c r="N129" i="9"/>
  <c r="M129" i="9"/>
  <c r="O25" i="9"/>
  <c r="Q25" i="9" s="1"/>
  <c r="Q24" i="9"/>
  <c r="O23" i="9"/>
  <c r="Q23" i="9" s="1"/>
  <c r="K36" i="35"/>
  <c r="K35" i="35"/>
  <c r="K34" i="35"/>
  <c r="K24" i="35"/>
  <c r="K23" i="35"/>
  <c r="K22" i="35"/>
  <c r="K18" i="35"/>
  <c r="K17" i="35"/>
  <c r="K16" i="35"/>
  <c r="K7" i="35"/>
  <c r="P104" i="5"/>
  <c r="O104" i="5"/>
  <c r="P103" i="5"/>
  <c r="O103" i="5"/>
  <c r="P102" i="5"/>
  <c r="O102" i="5"/>
  <c r="P101" i="5"/>
  <c r="O101" i="5"/>
  <c r="P100" i="5"/>
  <c r="O100" i="5"/>
  <c r="N6" i="5"/>
  <c r="M28" i="4"/>
  <c r="M7" i="4"/>
  <c r="M5" i="4"/>
  <c r="L32" i="3"/>
  <c r="L31" i="3"/>
  <c r="L30" i="3"/>
  <c r="L28" i="3"/>
  <c r="K92" i="2"/>
  <c r="K91" i="2"/>
  <c r="K84" i="2"/>
  <c r="K83" i="2"/>
  <c r="G94" i="2"/>
  <c r="G86" i="2"/>
  <c r="K166" i="2"/>
  <c r="K165" i="2"/>
  <c r="K164" i="2"/>
  <c r="K163" i="2"/>
  <c r="K162" i="2"/>
  <c r="K161" i="2"/>
  <c r="K160" i="2"/>
  <c r="K159" i="2"/>
  <c r="K158" i="2"/>
  <c r="K137" i="2"/>
  <c r="K136" i="2"/>
  <c r="K135" i="2"/>
  <c r="K134" i="2"/>
  <c r="K133" i="2"/>
  <c r="K130" i="2"/>
  <c r="K129" i="2"/>
  <c r="K128" i="2"/>
  <c r="K127" i="2"/>
  <c r="K126" i="2"/>
  <c r="K123" i="2"/>
  <c r="K94" i="2"/>
  <c r="K93" i="2"/>
  <c r="K90" i="2"/>
  <c r="K89" i="2"/>
  <c r="K86" i="2"/>
  <c r="K85" i="2"/>
  <c r="K82" i="2"/>
  <c r="K81" i="2"/>
  <c r="K15" i="2"/>
  <c r="K14" i="2"/>
  <c r="H114" i="24"/>
  <c r="H143" i="9" s="1"/>
  <c r="B447" i="1"/>
  <c r="B316" i="1"/>
  <c r="B315" i="1"/>
  <c r="B314" i="1"/>
  <c r="B313" i="1"/>
  <c r="B312" i="1"/>
  <c r="B311" i="1"/>
  <c r="B310" i="1"/>
  <c r="B309" i="1"/>
  <c r="B306" i="1"/>
  <c r="B305" i="1"/>
  <c r="B304" i="1"/>
  <c r="B308" i="1"/>
  <c r="B307"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3" i="1"/>
  <c r="B252" i="1"/>
  <c r="B251" i="1"/>
  <c r="D143" i="9" l="1"/>
  <c r="A20" i="20"/>
  <c r="A21" i="20" s="1"/>
  <c r="A22" i="20" s="1"/>
  <c r="A23" i="20" s="1"/>
  <c r="K30" i="35"/>
  <c r="N20" i="7"/>
  <c r="L21" i="7"/>
  <c r="N21" i="7" s="1"/>
  <c r="O35" i="9"/>
  <c r="K28" i="35"/>
  <c r="K8" i="35"/>
  <c r="K29" i="35"/>
  <c r="A24" i="20" l="1"/>
  <c r="A25" i="20" s="1"/>
  <c r="A26" i="20" s="1"/>
  <c r="L22" i="7"/>
  <c r="N22" i="7" s="1"/>
  <c r="A27" i="20" l="1"/>
  <c r="A28" i="20" s="1"/>
  <c r="A29" i="20" s="1"/>
  <c r="A30" i="20" s="1"/>
  <c r="A31" i="20" s="1"/>
  <c r="L23" i="7"/>
  <c r="N23" i="7" s="1"/>
  <c r="L28" i="7"/>
  <c r="E155" i="2"/>
  <c r="C14" i="3"/>
  <c r="C10" i="3"/>
  <c r="N28" i="7" l="1"/>
  <c r="L29" i="7"/>
  <c r="I475" i="1"/>
  <c r="B474" i="1"/>
  <c r="C474" i="1" s="1"/>
  <c r="P122" i="5"/>
  <c r="N29" i="7" l="1"/>
  <c r="I470" i="1"/>
  <c r="J470" i="1" s="1"/>
  <c r="K470" i="1"/>
  <c r="K468" i="1"/>
  <c r="K469" i="1"/>
  <c r="I469" i="1"/>
  <c r="J469" i="1" s="1"/>
  <c r="K467" i="1"/>
  <c r="I467" i="1"/>
  <c r="J468" i="1" s="1"/>
  <c r="I468" i="1"/>
  <c r="B5" i="5"/>
  <c r="J467" i="1" l="1"/>
  <c r="P422" i="26" l="1"/>
  <c r="G150" i="24"/>
  <c r="G155" i="24"/>
  <c r="G154" i="24"/>
  <c r="G153" i="24"/>
  <c r="G152" i="24"/>
  <c r="G151" i="24"/>
  <c r="B386" i="9"/>
  <c r="A12" i="8"/>
  <c r="A3" i="8"/>
  <c r="Q311" i="19" a="1"/>
  <c r="Q311" i="19" s="1"/>
  <c r="Q310" i="19" a="1"/>
  <c r="Q310" i="19" s="1"/>
  <c r="Q309" i="19" a="1"/>
  <c r="Q309" i="19" s="1"/>
  <c r="Q308" i="19" a="1"/>
  <c r="Q308" i="19" s="1"/>
  <c r="Q307" i="19" a="1"/>
  <c r="Q307" i="19" s="1"/>
  <c r="Q306" i="19" a="1"/>
  <c r="Q306" i="19" s="1"/>
  <c r="Q305" i="19" a="1"/>
  <c r="Q305" i="19" s="1"/>
  <c r="Q304" i="19" a="1"/>
  <c r="Q304" i="19" s="1"/>
  <c r="Q303" i="19" a="1"/>
  <c r="Q303" i="19" s="1"/>
  <c r="Q302" i="19" a="1"/>
  <c r="Q302" i="19" s="1"/>
  <c r="Q301" i="19" a="1"/>
  <c r="Q301" i="19" s="1"/>
  <c r="Q300" i="19" a="1"/>
  <c r="Q300" i="19" s="1"/>
  <c r="Q299" i="19" a="1"/>
  <c r="Q299" i="19" s="1"/>
  <c r="Q298" i="19" a="1"/>
  <c r="Q298" i="19" s="1"/>
  <c r="Q297" i="19" a="1"/>
  <c r="Q297" i="19" s="1"/>
  <c r="Q296" i="19" a="1"/>
  <c r="Q296" i="19" s="1"/>
  <c r="Q295" i="19" a="1"/>
  <c r="Q295" i="19" s="1"/>
  <c r="Q294" i="19" a="1"/>
  <c r="Q294" i="19" s="1"/>
  <c r="Q293" i="19" a="1"/>
  <c r="Q293" i="19" s="1"/>
  <c r="Q292" i="19" a="1"/>
  <c r="Q292" i="19" s="1"/>
  <c r="Q291" i="19" a="1"/>
  <c r="Q291" i="19" s="1"/>
  <c r="Q290" i="19" a="1"/>
  <c r="Q290" i="19" s="1"/>
  <c r="Q289" i="19" a="1"/>
  <c r="Q289" i="19" s="1"/>
  <c r="Q288" i="19" a="1"/>
  <c r="Q288" i="19" s="1"/>
  <c r="Q287" i="19" a="1"/>
  <c r="Q287" i="19" s="1"/>
  <c r="Q286" i="19" a="1"/>
  <c r="Q286" i="19" s="1"/>
  <c r="Q285" i="19" a="1"/>
  <c r="Q285" i="19" s="1"/>
  <c r="Q284" i="19" a="1"/>
  <c r="Q284" i="19" s="1"/>
  <c r="Q283" i="19" a="1"/>
  <c r="Q283" i="19" s="1"/>
  <c r="Q282" i="19" a="1"/>
  <c r="Q282" i="19" s="1"/>
  <c r="Q281" i="19" a="1"/>
  <c r="Q281" i="19" s="1"/>
  <c r="Q280" i="19" a="1"/>
  <c r="Q280" i="19" s="1"/>
  <c r="Q279" i="19" a="1"/>
  <c r="Q279" i="19" s="1"/>
  <c r="Q278" i="19" a="1"/>
  <c r="Q278" i="19" s="1"/>
  <c r="Q277" i="19" a="1"/>
  <c r="Q277" i="19" s="1"/>
  <c r="Q276" i="19" a="1"/>
  <c r="Q276" i="19" s="1"/>
  <c r="Q275" i="19" a="1"/>
  <c r="Q275" i="19" s="1"/>
  <c r="Q274" i="19" a="1"/>
  <c r="Q274" i="19" s="1"/>
  <c r="Q273" i="19" a="1"/>
  <c r="Q273" i="19" s="1"/>
  <c r="Q272" i="19" a="1"/>
  <c r="Q272" i="19" s="1"/>
  <c r="Q271" i="19" a="1"/>
  <c r="Q271" i="19" s="1"/>
  <c r="Q270" i="19" a="1"/>
  <c r="Q270" i="19" s="1"/>
  <c r="Q269" i="19" a="1"/>
  <c r="Q269" i="19" s="1"/>
  <c r="Q268" i="19" a="1"/>
  <c r="Q268" i="19" s="1"/>
  <c r="Q267" i="19" a="1"/>
  <c r="Q267" i="19" s="1"/>
  <c r="Q266" i="19" a="1"/>
  <c r="Q266" i="19" s="1"/>
  <c r="Q265" i="19" a="1"/>
  <c r="Q265" i="19" s="1"/>
  <c r="Q264" i="19" a="1"/>
  <c r="Q264" i="19" s="1"/>
  <c r="Q263" i="19" a="1"/>
  <c r="Q263" i="19" s="1"/>
  <c r="Q262" i="19" a="1"/>
  <c r="Q262" i="19" s="1"/>
  <c r="Q261" i="19" a="1"/>
  <c r="Q261" i="19" s="1"/>
  <c r="Q260" i="19" a="1"/>
  <c r="Q260" i="19" s="1"/>
  <c r="Q259" i="19" a="1"/>
  <c r="Q259" i="19" s="1"/>
  <c r="Q258" i="19" a="1"/>
  <c r="Q258" i="19" s="1"/>
  <c r="Q257" i="19" a="1"/>
  <c r="Q257" i="19" s="1"/>
  <c r="Q256" i="19" a="1"/>
  <c r="Q256" i="19" s="1"/>
  <c r="Q255" i="19" a="1"/>
  <c r="Q255" i="19" s="1"/>
  <c r="Q254" i="19" a="1"/>
  <c r="Q254" i="19" s="1"/>
  <c r="Q253" i="19" a="1"/>
  <c r="Q253" i="19" s="1"/>
  <c r="Q252" i="19" a="1"/>
  <c r="Q252" i="19" s="1"/>
  <c r="Q251" i="19" a="1"/>
  <c r="Q251" i="19" s="1"/>
  <c r="Q250" i="19" a="1"/>
  <c r="Q250" i="19" s="1"/>
  <c r="Q249" i="19" a="1"/>
  <c r="Q249" i="19" s="1"/>
  <c r="Q248" i="19" a="1"/>
  <c r="Q248" i="19" s="1"/>
  <c r="Q247" i="19" a="1"/>
  <c r="Q247" i="19" s="1"/>
  <c r="Q246" i="19" a="1"/>
  <c r="Q246" i="19" s="1"/>
  <c r="Q245" i="19" a="1"/>
  <c r="Q245" i="19" s="1"/>
  <c r="Q244" i="19" a="1"/>
  <c r="Q244" i="19" s="1"/>
  <c r="Q243" i="19" a="1"/>
  <c r="Q243" i="19" s="1"/>
  <c r="Q242" i="19" a="1"/>
  <c r="Q242" i="19" s="1"/>
  <c r="Q241" i="19" a="1"/>
  <c r="Q241" i="19" s="1"/>
  <c r="Q240" i="19" a="1"/>
  <c r="Q240" i="19" s="1"/>
  <c r="Q239" i="19" a="1"/>
  <c r="Q239" i="19" s="1"/>
  <c r="Q238" i="19" a="1"/>
  <c r="Q238" i="19" s="1"/>
  <c r="Q237" i="19" a="1"/>
  <c r="Q237" i="19" s="1"/>
  <c r="Q236" i="19" a="1"/>
  <c r="Q236" i="19" s="1"/>
  <c r="Q235" i="19" a="1"/>
  <c r="Q235" i="19" s="1"/>
  <c r="Q234" i="19" a="1"/>
  <c r="Q234" i="19" s="1"/>
  <c r="Q233" i="19" a="1"/>
  <c r="Q233" i="19" s="1"/>
  <c r="Q232" i="19" a="1"/>
  <c r="Q232" i="19" s="1"/>
  <c r="Q231" i="19" a="1"/>
  <c r="Q231" i="19" s="1"/>
  <c r="Q230" i="19" a="1"/>
  <c r="Q230" i="19" s="1"/>
  <c r="Q229" i="19" a="1"/>
  <c r="Q229" i="19" s="1"/>
  <c r="Q228" i="19" a="1"/>
  <c r="Q228" i="19" s="1"/>
  <c r="Q227" i="19" a="1"/>
  <c r="Q227" i="19" s="1"/>
  <c r="Q226" i="19" a="1"/>
  <c r="Q226" i="19" s="1"/>
  <c r="Q225" i="19" a="1"/>
  <c r="Q225" i="19" s="1"/>
  <c r="Q224" i="19" a="1"/>
  <c r="Q224" i="19" s="1"/>
  <c r="Q223" i="19" a="1"/>
  <c r="Q223" i="19" s="1"/>
  <c r="Q222" i="19" a="1"/>
  <c r="Q222" i="19" s="1"/>
  <c r="Q221" i="19" a="1"/>
  <c r="Q221" i="19" s="1"/>
  <c r="Q220" i="19" a="1"/>
  <c r="Q220" i="19" s="1"/>
  <c r="Q219" i="19" a="1"/>
  <c r="Q219" i="19" s="1"/>
  <c r="Q218" i="19" a="1"/>
  <c r="Q218" i="19" s="1"/>
  <c r="Q217" i="19" a="1"/>
  <c r="Q217" i="19" s="1"/>
  <c r="Q216" i="19" a="1"/>
  <c r="Q216" i="19" s="1"/>
  <c r="Q215" i="19" a="1"/>
  <c r="Q215" i="19" s="1"/>
  <c r="Q214" i="19" a="1"/>
  <c r="Q214" i="19" s="1"/>
  <c r="Q213" i="19" a="1"/>
  <c r="Q213" i="19" s="1"/>
  <c r="Q212" i="19" a="1"/>
  <c r="Q212" i="19" s="1"/>
  <c r="Q211" i="19" a="1"/>
  <c r="Q211" i="19" s="1"/>
  <c r="Q210" i="19" a="1"/>
  <c r="Q210" i="19" s="1"/>
  <c r="Q209" i="19" a="1"/>
  <c r="Q209" i="19" s="1"/>
  <c r="Q208" i="19" a="1"/>
  <c r="Q208" i="19" s="1"/>
  <c r="Q207" i="19" a="1"/>
  <c r="Q207" i="19" s="1"/>
  <c r="Q206" i="19" a="1"/>
  <c r="Q206" i="19" s="1"/>
  <c r="Q205" i="19" a="1"/>
  <c r="Q205" i="19" s="1"/>
  <c r="Q204" i="19" a="1"/>
  <c r="Q204" i="19" s="1"/>
  <c r="Q203" i="19" a="1"/>
  <c r="Q203" i="19" s="1"/>
  <c r="Q202" i="19" a="1"/>
  <c r="Q202" i="19" s="1"/>
  <c r="Q201" i="19" a="1"/>
  <c r="Q201" i="19" s="1"/>
  <c r="Q200" i="19" a="1"/>
  <c r="Q200" i="19" s="1"/>
  <c r="Q199" i="19" a="1"/>
  <c r="Q199" i="19" s="1"/>
  <c r="Q198" i="19" a="1"/>
  <c r="Q198" i="19" s="1"/>
  <c r="Q197" i="19" a="1"/>
  <c r="Q197" i="19" s="1"/>
  <c r="Q196" i="19" a="1"/>
  <c r="Q196" i="19" s="1"/>
  <c r="Q195" i="19" a="1"/>
  <c r="Q195" i="19" s="1"/>
  <c r="Q194" i="19" a="1"/>
  <c r="Q194" i="19" s="1"/>
  <c r="Q193" i="19" a="1"/>
  <c r="Q193" i="19" s="1"/>
  <c r="Q192" i="19" a="1"/>
  <c r="Q192" i="19" s="1"/>
  <c r="Q191" i="19" a="1"/>
  <c r="Q191" i="19" s="1"/>
  <c r="Q190" i="19" a="1"/>
  <c r="Q190" i="19" s="1"/>
  <c r="Q189" i="19" a="1"/>
  <c r="Q189" i="19" s="1"/>
  <c r="Q188" i="19" a="1"/>
  <c r="Q188" i="19" s="1"/>
  <c r="Q187" i="19" a="1"/>
  <c r="Q187" i="19" s="1"/>
  <c r="Q186" i="19" a="1"/>
  <c r="Q186" i="19" s="1"/>
  <c r="Q185" i="19" a="1"/>
  <c r="Q185" i="19" s="1"/>
  <c r="Q184" i="19" a="1"/>
  <c r="Q184" i="19" s="1"/>
  <c r="Q183" i="19" a="1"/>
  <c r="Q183" i="19" s="1"/>
  <c r="Q182" i="19" a="1"/>
  <c r="Q182" i="19" s="1"/>
  <c r="Q181" i="19" a="1"/>
  <c r="Q181" i="19" s="1"/>
  <c r="Q180" i="19" a="1"/>
  <c r="Q180" i="19" s="1"/>
  <c r="Q179" i="19" a="1"/>
  <c r="Q179" i="19" s="1"/>
  <c r="Q178" i="19" a="1"/>
  <c r="Q178" i="19" s="1"/>
  <c r="Q177" i="19" a="1"/>
  <c r="Q177" i="19" s="1"/>
  <c r="Q176" i="19" a="1"/>
  <c r="Q176" i="19" s="1"/>
  <c r="Q175" i="19" a="1"/>
  <c r="Q175" i="19" s="1"/>
  <c r="Q174" i="19" a="1"/>
  <c r="Q174" i="19" s="1"/>
  <c r="Q173" i="19" a="1"/>
  <c r="Q173" i="19" s="1"/>
  <c r="Q172" i="19" a="1"/>
  <c r="Q172" i="19" s="1"/>
  <c r="Q171" i="19" a="1"/>
  <c r="Q171" i="19" s="1"/>
  <c r="Q170" i="19" a="1"/>
  <c r="Q170" i="19" s="1"/>
  <c r="Q169" i="19" a="1"/>
  <c r="Q169" i="19" s="1"/>
  <c r="Q168" i="19" a="1"/>
  <c r="Q168" i="19" s="1"/>
  <c r="Q167" i="19" a="1"/>
  <c r="Q167" i="19" s="1"/>
  <c r="Q166" i="19" a="1"/>
  <c r="Q166" i="19" s="1"/>
  <c r="Q165" i="19" a="1"/>
  <c r="Q165" i="19" s="1"/>
  <c r="Q164" i="19" a="1"/>
  <c r="Q164" i="19" s="1"/>
  <c r="Q163" i="19" a="1"/>
  <c r="Q163" i="19" s="1"/>
  <c r="Q162" i="19" a="1"/>
  <c r="Q162" i="19" s="1"/>
  <c r="Q161" i="19" a="1"/>
  <c r="Q161" i="19" s="1"/>
  <c r="Q160" i="19" a="1"/>
  <c r="Q160" i="19" s="1"/>
  <c r="Q159" i="19" a="1"/>
  <c r="Q159" i="19" s="1"/>
  <c r="Q158" i="19" a="1"/>
  <c r="Q158" i="19" s="1"/>
  <c r="Q157" i="19" a="1"/>
  <c r="Q157" i="19" s="1"/>
  <c r="Q156" i="19" a="1"/>
  <c r="Q156" i="19" s="1"/>
  <c r="Q155" i="19" a="1"/>
  <c r="Q155" i="19" s="1"/>
  <c r="Q154" i="19" a="1"/>
  <c r="Q154" i="19" s="1"/>
  <c r="Q153" i="19" a="1"/>
  <c r="Q153" i="19" s="1"/>
  <c r="Q152" i="19" a="1"/>
  <c r="Q152" i="19" s="1"/>
  <c r="Q151" i="19" a="1"/>
  <c r="Q151" i="19" s="1"/>
  <c r="Q150" i="19" a="1"/>
  <c r="Q150" i="19" s="1"/>
  <c r="Q149" i="19" a="1"/>
  <c r="Q149" i="19" s="1"/>
  <c r="Q148" i="19" a="1"/>
  <c r="Q148" i="19" s="1"/>
  <c r="Q147" i="19" a="1"/>
  <c r="Q147" i="19" s="1"/>
  <c r="Q146" i="19" a="1"/>
  <c r="Q146" i="19" s="1"/>
  <c r="Q145" i="19" a="1"/>
  <c r="Q145" i="19" s="1"/>
  <c r="Q144" i="19" a="1"/>
  <c r="Q144" i="19" s="1"/>
  <c r="Q143" i="19" a="1"/>
  <c r="Q143" i="19" s="1"/>
  <c r="Q142" i="19" a="1"/>
  <c r="Q142" i="19" s="1"/>
  <c r="Q141" i="19" a="1"/>
  <c r="Q141" i="19" s="1"/>
  <c r="Q140" i="19" a="1"/>
  <c r="Q140" i="19" s="1"/>
  <c r="Q139" i="19" a="1"/>
  <c r="Q139" i="19" s="1"/>
  <c r="Q138" i="19" a="1"/>
  <c r="Q138" i="19" s="1"/>
  <c r="Q137" i="19" a="1"/>
  <c r="Q137" i="19" s="1"/>
  <c r="Q136" i="19" a="1"/>
  <c r="Q136" i="19" s="1"/>
  <c r="Q135" i="19" a="1"/>
  <c r="Q135" i="19" s="1"/>
  <c r="Q134" i="19" a="1"/>
  <c r="Q134" i="19" s="1"/>
  <c r="Q133" i="19" a="1"/>
  <c r="Q133" i="19" s="1"/>
  <c r="Q132" i="19" a="1"/>
  <c r="Q132" i="19" s="1"/>
  <c r="Q131" i="19" a="1"/>
  <c r="Q131" i="19" s="1"/>
  <c r="Q130" i="19" a="1"/>
  <c r="Q130" i="19" s="1"/>
  <c r="Q129" i="19" a="1"/>
  <c r="Q129" i="19" s="1"/>
  <c r="Q128" i="19" a="1"/>
  <c r="Q128" i="19" s="1"/>
  <c r="Q127" i="19" a="1"/>
  <c r="Q127" i="19" s="1"/>
  <c r="Q126" i="19" a="1"/>
  <c r="Q126" i="19" s="1"/>
  <c r="Q125" i="19" a="1"/>
  <c r="Q125" i="19" s="1"/>
  <c r="Q124" i="19" a="1"/>
  <c r="Q124" i="19" s="1"/>
  <c r="Q123" i="19" a="1"/>
  <c r="Q123" i="19" s="1"/>
  <c r="Q122" i="19" a="1"/>
  <c r="Q122" i="19" s="1"/>
  <c r="Q121" i="19" a="1"/>
  <c r="Q121" i="19" s="1"/>
  <c r="Q120" i="19" a="1"/>
  <c r="Q120" i="19" s="1"/>
  <c r="Q119" i="19" a="1"/>
  <c r="Q119" i="19" s="1"/>
  <c r="Q118" i="19" a="1"/>
  <c r="Q118" i="19" s="1"/>
  <c r="Q117" i="19" a="1"/>
  <c r="Q117" i="19" s="1"/>
  <c r="Q116" i="19" a="1"/>
  <c r="Q116" i="19" s="1"/>
  <c r="Q115" i="19" a="1"/>
  <c r="Q115" i="19" s="1"/>
  <c r="Q114" i="19" a="1"/>
  <c r="Q114" i="19" s="1"/>
  <c r="Q113" i="19" a="1"/>
  <c r="Q113" i="19" s="1"/>
  <c r="Q112" i="19" a="1"/>
  <c r="Q112" i="19" s="1"/>
  <c r="Q111" i="19" a="1"/>
  <c r="Q111" i="19" s="1"/>
  <c r="Q110" i="19" a="1"/>
  <c r="Q110" i="19" s="1"/>
  <c r="Q109" i="19" a="1"/>
  <c r="Q109" i="19" s="1"/>
  <c r="Q108" i="19" a="1"/>
  <c r="Q108" i="19" s="1"/>
  <c r="Q107" i="19" a="1"/>
  <c r="Q107" i="19" s="1"/>
  <c r="Q106" i="19" a="1"/>
  <c r="Q106" i="19" s="1"/>
  <c r="Q105" i="19" a="1"/>
  <c r="Q105" i="19" s="1"/>
  <c r="Q104" i="19" a="1"/>
  <c r="Q104" i="19" s="1"/>
  <c r="Q103" i="19" a="1"/>
  <c r="Q103" i="19" s="1"/>
  <c r="Q102" i="19" a="1"/>
  <c r="Q102" i="19" s="1"/>
  <c r="Q101" i="19" a="1"/>
  <c r="Q101" i="19" s="1"/>
  <c r="Q100" i="19" a="1"/>
  <c r="Q100" i="19" s="1"/>
  <c r="Q99" i="19" a="1"/>
  <c r="Q99" i="19" s="1"/>
  <c r="Q98" i="19" a="1"/>
  <c r="Q98" i="19" s="1"/>
  <c r="Q97" i="19" a="1"/>
  <c r="Q97" i="19" s="1"/>
  <c r="Q96" i="19" a="1"/>
  <c r="Q96" i="19" s="1"/>
  <c r="Q95" i="19" a="1"/>
  <c r="Q95" i="19" s="1"/>
  <c r="Q94" i="19" a="1"/>
  <c r="Q94" i="19" s="1"/>
  <c r="Q93" i="19" a="1"/>
  <c r="Q93" i="19" s="1"/>
  <c r="Q92" i="19" a="1"/>
  <c r="Q92" i="19" s="1"/>
  <c r="Q91" i="19" a="1"/>
  <c r="Q91" i="19" s="1"/>
  <c r="Q90" i="19" a="1"/>
  <c r="Q90" i="19" s="1"/>
  <c r="Q89" i="19" a="1"/>
  <c r="Q89" i="19" s="1"/>
  <c r="Q88" i="19" a="1"/>
  <c r="Q88" i="19" s="1"/>
  <c r="Q87" i="19" a="1"/>
  <c r="Q87" i="19" s="1"/>
  <c r="Q86" i="19" a="1"/>
  <c r="Q86" i="19" s="1"/>
  <c r="Q85" i="19" a="1"/>
  <c r="Q85" i="19" s="1"/>
  <c r="Q84" i="19" a="1"/>
  <c r="Q84" i="19" s="1"/>
  <c r="Q83" i="19" a="1"/>
  <c r="Q83" i="19" s="1"/>
  <c r="Q82" i="19" a="1"/>
  <c r="Q82" i="19" s="1"/>
  <c r="Q81" i="19" a="1"/>
  <c r="Q81" i="19" s="1"/>
  <c r="Q80" i="19" a="1"/>
  <c r="Q80" i="19" s="1"/>
  <c r="Q79" i="19" a="1"/>
  <c r="Q79" i="19" s="1"/>
  <c r="Q78" i="19" a="1"/>
  <c r="Q78" i="19" s="1"/>
  <c r="Q77" i="19" a="1"/>
  <c r="Q77" i="19" s="1"/>
  <c r="Q76" i="19" a="1"/>
  <c r="Q76" i="19" s="1"/>
  <c r="Q75" i="19" a="1"/>
  <c r="Q75" i="19" s="1"/>
  <c r="Q74" i="19" a="1"/>
  <c r="Q74" i="19" s="1"/>
  <c r="Q73" i="19" a="1"/>
  <c r="Q73" i="19" s="1"/>
  <c r="Q72" i="19" a="1"/>
  <c r="Q72" i="19" s="1"/>
  <c r="Q71" i="19" a="1"/>
  <c r="Q71" i="19" s="1"/>
  <c r="Q70" i="19" a="1"/>
  <c r="Q70" i="19" s="1"/>
  <c r="Q69" i="19" a="1"/>
  <c r="Q69" i="19" s="1"/>
  <c r="Q68" i="19" a="1"/>
  <c r="Q68" i="19" s="1"/>
  <c r="Q67" i="19" a="1"/>
  <c r="Q67" i="19" s="1"/>
  <c r="Q66" i="19" a="1"/>
  <c r="Q66" i="19" s="1"/>
  <c r="Q65" i="19" a="1"/>
  <c r="Q65" i="19" s="1"/>
  <c r="Q64" i="19" a="1"/>
  <c r="Q64" i="19" s="1"/>
  <c r="Q63" i="19" a="1"/>
  <c r="Q63" i="19" s="1"/>
  <c r="Q62" i="19" a="1"/>
  <c r="Q62" i="19" s="1"/>
  <c r="Q61" i="19" a="1"/>
  <c r="Q61" i="19" s="1"/>
  <c r="Q60" i="19" a="1"/>
  <c r="Q60" i="19" s="1"/>
  <c r="Q59" i="19" a="1"/>
  <c r="Q59" i="19" s="1"/>
  <c r="Q58" i="19" a="1"/>
  <c r="Q58" i="19" s="1"/>
  <c r="Q57" i="19" a="1"/>
  <c r="Q57" i="19" s="1"/>
  <c r="Q56" i="19" a="1"/>
  <c r="Q56" i="19" s="1"/>
  <c r="Q55" i="19" a="1"/>
  <c r="Q55" i="19" s="1"/>
  <c r="Q54" i="19" a="1"/>
  <c r="Q54" i="19" s="1"/>
  <c r="Q53" i="19" a="1"/>
  <c r="Q53" i="19" s="1"/>
  <c r="Q52" i="19" a="1"/>
  <c r="Q52" i="19" s="1"/>
  <c r="Q51" i="19" a="1"/>
  <c r="Q51" i="19" s="1"/>
  <c r="Q50" i="19" a="1"/>
  <c r="Q50" i="19" s="1"/>
  <c r="Q49" i="19" a="1"/>
  <c r="Q49" i="19" s="1"/>
  <c r="Q48" i="19" a="1"/>
  <c r="Q48" i="19" s="1"/>
  <c r="Q47" i="19" a="1"/>
  <c r="Q47" i="19" s="1"/>
  <c r="Q46" i="19" a="1"/>
  <c r="Q46" i="19" s="1"/>
  <c r="Q45" i="19" a="1"/>
  <c r="Q45" i="19" s="1"/>
  <c r="Q44" i="19" a="1"/>
  <c r="Q44" i="19" s="1"/>
  <c r="Q43" i="19" a="1"/>
  <c r="Q43" i="19" s="1"/>
  <c r="Q42" i="19" a="1"/>
  <c r="Q42" i="19" s="1"/>
  <c r="Q41" i="19" a="1"/>
  <c r="Q41" i="19" s="1"/>
  <c r="Q40" i="19" a="1"/>
  <c r="Q40" i="19" s="1"/>
  <c r="Q39" i="19" a="1"/>
  <c r="Q39" i="19" s="1"/>
  <c r="Q38" i="19" a="1"/>
  <c r="Q38" i="19" s="1"/>
  <c r="Q37" i="19" a="1"/>
  <c r="Q37" i="19" s="1"/>
  <c r="Q36" i="19" a="1"/>
  <c r="Q36" i="19" s="1"/>
  <c r="Q35" i="19" a="1"/>
  <c r="Q35" i="19" s="1"/>
  <c r="Q34" i="19" a="1"/>
  <c r="Q34" i="19" s="1"/>
  <c r="Q33" i="19" a="1"/>
  <c r="Q33" i="19" s="1"/>
  <c r="Q32" i="19" a="1"/>
  <c r="Q32" i="19" s="1"/>
  <c r="Q31" i="19" a="1"/>
  <c r="Q31" i="19" s="1"/>
  <c r="Q30" i="19" a="1"/>
  <c r="Q30" i="19" s="1"/>
  <c r="Q29" i="19" a="1"/>
  <c r="Q29" i="19" s="1"/>
  <c r="Q28" i="19" a="1"/>
  <c r="Q28" i="19" s="1"/>
  <c r="Q27" i="19" a="1"/>
  <c r="Q27" i="19" s="1"/>
  <c r="Q26" i="19" a="1"/>
  <c r="Q26" i="19" s="1"/>
  <c r="Q25" i="19" a="1"/>
  <c r="Q25" i="19" s="1"/>
  <c r="Q24" i="19" a="1"/>
  <c r="Q24" i="19" s="1"/>
  <c r="Q23" i="19" a="1"/>
  <c r="Q23" i="19" s="1"/>
  <c r="O21" i="19"/>
  <c r="E292" i="9"/>
  <c r="E291" i="9"/>
  <c r="E290" i="9"/>
  <c r="E289" i="9"/>
  <c r="G175" i="24"/>
  <c r="Q35" i="9"/>
  <c r="F7" i="3"/>
  <c r="G11" i="2"/>
  <c r="P138" i="5"/>
  <c r="K140" i="5"/>
  <c r="I286" i="9"/>
  <c r="I292" i="9" s="1"/>
  <c r="AS177" i="19" l="1" a="1"/>
  <c r="AS177" i="19" s="1"/>
  <c r="AS169" i="19" a="1"/>
  <c r="AS169" i="19" s="1"/>
  <c r="AS161" i="19" a="1"/>
  <c r="AS161" i="19" s="1"/>
  <c r="AS153" i="19" a="1"/>
  <c r="AS153" i="19" s="1"/>
  <c r="AS145" i="19" a="1"/>
  <c r="AS145" i="19" s="1"/>
  <c r="AS137" i="19" a="1"/>
  <c r="AS137" i="19" s="1"/>
  <c r="AS129" i="19" a="1"/>
  <c r="AS129" i="19" s="1"/>
  <c r="AS121" i="19" a="1"/>
  <c r="AS121" i="19" s="1"/>
  <c r="AS113" i="19" a="1"/>
  <c r="AS113" i="19" s="1"/>
  <c r="AS105" i="19" a="1"/>
  <c r="AS105" i="19" s="1"/>
  <c r="AS97" i="19" a="1"/>
  <c r="AS97" i="19" s="1"/>
  <c r="AS89" i="19" a="1"/>
  <c r="AS89" i="19" s="1"/>
  <c r="AS81" i="19" a="1"/>
  <c r="AS81" i="19" s="1"/>
  <c r="AS73" i="19" a="1"/>
  <c r="AS73" i="19" s="1"/>
  <c r="AS65" i="19" a="1"/>
  <c r="AS65" i="19" s="1"/>
  <c r="AS57" i="19" a="1"/>
  <c r="AS57" i="19" s="1"/>
  <c r="AS49" i="19" a="1"/>
  <c r="AS49" i="19" s="1"/>
  <c r="AS41" i="19" a="1"/>
  <c r="AS41" i="19" s="1"/>
  <c r="AS33" i="19" a="1"/>
  <c r="AS33" i="19" s="1"/>
  <c r="AS25" i="19" a="1"/>
  <c r="AS25" i="19" s="1"/>
  <c r="AS176" i="19" a="1"/>
  <c r="AS176" i="19" s="1"/>
  <c r="AS152" i="19" a="1"/>
  <c r="AS152" i="19" s="1"/>
  <c r="AS120" i="19" a="1"/>
  <c r="AS120" i="19" s="1"/>
  <c r="AS104" i="19" a="1"/>
  <c r="AS104" i="19" s="1"/>
  <c r="AS88" i="19" a="1"/>
  <c r="AS88" i="19" s="1"/>
  <c r="AS64" i="19" a="1"/>
  <c r="AS64" i="19" s="1"/>
  <c r="AS48" i="19" a="1"/>
  <c r="AS48" i="19" s="1"/>
  <c r="AS32" i="19" a="1"/>
  <c r="AS32" i="19" s="1"/>
  <c r="AS167" i="19" a="1"/>
  <c r="AS167" i="19" s="1"/>
  <c r="AS151" i="19" a="1"/>
  <c r="AS151" i="19" s="1"/>
  <c r="AS135" i="19" a="1"/>
  <c r="AS135" i="19" s="1"/>
  <c r="AS111" i="19" a="1"/>
  <c r="AS111" i="19" s="1"/>
  <c r="AS95" i="19" a="1"/>
  <c r="AS95" i="19" s="1"/>
  <c r="AS71" i="19" a="1"/>
  <c r="AS71" i="19" s="1"/>
  <c r="AS47" i="19" a="1"/>
  <c r="AS47" i="19" s="1"/>
  <c r="AS23" i="19" a="1"/>
  <c r="AS23" i="19" s="1"/>
  <c r="AS158" i="19" a="1"/>
  <c r="AS158" i="19" s="1"/>
  <c r="AS134" i="19" a="1"/>
  <c r="AS134" i="19" s="1"/>
  <c r="AS110" i="19" a="1"/>
  <c r="AS110" i="19" s="1"/>
  <c r="AS94" i="19" a="1"/>
  <c r="AS94" i="19" s="1"/>
  <c r="AS78" i="19" a="1"/>
  <c r="AS78" i="19" s="1"/>
  <c r="AS54" i="19" a="1"/>
  <c r="AS54" i="19" s="1"/>
  <c r="AS30" i="19" a="1"/>
  <c r="AS30" i="19" s="1"/>
  <c r="AS157" i="19" a="1"/>
  <c r="AS157" i="19" s="1"/>
  <c r="AS141" i="19" a="1"/>
  <c r="AS141" i="19" s="1"/>
  <c r="AS125" i="19" a="1"/>
  <c r="AS125" i="19" s="1"/>
  <c r="AS101" i="19" a="1"/>
  <c r="AS101" i="19" s="1"/>
  <c r="AS77" i="19" a="1"/>
  <c r="AS77" i="19" s="1"/>
  <c r="AS53" i="19" a="1"/>
  <c r="AS53" i="19" s="1"/>
  <c r="AS37" i="19" a="1"/>
  <c r="AS37" i="19" s="1"/>
  <c r="AS164" i="19" a="1"/>
  <c r="AS164" i="19" s="1"/>
  <c r="AS124" i="19" a="1"/>
  <c r="AS124" i="19" s="1"/>
  <c r="AS92" i="19" a="1"/>
  <c r="AS92" i="19" s="1"/>
  <c r="AS76" i="19" a="1"/>
  <c r="AS76" i="19" s="1"/>
  <c r="AS52" i="19" a="1"/>
  <c r="AS52" i="19" s="1"/>
  <c r="AS28" i="19" a="1"/>
  <c r="AS28" i="19" s="1"/>
  <c r="AS155" i="19" a="1"/>
  <c r="AS155" i="19" s="1"/>
  <c r="AS131" i="19" a="1"/>
  <c r="AS131" i="19" s="1"/>
  <c r="AS107" i="19" a="1"/>
  <c r="AS107" i="19" s="1"/>
  <c r="AS83" i="19" a="1"/>
  <c r="AS83" i="19" s="1"/>
  <c r="AS51" i="19" a="1"/>
  <c r="AS51" i="19" s="1"/>
  <c r="AS168" i="19" a="1"/>
  <c r="AS168" i="19" s="1"/>
  <c r="AS128" i="19" a="1"/>
  <c r="AS128" i="19" s="1"/>
  <c r="AS72" i="19" a="1"/>
  <c r="AS72" i="19" s="1"/>
  <c r="AS159" i="19" a="1"/>
  <c r="AS159" i="19" s="1"/>
  <c r="AS119" i="19" a="1"/>
  <c r="AS119" i="19" s="1"/>
  <c r="AS87" i="19" a="1"/>
  <c r="AS87" i="19" s="1"/>
  <c r="AS63" i="19" a="1"/>
  <c r="AS63" i="19" s="1"/>
  <c r="AS39" i="19" a="1"/>
  <c r="AS39" i="19" s="1"/>
  <c r="AS166" i="19" a="1"/>
  <c r="AS166" i="19" s="1"/>
  <c r="AS142" i="19" a="1"/>
  <c r="AS142" i="19" s="1"/>
  <c r="AS118" i="19" a="1"/>
  <c r="AS118" i="19" s="1"/>
  <c r="AS86" i="19" a="1"/>
  <c r="AS86" i="19" s="1"/>
  <c r="AS70" i="19" a="1"/>
  <c r="AS70" i="19" s="1"/>
  <c r="AS46" i="19" a="1"/>
  <c r="AS46" i="19" s="1"/>
  <c r="AS173" i="19" a="1"/>
  <c r="AS173" i="19" s="1"/>
  <c r="AS133" i="19" a="1"/>
  <c r="AS133" i="19" s="1"/>
  <c r="AS109" i="19" a="1"/>
  <c r="AS109" i="19" s="1"/>
  <c r="AS85" i="19" a="1"/>
  <c r="AS85" i="19" s="1"/>
  <c r="AS69" i="19" a="1"/>
  <c r="AS69" i="19" s="1"/>
  <c r="AS45" i="19" a="1"/>
  <c r="AS45" i="19" s="1"/>
  <c r="AS172" i="19" a="1"/>
  <c r="AS172" i="19" s="1"/>
  <c r="AS148" i="19" a="1"/>
  <c r="AS148" i="19" s="1"/>
  <c r="AS140" i="19" a="1"/>
  <c r="AS140" i="19" s="1"/>
  <c r="AS116" i="19" a="1"/>
  <c r="AS116" i="19" s="1"/>
  <c r="AS100" i="19" a="1"/>
  <c r="AS100" i="19" s="1"/>
  <c r="AS68" i="19" a="1"/>
  <c r="AS68" i="19" s="1"/>
  <c r="AS36" i="19" a="1"/>
  <c r="AS36" i="19" s="1"/>
  <c r="AS171" i="19" a="1"/>
  <c r="AS171" i="19" s="1"/>
  <c r="AS147" i="19" a="1"/>
  <c r="AS147" i="19" s="1"/>
  <c r="AS123" i="19" a="1"/>
  <c r="AS123" i="19" s="1"/>
  <c r="AS91" i="19" a="1"/>
  <c r="AS91" i="19" s="1"/>
  <c r="AS59" i="19" a="1"/>
  <c r="AS59" i="19" s="1"/>
  <c r="AS27" i="19" a="1"/>
  <c r="AS27" i="19" s="1"/>
  <c r="AS174" i="19" a="1"/>
  <c r="AS174" i="19" s="1"/>
  <c r="AS43" i="19" a="1"/>
  <c r="AS43" i="19" s="1"/>
  <c r="AS181" i="19" a="1"/>
  <c r="AS181" i="19" s="1"/>
  <c r="AS180" i="19" a="1"/>
  <c r="AS180" i="19" s="1"/>
  <c r="AS67" i="19" a="1"/>
  <c r="AS67" i="19" s="1"/>
  <c r="AS179" i="19" a="1"/>
  <c r="AS179" i="19" s="1"/>
  <c r="AS178" i="19" a="1"/>
  <c r="AS178" i="19" s="1"/>
  <c r="AS170" i="19" a="1"/>
  <c r="AS170" i="19" s="1"/>
  <c r="AS162" i="19" a="1"/>
  <c r="AS162" i="19" s="1"/>
  <c r="AS154" i="19" a="1"/>
  <c r="AS154" i="19" s="1"/>
  <c r="AS146" i="19" a="1"/>
  <c r="AS146" i="19" s="1"/>
  <c r="AS138" i="19" a="1"/>
  <c r="AS138" i="19" s="1"/>
  <c r="AS130" i="19" a="1"/>
  <c r="AS130" i="19" s="1"/>
  <c r="AS122" i="19" a="1"/>
  <c r="AS122" i="19" s="1"/>
  <c r="AS114" i="19" a="1"/>
  <c r="AS114" i="19" s="1"/>
  <c r="AS106" i="19" a="1"/>
  <c r="AS106" i="19" s="1"/>
  <c r="AS98" i="19" a="1"/>
  <c r="AS98" i="19" s="1"/>
  <c r="AS90" i="19" a="1"/>
  <c r="AS90" i="19" s="1"/>
  <c r="AS82" i="19" a="1"/>
  <c r="AS82" i="19" s="1"/>
  <c r="AS74" i="19" a="1"/>
  <c r="AS74" i="19" s="1"/>
  <c r="AS66" i="19" a="1"/>
  <c r="AS66" i="19" s="1"/>
  <c r="AS58" i="19" a="1"/>
  <c r="AS58" i="19" s="1"/>
  <c r="AS50" i="19" a="1"/>
  <c r="AS50" i="19" s="1"/>
  <c r="AS42" i="19" a="1"/>
  <c r="AS42" i="19" s="1"/>
  <c r="AS34" i="19" a="1"/>
  <c r="AS34" i="19" s="1"/>
  <c r="AS26" i="19" a="1"/>
  <c r="AS26" i="19" s="1"/>
  <c r="AS160" i="19" a="1"/>
  <c r="AS160" i="19" s="1"/>
  <c r="AS144" i="19" a="1"/>
  <c r="AS144" i="19" s="1"/>
  <c r="AS136" i="19" a="1"/>
  <c r="AS136" i="19" s="1"/>
  <c r="AS112" i="19" a="1"/>
  <c r="AS112" i="19" s="1"/>
  <c r="AS96" i="19" a="1"/>
  <c r="AS96" i="19" s="1"/>
  <c r="AS80" i="19" a="1"/>
  <c r="AS80" i="19" s="1"/>
  <c r="AS56" i="19" a="1"/>
  <c r="AS56" i="19" s="1"/>
  <c r="AS40" i="19" a="1"/>
  <c r="AS40" i="19" s="1"/>
  <c r="AS24" i="19" a="1"/>
  <c r="AS24" i="19" s="1"/>
  <c r="AS175" i="19" a="1"/>
  <c r="AS175" i="19" s="1"/>
  <c r="AS143" i="19" a="1"/>
  <c r="AS143" i="19" s="1"/>
  <c r="AS127" i="19" a="1"/>
  <c r="AS127" i="19" s="1"/>
  <c r="AS103" i="19" a="1"/>
  <c r="AS103" i="19" s="1"/>
  <c r="AS79" i="19" a="1"/>
  <c r="AS79" i="19" s="1"/>
  <c r="AS55" i="19" a="1"/>
  <c r="AS55" i="19" s="1"/>
  <c r="AS31" i="19" a="1"/>
  <c r="AS31" i="19" s="1"/>
  <c r="AS150" i="19" a="1"/>
  <c r="AS150" i="19" s="1"/>
  <c r="AS126" i="19" a="1"/>
  <c r="AS126" i="19" s="1"/>
  <c r="AS102" i="19" a="1"/>
  <c r="AS102" i="19" s="1"/>
  <c r="AS62" i="19" a="1"/>
  <c r="AS62" i="19" s="1"/>
  <c r="AS38" i="19" a="1"/>
  <c r="AS38" i="19" s="1"/>
  <c r="AS165" i="19" a="1"/>
  <c r="AS165" i="19" s="1"/>
  <c r="AS149" i="19" a="1"/>
  <c r="AS149" i="19" s="1"/>
  <c r="AS117" i="19" a="1"/>
  <c r="AS117" i="19" s="1"/>
  <c r="AS93" i="19" a="1"/>
  <c r="AS93" i="19" s="1"/>
  <c r="AS61" i="19" a="1"/>
  <c r="AS61" i="19" s="1"/>
  <c r="AS29" i="19" a="1"/>
  <c r="AS29" i="19" s="1"/>
  <c r="AS156" i="19" a="1"/>
  <c r="AS156" i="19" s="1"/>
  <c r="AS132" i="19" a="1"/>
  <c r="AS132" i="19" s="1"/>
  <c r="AS108" i="19" a="1"/>
  <c r="AS108" i="19" s="1"/>
  <c r="AS84" i="19" a="1"/>
  <c r="AS84" i="19" s="1"/>
  <c r="AS60" i="19" a="1"/>
  <c r="AS60" i="19" s="1"/>
  <c r="AS44" i="19" a="1"/>
  <c r="AS44" i="19" s="1"/>
  <c r="AS163" i="19" a="1"/>
  <c r="AS163" i="19" s="1"/>
  <c r="AS139" i="19" a="1"/>
  <c r="AS139" i="19" s="1"/>
  <c r="AS115" i="19" a="1"/>
  <c r="AS115" i="19" s="1"/>
  <c r="AS99" i="19" a="1"/>
  <c r="AS99" i="19" s="1"/>
  <c r="AS75" i="19" a="1"/>
  <c r="AS75" i="19" s="1"/>
  <c r="AS35" i="19" a="1"/>
  <c r="AS35" i="19" s="1"/>
  <c r="O175" i="19" a="1"/>
  <c r="O175" i="19" s="1"/>
  <c r="O24" i="19" a="1"/>
  <c r="O24" i="19" s="1"/>
  <c r="O32" i="19" a="1"/>
  <c r="O32" i="19" s="1"/>
  <c r="O40" i="19" a="1"/>
  <c r="O40" i="19" s="1"/>
  <c r="O48" i="19" a="1"/>
  <c r="O48" i="19" s="1"/>
  <c r="O56" i="19" a="1"/>
  <c r="O56" i="19" s="1"/>
  <c r="O64" i="19" a="1"/>
  <c r="O64" i="19" s="1"/>
  <c r="O72" i="19" a="1"/>
  <c r="O72" i="19" s="1"/>
  <c r="O80" i="19" a="1"/>
  <c r="O80" i="19" s="1"/>
  <c r="O88" i="19" a="1"/>
  <c r="O88" i="19" s="1"/>
  <c r="O96" i="19" a="1"/>
  <c r="O96" i="19" s="1"/>
  <c r="O104" i="19" a="1"/>
  <c r="O104" i="19" s="1"/>
  <c r="O112" i="19" a="1"/>
  <c r="O112" i="19" s="1"/>
  <c r="O120" i="19" a="1"/>
  <c r="O120" i="19" s="1"/>
  <c r="O128" i="19" a="1"/>
  <c r="O128" i="19" s="1"/>
  <c r="O136" i="19" a="1"/>
  <c r="O136" i="19" s="1"/>
  <c r="O144" i="19" a="1"/>
  <c r="O144" i="19" s="1"/>
  <c r="O152" i="19" a="1"/>
  <c r="O152" i="19" s="1"/>
  <c r="O160" i="19" a="1"/>
  <c r="O160" i="19" s="1"/>
  <c r="O168" i="19" a="1"/>
  <c r="O168" i="19" s="1"/>
  <c r="O176" i="19" a="1"/>
  <c r="O176" i="19" s="1"/>
  <c r="O25" i="19" a="1"/>
  <c r="O25" i="19" s="1"/>
  <c r="O33" i="19" a="1"/>
  <c r="O33" i="19" s="1"/>
  <c r="O41" i="19" a="1"/>
  <c r="O41" i="19" s="1"/>
  <c r="O49" i="19" a="1"/>
  <c r="O49" i="19" s="1"/>
  <c r="O57" i="19" a="1"/>
  <c r="O57" i="19" s="1"/>
  <c r="O65" i="19" a="1"/>
  <c r="O65" i="19" s="1"/>
  <c r="O73" i="19" a="1"/>
  <c r="O73" i="19" s="1"/>
  <c r="O81" i="19" a="1"/>
  <c r="O81" i="19" s="1"/>
  <c r="O89" i="19" a="1"/>
  <c r="O89" i="19" s="1"/>
  <c r="O97" i="19" a="1"/>
  <c r="O97" i="19" s="1"/>
  <c r="O105" i="19" a="1"/>
  <c r="O105" i="19" s="1"/>
  <c r="O113" i="19" a="1"/>
  <c r="O113" i="19" s="1"/>
  <c r="O121" i="19" a="1"/>
  <c r="O121" i="19" s="1"/>
  <c r="O129" i="19" a="1"/>
  <c r="O129" i="19" s="1"/>
  <c r="O137" i="19" a="1"/>
  <c r="O137" i="19" s="1"/>
  <c r="O145" i="19" a="1"/>
  <c r="O145" i="19" s="1"/>
  <c r="O153" i="19" a="1"/>
  <c r="O153" i="19" s="1"/>
  <c r="O161" i="19" a="1"/>
  <c r="O161" i="19" s="1"/>
  <c r="O169" i="19" a="1"/>
  <c r="O169" i="19" s="1"/>
  <c r="O177" i="19" a="1"/>
  <c r="O177" i="19" s="1"/>
  <c r="O26" i="19" a="1"/>
  <c r="O26" i="19" s="1"/>
  <c r="O34" i="19" a="1"/>
  <c r="O34" i="19" s="1"/>
  <c r="O42" i="19" a="1"/>
  <c r="O42" i="19" s="1"/>
  <c r="O50" i="19" a="1"/>
  <c r="O50" i="19" s="1"/>
  <c r="O58" i="19" a="1"/>
  <c r="O58" i="19" s="1"/>
  <c r="O66" i="19" a="1"/>
  <c r="O66" i="19" s="1"/>
  <c r="O74" i="19" a="1"/>
  <c r="O74" i="19" s="1"/>
  <c r="O82" i="19" a="1"/>
  <c r="O82" i="19" s="1"/>
  <c r="O90" i="19" a="1"/>
  <c r="O90" i="19" s="1"/>
  <c r="O98" i="19" a="1"/>
  <c r="O98" i="19" s="1"/>
  <c r="O106" i="19" a="1"/>
  <c r="O106" i="19" s="1"/>
  <c r="O114" i="19" a="1"/>
  <c r="O114" i="19" s="1"/>
  <c r="O122" i="19" a="1"/>
  <c r="O122" i="19" s="1"/>
  <c r="O130" i="19" a="1"/>
  <c r="O130" i="19" s="1"/>
  <c r="O138" i="19" a="1"/>
  <c r="O138" i="19" s="1"/>
  <c r="O146" i="19" a="1"/>
  <c r="O146" i="19" s="1"/>
  <c r="O154" i="19" a="1"/>
  <c r="O154" i="19" s="1"/>
  <c r="O162" i="19" a="1"/>
  <c r="O162" i="19" s="1"/>
  <c r="O170" i="19" a="1"/>
  <c r="O170" i="19" s="1"/>
  <c r="O178" i="19" a="1"/>
  <c r="O178" i="19" s="1"/>
  <c r="O27" i="19" a="1"/>
  <c r="O27" i="19" s="1"/>
  <c r="O35" i="19" a="1"/>
  <c r="O35" i="19" s="1"/>
  <c r="O43" i="19" a="1"/>
  <c r="O43" i="19" s="1"/>
  <c r="O51" i="19" a="1"/>
  <c r="O51" i="19" s="1"/>
  <c r="O59" i="19" a="1"/>
  <c r="O59" i="19" s="1"/>
  <c r="O67" i="19" a="1"/>
  <c r="O67" i="19" s="1"/>
  <c r="O75" i="19" a="1"/>
  <c r="O75" i="19" s="1"/>
  <c r="O83" i="19" a="1"/>
  <c r="O83" i="19" s="1"/>
  <c r="O91" i="19" a="1"/>
  <c r="O91" i="19" s="1"/>
  <c r="O99" i="19" a="1"/>
  <c r="O99" i="19" s="1"/>
  <c r="O107" i="19" a="1"/>
  <c r="O107" i="19" s="1"/>
  <c r="O115" i="19" a="1"/>
  <c r="O115" i="19" s="1"/>
  <c r="O123" i="19" a="1"/>
  <c r="O123" i="19" s="1"/>
  <c r="O131" i="19" a="1"/>
  <c r="O131" i="19" s="1"/>
  <c r="O139" i="19" a="1"/>
  <c r="O139" i="19" s="1"/>
  <c r="O147" i="19" a="1"/>
  <c r="O147" i="19" s="1"/>
  <c r="O155" i="19" a="1"/>
  <c r="O155" i="19" s="1"/>
  <c r="O163" i="19" a="1"/>
  <c r="O163" i="19" s="1"/>
  <c r="O171" i="19" a="1"/>
  <c r="O171" i="19" s="1"/>
  <c r="O179" i="19" a="1"/>
  <c r="O179" i="19" s="1"/>
  <c r="O28" i="19" a="1"/>
  <c r="O28" i="19" s="1"/>
  <c r="O36" i="19" a="1"/>
  <c r="O36" i="19" s="1"/>
  <c r="O44" i="19" a="1"/>
  <c r="O44" i="19" s="1"/>
  <c r="O52" i="19" a="1"/>
  <c r="O52" i="19" s="1"/>
  <c r="O60" i="19" a="1"/>
  <c r="O60" i="19" s="1"/>
  <c r="O68" i="19" a="1"/>
  <c r="O68" i="19" s="1"/>
  <c r="O76" i="19" a="1"/>
  <c r="O76" i="19" s="1"/>
  <c r="O84" i="19" a="1"/>
  <c r="O84" i="19" s="1"/>
  <c r="O92" i="19" a="1"/>
  <c r="O92" i="19" s="1"/>
  <c r="O100" i="19" a="1"/>
  <c r="O100" i="19" s="1"/>
  <c r="O108" i="19" a="1"/>
  <c r="O108" i="19" s="1"/>
  <c r="O116" i="19" a="1"/>
  <c r="O116" i="19" s="1"/>
  <c r="O124" i="19" a="1"/>
  <c r="O124" i="19" s="1"/>
  <c r="O132" i="19" a="1"/>
  <c r="O132" i="19" s="1"/>
  <c r="O140" i="19" a="1"/>
  <c r="O140" i="19" s="1"/>
  <c r="O148" i="19" a="1"/>
  <c r="O148" i="19" s="1"/>
  <c r="O156" i="19" a="1"/>
  <c r="O156" i="19" s="1"/>
  <c r="O164" i="19" a="1"/>
  <c r="O164" i="19" s="1"/>
  <c r="O172" i="19" a="1"/>
  <c r="O172" i="19" s="1"/>
  <c r="O180" i="19" a="1"/>
  <c r="O180" i="19" s="1"/>
  <c r="O29" i="19" a="1"/>
  <c r="O29" i="19" s="1"/>
  <c r="O45" i="19" a="1"/>
  <c r="O45" i="19" s="1"/>
  <c r="O53" i="19" a="1"/>
  <c r="O53" i="19" s="1"/>
  <c r="O61" i="19" a="1"/>
  <c r="O61" i="19" s="1"/>
  <c r="O69" i="19" a="1"/>
  <c r="O69" i="19" s="1"/>
  <c r="O77" i="19" a="1"/>
  <c r="O77" i="19" s="1"/>
  <c r="O85" i="19" a="1"/>
  <c r="O85" i="19" s="1"/>
  <c r="O93" i="19" a="1"/>
  <c r="O93" i="19" s="1"/>
  <c r="O101" i="19" a="1"/>
  <c r="O101" i="19" s="1"/>
  <c r="O109" i="19" a="1"/>
  <c r="O109" i="19" s="1"/>
  <c r="O117" i="19" a="1"/>
  <c r="O117" i="19" s="1"/>
  <c r="O125" i="19" a="1"/>
  <c r="O125" i="19" s="1"/>
  <c r="O133" i="19" a="1"/>
  <c r="O133" i="19" s="1"/>
  <c r="O141" i="19" a="1"/>
  <c r="O141" i="19" s="1"/>
  <c r="O149" i="19" a="1"/>
  <c r="O149" i="19" s="1"/>
  <c r="O157" i="19" a="1"/>
  <c r="O157" i="19" s="1"/>
  <c r="O165" i="19" a="1"/>
  <c r="O165" i="19" s="1"/>
  <c r="O173" i="19" a="1"/>
  <c r="O173" i="19" s="1"/>
  <c r="O181" i="19" a="1"/>
  <c r="O181" i="19" s="1"/>
  <c r="O62" i="19" a="1"/>
  <c r="O62" i="19" s="1"/>
  <c r="O94" i="19" a="1"/>
  <c r="O94" i="19" s="1"/>
  <c r="O134" i="19" a="1"/>
  <c r="O134" i="19" s="1"/>
  <c r="O37" i="19" a="1"/>
  <c r="O37" i="19" s="1"/>
  <c r="O30" i="19" a="1"/>
  <c r="O30" i="19" s="1"/>
  <c r="O38" i="19" a="1"/>
  <c r="O38" i="19" s="1"/>
  <c r="O46" i="19" a="1"/>
  <c r="O46" i="19" s="1"/>
  <c r="O54" i="19" a="1"/>
  <c r="O54" i="19" s="1"/>
  <c r="O70" i="19" a="1"/>
  <c r="O70" i="19" s="1"/>
  <c r="O78" i="19" a="1"/>
  <c r="O78" i="19" s="1"/>
  <c r="O86" i="19" a="1"/>
  <c r="O86" i="19" s="1"/>
  <c r="O102" i="19" a="1"/>
  <c r="O102" i="19" s="1"/>
  <c r="O110" i="19" a="1"/>
  <c r="O110" i="19" s="1"/>
  <c r="O118" i="19" a="1"/>
  <c r="O118" i="19" s="1"/>
  <c r="O126" i="19" a="1"/>
  <c r="O126" i="19" s="1"/>
  <c r="O142" i="19" a="1"/>
  <c r="O142" i="19" s="1"/>
  <c r="O150" i="19" a="1"/>
  <c r="O150" i="19" s="1"/>
  <c r="O158" i="19" a="1"/>
  <c r="O158" i="19" s="1"/>
  <c r="O166" i="19" a="1"/>
  <c r="O166" i="19" s="1"/>
  <c r="O174" i="19" a="1"/>
  <c r="O174" i="19" s="1"/>
  <c r="O23" i="19" a="1"/>
  <c r="O23" i="19" s="1"/>
  <c r="O31" i="19" a="1"/>
  <c r="O31" i="19" s="1"/>
  <c r="O39" i="19" a="1"/>
  <c r="O39" i="19" s="1"/>
  <c r="O47" i="19" a="1"/>
  <c r="O47" i="19" s="1"/>
  <c r="O55" i="19" a="1"/>
  <c r="O55" i="19" s="1"/>
  <c r="O63" i="19" a="1"/>
  <c r="O63" i="19" s="1"/>
  <c r="O71" i="19" a="1"/>
  <c r="O71" i="19" s="1"/>
  <c r="O79" i="19" a="1"/>
  <c r="O79" i="19" s="1"/>
  <c r="O87" i="19" a="1"/>
  <c r="O87" i="19" s="1"/>
  <c r="O95" i="19" a="1"/>
  <c r="O95" i="19" s="1"/>
  <c r="O103" i="19" a="1"/>
  <c r="O103" i="19" s="1"/>
  <c r="O111" i="19" a="1"/>
  <c r="O111" i="19" s="1"/>
  <c r="O119" i="19" a="1"/>
  <c r="O119" i="19" s="1"/>
  <c r="O127" i="19" a="1"/>
  <c r="O127" i="19" s="1"/>
  <c r="O135" i="19" a="1"/>
  <c r="O135" i="19" s="1"/>
  <c r="O143" i="19" a="1"/>
  <c r="O143" i="19" s="1"/>
  <c r="O151" i="19" a="1"/>
  <c r="O151" i="19" s="1"/>
  <c r="O159" i="19" a="1"/>
  <c r="O159" i="19" s="1"/>
  <c r="O167" i="19" a="1"/>
  <c r="O167" i="19" s="1"/>
  <c r="B136" i="5"/>
  <c r="O138" i="5"/>
  <c r="G176" i="24"/>
  <c r="B5" i="4" l="1"/>
  <c r="B40" i="35"/>
  <c r="B32" i="35"/>
  <c r="B14" i="35"/>
  <c r="B20" i="35"/>
  <c r="B26" i="35"/>
  <c r="M33" i="35"/>
  <c r="M27" i="35"/>
  <c r="M21" i="35"/>
  <c r="M15" i="35"/>
  <c r="N39" i="14"/>
  <c r="L37" i="14"/>
  <c r="L40" i="14" s="1"/>
  <c r="F19" i="14"/>
  <c r="B7" i="4" l="1"/>
  <c r="C17" i="3"/>
  <c r="C12" i="3" l="1"/>
  <c r="M367" i="1" l="1"/>
  <c r="M368" i="1"/>
  <c r="M369" i="1"/>
  <c r="M370" i="1"/>
  <c r="M371" i="1"/>
  <c r="M366" i="1"/>
  <c r="J22" i="4"/>
  <c r="O21" i="4" l="1"/>
  <c r="C384" i="9"/>
  <c r="H30" i="9"/>
  <c r="C278" i="9"/>
  <c r="C277" i="9"/>
  <c r="A5" i="8"/>
  <c r="A23" i="2"/>
  <c r="A22" i="2"/>
  <c r="A21" i="2"/>
  <c r="A20" i="2"/>
  <c r="A19" i="2"/>
  <c r="A15" i="2"/>
  <c r="A14" i="2"/>
  <c r="A14" i="7"/>
  <c r="P29" i="7"/>
  <c r="P28" i="7"/>
  <c r="P23" i="7"/>
  <c r="P21" i="7"/>
  <c r="P20" i="7"/>
  <c r="P19" i="7"/>
  <c r="P17" i="7"/>
  <c r="P16" i="7"/>
  <c r="P15" i="7"/>
  <c r="O29" i="7"/>
  <c r="O28" i="7"/>
  <c r="O23" i="7"/>
  <c r="O22" i="7"/>
  <c r="O21" i="7"/>
  <c r="O20" i="7"/>
  <c r="O19" i="7"/>
  <c r="O18" i="7"/>
  <c r="O17" i="7"/>
  <c r="O16" i="7"/>
  <c r="O15" i="7"/>
  <c r="O14" i="7"/>
  <c r="A29" i="7"/>
  <c r="A28" i="7"/>
  <c r="A23" i="7"/>
  <c r="A22" i="7"/>
  <c r="A21" i="7"/>
  <c r="A20" i="7"/>
  <c r="A19" i="7"/>
  <c r="A18" i="7"/>
  <c r="A17" i="7"/>
  <c r="A16" i="7"/>
  <c r="A15" i="7"/>
  <c r="A7" i="35"/>
  <c r="A8" i="35" l="1"/>
  <c r="A21" i="8"/>
  <c r="A20" i="8"/>
  <c r="A19" i="8"/>
  <c r="A18" i="8"/>
  <c r="A17" i="8"/>
  <c r="A10" i="8"/>
  <c r="A9" i="8"/>
  <c r="A8" i="8"/>
  <c r="A7" i="8"/>
  <c r="A6" i="8"/>
  <c r="E233" i="1" l="1"/>
  <c r="E234" i="1"/>
  <c r="B232" i="1"/>
  <c r="C233" i="1" s="1"/>
  <c r="C237" i="1"/>
  <c r="C236" i="1"/>
  <c r="C235" i="1"/>
  <c r="C234" i="1"/>
  <c r="D227" i="1"/>
  <c r="E35" i="3" s="1"/>
  <c r="Q196" i="1"/>
  <c r="S196" i="1" s="1"/>
  <c r="G196" i="1"/>
  <c r="D226" i="1" l="1"/>
  <c r="F226" i="1" s="1"/>
  <c r="R196" i="1"/>
  <c r="Q173" i="1"/>
  <c r="R173" i="1" s="1"/>
  <c r="H153" i="1" a="1"/>
  <c r="H153" i="1" s="1"/>
  <c r="H152" i="1" a="1"/>
  <c r="H152" i="1" s="1"/>
  <c r="H151" i="1" a="1"/>
  <c r="H151" i="1" s="1"/>
  <c r="H149" i="1" a="1"/>
  <c r="H149" i="1" s="1"/>
  <c r="F227" i="1" l="1"/>
  <c r="S173" i="1"/>
  <c r="B198" i="1" l="1"/>
  <c r="B166" i="1"/>
  <c r="B159" i="1"/>
  <c r="B175" i="1"/>
  <c r="B169" i="1"/>
  <c r="B170" i="1"/>
  <c r="Q164" i="1" l="1"/>
  <c r="S164" i="1" s="1"/>
  <c r="G164" i="1"/>
  <c r="B178" i="1"/>
  <c r="B192" i="1"/>
  <c r="A182" i="1"/>
  <c r="A178" i="1"/>
  <c r="B201" i="1"/>
  <c r="A169" i="1"/>
  <c r="A205" i="1"/>
  <c r="A201" i="1"/>
  <c r="B193" i="1"/>
  <c r="B10" i="19"/>
  <c r="D10" i="19" s="1"/>
  <c r="A168" i="2" a="1"/>
  <c r="A168" i="2" s="1"/>
  <c r="M178" i="2"/>
  <c r="L178" i="2"/>
  <c r="B169" i="2"/>
  <c r="B173" i="2" s="1"/>
  <c r="B177" i="2" s="1"/>
  <c r="M174" i="2"/>
  <c r="L174" i="2"/>
  <c r="G10" i="19" l="1"/>
  <c r="Q10" i="19" s="1"/>
  <c r="F10" i="19"/>
  <c r="R164" i="1"/>
  <c r="B252" i="9"/>
  <c r="I10" i="19" l="1"/>
  <c r="B398" i="9"/>
  <c r="G5" i="36" l="1"/>
  <c r="N145" i="26"/>
  <c r="N144" i="26"/>
  <c r="H145" i="26"/>
  <c r="H144" i="26"/>
  <c r="N78" i="26"/>
  <c r="H78" i="26"/>
  <c r="N79" i="26"/>
  <c r="H79" i="26"/>
  <c r="M36" i="35"/>
  <c r="L36" i="35"/>
  <c r="M35" i="35"/>
  <c r="L35" i="35"/>
  <c r="M34" i="35"/>
  <c r="L34" i="35"/>
  <c r="M30" i="35"/>
  <c r="L30" i="35"/>
  <c r="M29" i="35"/>
  <c r="L29" i="35"/>
  <c r="M28" i="35"/>
  <c r="L28" i="35"/>
  <c r="M24" i="35"/>
  <c r="L24" i="35"/>
  <c r="M23" i="35"/>
  <c r="L23" i="35"/>
  <c r="M22" i="35"/>
  <c r="L22" i="35"/>
  <c r="M18" i="35"/>
  <c r="L18" i="35"/>
  <c r="M17" i="35"/>
  <c r="L17" i="35"/>
  <c r="M16" i="35"/>
  <c r="L16" i="35"/>
  <c r="B276" i="9" l="1"/>
  <c r="B11" i="7"/>
  <c r="C4" i="3"/>
  <c r="M170" i="2"/>
  <c r="L170" i="2"/>
  <c r="C4" i="4"/>
  <c r="C33" i="2"/>
  <c r="H246" i="1"/>
  <c r="G246" i="1"/>
  <c r="J245" i="1"/>
  <c r="N245" i="1" s="1"/>
  <c r="R245" i="1" s="1"/>
  <c r="I245" i="1"/>
  <c r="M245" i="1" s="1"/>
  <c r="Q245" i="1" s="1"/>
  <c r="H245" i="1"/>
  <c r="L245" i="1" s="1"/>
  <c r="P245" i="1" s="1"/>
  <c r="T245" i="1" s="1"/>
  <c r="H244" i="1"/>
  <c r="G244" i="1"/>
  <c r="J243" i="1"/>
  <c r="N243" i="1" s="1"/>
  <c r="R243" i="1" s="1"/>
  <c r="I243" i="1"/>
  <c r="G243" i="1"/>
  <c r="J242" i="1"/>
  <c r="I242" i="1"/>
  <c r="H242" i="1"/>
  <c r="G242" i="1"/>
  <c r="K246" i="1" l="1"/>
  <c r="O246" i="1" s="1"/>
  <c r="S246" i="1" s="1"/>
  <c r="U246" i="1" s="1"/>
  <c r="L246" i="1"/>
  <c r="P246" i="1" s="1"/>
  <c r="T246" i="1" s="1"/>
  <c r="V246" i="1" s="1"/>
  <c r="K243" i="1"/>
  <c r="O243" i="1" s="1"/>
  <c r="S243" i="1" s="1"/>
  <c r="U243" i="1" s="1"/>
  <c r="E526" i="1"/>
  <c r="L8" i="35"/>
  <c r="L7" i="35"/>
  <c r="G245" i="1"/>
  <c r="M242" i="1" s="1"/>
  <c r="Q242" i="1" s="1"/>
  <c r="M243" i="1" l="1"/>
  <c r="Q243" i="1" s="1"/>
  <c r="N242" i="1"/>
  <c r="R242" i="1" s="1"/>
  <c r="H609" i="1"/>
  <c r="G609" i="1"/>
  <c r="J1" i="35" s="1"/>
  <c r="K245" i="1"/>
  <c r="O245" i="1" s="1"/>
  <c r="S245" i="1" s="1"/>
  <c r="K244" i="1"/>
  <c r="O244" i="1" s="1"/>
  <c r="S244" i="1" s="1"/>
  <c r="K242" i="1"/>
  <c r="L242" i="1"/>
  <c r="P242" i="1" s="1"/>
  <c r="T242" i="1" s="1"/>
  <c r="L244" i="1"/>
  <c r="P244" i="1" s="1"/>
  <c r="T244" i="1" s="1"/>
  <c r="O242" i="1" l="1"/>
  <c r="S242" i="1" s="1"/>
  <c r="O239" i="1"/>
  <c r="H615" i="1" l="1"/>
  <c r="G615" i="1"/>
  <c r="O247" i="1"/>
  <c r="F513" i="1"/>
  <c r="F511" i="1"/>
  <c r="G511" i="1" s="1"/>
  <c r="G509" i="1"/>
  <c r="G507" i="1"/>
  <c r="D118" i="5"/>
  <c r="F516" i="1"/>
  <c r="G516" i="1" s="1"/>
  <c r="F519" i="1"/>
  <c r="F518" i="1"/>
  <c r="G518" i="1" s="1"/>
  <c r="F512" i="1"/>
  <c r="G512" i="1" s="1"/>
  <c r="G93" i="2"/>
  <c r="G85" i="2"/>
  <c r="G77" i="2"/>
  <c r="K1" i="36" l="1"/>
  <c r="F40" i="35"/>
  <c r="B42" i="35" s="1"/>
  <c r="M8" i="35"/>
  <c r="M7" i="35"/>
  <c r="E574" i="1"/>
  <c r="H21" i="8" l="1"/>
  <c r="H20" i="8"/>
  <c r="H19" i="8"/>
  <c r="H18" i="8"/>
  <c r="H17" i="8"/>
  <c r="H10" i="8"/>
  <c r="H9" i="8"/>
  <c r="H8" i="8"/>
  <c r="H7" i="8"/>
  <c r="H6" i="8"/>
  <c r="H5" i="8"/>
  <c r="A274" i="9" l="1" a="1"/>
  <c r="A274" i="9" s="1"/>
  <c r="L272" i="9"/>
  <c r="L271" i="9"/>
  <c r="L270" i="9"/>
  <c r="L269" i="9"/>
  <c r="E570" i="1"/>
  <c r="H31" i="7"/>
  <c r="D30" i="7" s="1"/>
  <c r="N19" i="14"/>
  <c r="N7" i="4"/>
  <c r="N5" i="4"/>
  <c r="O3" i="4"/>
  <c r="N3" i="4"/>
  <c r="N32" i="3"/>
  <c r="N31" i="3"/>
  <c r="N30" i="3"/>
  <c r="M28" i="3"/>
  <c r="L83" i="2"/>
  <c r="L82" i="2"/>
  <c r="L75" i="2"/>
  <c r="M32" i="3" l="1"/>
  <c r="M30" i="3"/>
  <c r="N28" i="3"/>
  <c r="L81" i="2"/>
  <c r="M31" i="3"/>
  <c r="Q31" i="9" l="1"/>
  <c r="L91" i="2"/>
  <c r="M141" i="2"/>
  <c r="L141" i="2"/>
  <c r="M113" i="2"/>
  <c r="L113" i="2"/>
  <c r="M112" i="2"/>
  <c r="L112" i="2"/>
  <c r="M40" i="2"/>
  <c r="L40" i="2"/>
  <c r="B301" i="9"/>
  <c r="B8" i="3"/>
  <c r="G30" i="3"/>
  <c r="C132" i="2" l="1"/>
  <c r="A59" i="2" a="1"/>
  <c r="A59" i="2" s="1"/>
  <c r="B32" i="2"/>
  <c r="B36" i="2" s="1"/>
  <c r="L21" i="2"/>
  <c r="L15" i="2"/>
  <c r="M14" i="2" l="1"/>
  <c r="L14" i="2"/>
  <c r="M19" i="2"/>
  <c r="L19" i="2"/>
  <c r="M20" i="2"/>
  <c r="L20" i="2"/>
  <c r="M22" i="2"/>
  <c r="L22" i="2"/>
  <c r="M23" i="2"/>
  <c r="L23" i="2"/>
  <c r="B38" i="2"/>
  <c r="B52" i="2" s="1"/>
  <c r="B54" i="2" s="1"/>
  <c r="M21" i="2"/>
  <c r="M15" i="2"/>
  <c r="B245" i="1"/>
  <c r="B244" i="1"/>
  <c r="B242" i="1"/>
  <c r="H152" i="24"/>
  <c r="K136" i="5"/>
  <c r="B56" i="2" l="1"/>
  <c r="K226" i="24"/>
  <c r="K227" i="24"/>
  <c r="K228" i="24"/>
  <c r="K229" i="24"/>
  <c r="K230" i="24"/>
  <c r="K231" i="24"/>
  <c r="K232" i="24"/>
  <c r="K233" i="24"/>
  <c r="K234" i="24"/>
  <c r="K235" i="24"/>
  <c r="K236" i="24"/>
  <c r="BS75" i="19" l="1"/>
  <c r="BS53" i="19"/>
  <c r="BS23" i="19"/>
  <c r="BS30" i="19"/>
  <c r="BS32" i="19"/>
  <c r="BS57" i="19"/>
  <c r="BS78" i="19"/>
  <c r="BS36" i="19"/>
  <c r="BS45" i="19"/>
  <c r="BS70" i="19"/>
  <c r="BS65" i="19"/>
  <c r="BS59" i="19"/>
  <c r="BS25" i="19"/>
  <c r="BS56" i="19"/>
  <c r="BS49" i="19"/>
  <c r="BS35" i="19"/>
  <c r="BS82" i="19"/>
  <c r="BS88" i="19"/>
  <c r="BS55" i="19"/>
  <c r="BS47" i="19"/>
  <c r="BS48" i="19"/>
  <c r="BS40" i="19"/>
  <c r="BS86" i="19"/>
  <c r="BS28" i="19"/>
  <c r="BS66" i="19"/>
  <c r="BS79" i="19"/>
  <c r="BS77" i="19"/>
  <c r="BS71" i="19"/>
  <c r="BS76" i="19"/>
  <c r="BS27" i="19"/>
  <c r="BS73" i="19"/>
  <c r="BS38" i="19"/>
  <c r="BS34" i="19"/>
  <c r="BS37" i="19"/>
  <c r="BS63" i="19"/>
  <c r="BS41" i="19"/>
  <c r="BS80" i="19"/>
  <c r="BS43" i="19"/>
  <c r="BS60" i="19"/>
  <c r="BS51" i="19"/>
  <c r="BS29" i="19"/>
  <c r="BS42" i="19"/>
  <c r="BS68" i="19"/>
  <c r="BS64" i="19"/>
  <c r="BS62" i="19"/>
  <c r="BS72" i="19"/>
  <c r="BS85" i="19"/>
  <c r="BS24" i="19"/>
  <c r="BS39" i="19"/>
  <c r="BS54" i="19"/>
  <c r="BS81" i="19"/>
  <c r="BS87" i="19"/>
  <c r="BS33" i="19"/>
  <c r="BS58" i="19"/>
  <c r="BS44" i="19"/>
  <c r="BS69" i="19"/>
  <c r="BS83" i="19"/>
  <c r="BS74" i="19"/>
  <c r="BS84" i="19"/>
  <c r="BS67" i="19"/>
  <c r="BS31" i="19"/>
  <c r="BS46" i="19"/>
  <c r="BS61" i="19"/>
  <c r="BS52" i="19"/>
  <c r="BS26" i="19"/>
  <c r="BS50" i="19"/>
  <c r="B13" i="7" l="1"/>
  <c r="E532" i="1" s="1"/>
  <c r="BP75" i="19"/>
  <c r="BQ75" i="19"/>
  <c r="BR75" i="19"/>
  <c r="BP53" i="19"/>
  <c r="BQ53" i="19"/>
  <c r="BR53" i="19"/>
  <c r="BP23" i="19"/>
  <c r="BQ23" i="19"/>
  <c r="BR23" i="19"/>
  <c r="BP30" i="19"/>
  <c r="BQ30" i="19"/>
  <c r="BR30" i="19"/>
  <c r="BP32" i="19"/>
  <c r="BQ32" i="19"/>
  <c r="BR32" i="19"/>
  <c r="BP57" i="19"/>
  <c r="BQ57" i="19"/>
  <c r="BR57" i="19"/>
  <c r="BP78" i="19"/>
  <c r="BQ78" i="19"/>
  <c r="BR78" i="19"/>
  <c r="BP36" i="19"/>
  <c r="BQ36" i="19"/>
  <c r="BR36" i="19"/>
  <c r="BP45" i="19"/>
  <c r="BQ45" i="19"/>
  <c r="BR45" i="19"/>
  <c r="BP70" i="19"/>
  <c r="BQ70" i="19"/>
  <c r="BR70" i="19"/>
  <c r="BP65" i="19"/>
  <c r="BQ65" i="19"/>
  <c r="BR65" i="19"/>
  <c r="BP59" i="19"/>
  <c r="BQ59" i="19"/>
  <c r="BR59" i="19"/>
  <c r="BP25" i="19"/>
  <c r="BQ25" i="19"/>
  <c r="BR25" i="19"/>
  <c r="BP56" i="19"/>
  <c r="BQ56" i="19"/>
  <c r="BR56" i="19"/>
  <c r="BP49" i="19"/>
  <c r="BQ49" i="19"/>
  <c r="BR49" i="19"/>
  <c r="BP35" i="19"/>
  <c r="BQ35" i="19"/>
  <c r="BR35" i="19"/>
  <c r="BP82" i="19"/>
  <c r="BQ82" i="19"/>
  <c r="BR82" i="19"/>
  <c r="BP88" i="19"/>
  <c r="BQ88" i="19"/>
  <c r="BR88" i="19"/>
  <c r="BP55" i="19"/>
  <c r="BQ55" i="19"/>
  <c r="BR55" i="19"/>
  <c r="BP47" i="19"/>
  <c r="BQ47" i="19"/>
  <c r="BR47" i="19"/>
  <c r="BP48" i="19"/>
  <c r="BQ48" i="19"/>
  <c r="BR48" i="19"/>
  <c r="BP40" i="19"/>
  <c r="BQ40" i="19"/>
  <c r="BR40" i="19"/>
  <c r="BP86" i="19"/>
  <c r="BQ86" i="19"/>
  <c r="BR86" i="19"/>
  <c r="BP28" i="19"/>
  <c r="BQ28" i="19"/>
  <c r="BR28" i="19"/>
  <c r="BP66" i="19"/>
  <c r="BQ66" i="19"/>
  <c r="BR66" i="19"/>
  <c r="BP79" i="19"/>
  <c r="BQ79" i="19"/>
  <c r="BR79" i="19"/>
  <c r="BP77" i="19"/>
  <c r="BQ77" i="19"/>
  <c r="BR77" i="19"/>
  <c r="BP71" i="19"/>
  <c r="BQ71" i="19"/>
  <c r="BR71" i="19"/>
  <c r="BP76" i="19"/>
  <c r="BQ76" i="19"/>
  <c r="BR76" i="19"/>
  <c r="BP27" i="19"/>
  <c r="BQ27" i="19"/>
  <c r="BR27" i="19"/>
  <c r="BP73" i="19"/>
  <c r="BQ73" i="19"/>
  <c r="BR73" i="19"/>
  <c r="BP38" i="19"/>
  <c r="BQ38" i="19"/>
  <c r="BR38" i="19"/>
  <c r="BP34" i="19"/>
  <c r="BQ34" i="19"/>
  <c r="BR34" i="19"/>
  <c r="BP37" i="19"/>
  <c r="BQ37" i="19"/>
  <c r="BR37" i="19"/>
  <c r="BP63" i="19"/>
  <c r="BQ63" i="19"/>
  <c r="BR63" i="19"/>
  <c r="BP41" i="19"/>
  <c r="BQ41" i="19"/>
  <c r="BR41" i="19"/>
  <c r="BP80" i="19"/>
  <c r="BQ80" i="19"/>
  <c r="BR80" i="19"/>
  <c r="BP43" i="19"/>
  <c r="BQ43" i="19"/>
  <c r="BR43" i="19"/>
  <c r="BP60" i="19"/>
  <c r="BQ60" i="19"/>
  <c r="BR60" i="19"/>
  <c r="BP51" i="19"/>
  <c r="BQ51" i="19"/>
  <c r="BR51" i="19"/>
  <c r="BP29" i="19"/>
  <c r="BQ29" i="19"/>
  <c r="BR29" i="19"/>
  <c r="BP42" i="19"/>
  <c r="BQ42" i="19"/>
  <c r="BR42" i="19"/>
  <c r="BP68" i="19"/>
  <c r="BQ68" i="19"/>
  <c r="BR68" i="19"/>
  <c r="BP64" i="19"/>
  <c r="BQ64" i="19"/>
  <c r="BR64" i="19"/>
  <c r="BP62" i="19"/>
  <c r="BQ62" i="19"/>
  <c r="BR62" i="19"/>
  <c r="BP72" i="19"/>
  <c r="BQ72" i="19"/>
  <c r="BR72" i="19"/>
  <c r="BP85" i="19"/>
  <c r="BQ85" i="19"/>
  <c r="BR85" i="19"/>
  <c r="BP24" i="19"/>
  <c r="BQ24" i="19"/>
  <c r="BR24" i="19"/>
  <c r="BP39" i="19"/>
  <c r="BQ39" i="19"/>
  <c r="BR39" i="19"/>
  <c r="BP54" i="19"/>
  <c r="BQ54" i="19"/>
  <c r="BR54" i="19"/>
  <c r="BP81" i="19"/>
  <c r="BQ81" i="19"/>
  <c r="BR81" i="19"/>
  <c r="BP87" i="19"/>
  <c r="BQ87" i="19"/>
  <c r="BR87" i="19"/>
  <c r="BP33" i="19"/>
  <c r="BQ33" i="19"/>
  <c r="BR33" i="19"/>
  <c r="BP58" i="19"/>
  <c r="BQ58" i="19"/>
  <c r="BR58" i="19"/>
  <c r="BP44" i="19"/>
  <c r="BQ44" i="19"/>
  <c r="BR44" i="19"/>
  <c r="BP69" i="19"/>
  <c r="BQ69" i="19"/>
  <c r="BR69" i="19"/>
  <c r="BP83" i="19"/>
  <c r="BQ83" i="19"/>
  <c r="BR83" i="19"/>
  <c r="BP74" i="19"/>
  <c r="BQ74" i="19"/>
  <c r="BR74" i="19"/>
  <c r="BP84" i="19"/>
  <c r="BQ84" i="19"/>
  <c r="BR84" i="19"/>
  <c r="BP67" i="19"/>
  <c r="BQ67" i="19"/>
  <c r="BR67" i="19"/>
  <c r="BP31" i="19"/>
  <c r="BQ31" i="19"/>
  <c r="BR31" i="19"/>
  <c r="BP46" i="19"/>
  <c r="BQ46" i="19"/>
  <c r="BR46" i="19"/>
  <c r="BP61" i="19"/>
  <c r="BQ61" i="19"/>
  <c r="BR61" i="19"/>
  <c r="BP52" i="19"/>
  <c r="BQ52" i="19"/>
  <c r="BR52" i="19"/>
  <c r="BP26" i="19"/>
  <c r="BQ26" i="19"/>
  <c r="BR26" i="19"/>
  <c r="BP50" i="19"/>
  <c r="BQ50" i="19"/>
  <c r="BR50" i="19"/>
  <c r="AD346" i="1"/>
  <c r="AD345" i="1"/>
  <c r="AD344" i="1"/>
  <c r="AD343" i="1"/>
  <c r="AD342" i="1"/>
  <c r="AD341" i="1"/>
  <c r="AE341" i="1"/>
  <c r="AE342" i="1"/>
  <c r="AE343" i="1"/>
  <c r="AE344" i="1"/>
  <c r="AE345" i="1"/>
  <c r="AE346" i="1"/>
  <c r="AC345" i="1"/>
  <c r="D371" i="1"/>
  <c r="D370" i="1"/>
  <c r="D369" i="1"/>
  <c r="D368" i="1"/>
  <c r="D367" i="1"/>
  <c r="D366" i="1"/>
  <c r="I346" i="1"/>
  <c r="I355" i="1"/>
  <c r="I364" i="1"/>
  <c r="I372" i="1"/>
  <c r="C342" i="1" l="1"/>
  <c r="C341" i="1"/>
  <c r="C345" i="1"/>
  <c r="P342" i="1"/>
  <c r="P340" i="1"/>
  <c r="H372" i="1"/>
  <c r="G372" i="1"/>
  <c r="H364" i="1"/>
  <c r="G364" i="1"/>
  <c r="H355" i="1"/>
  <c r="G355" i="1"/>
  <c r="H345" i="1"/>
  <c r="G345" i="1"/>
  <c r="P339" i="1"/>
  <c r="P337" i="1" s="1"/>
  <c r="E580" i="1" l="1"/>
  <c r="C301" i="9" s="1"/>
  <c r="M37" i="14"/>
  <c r="M40" i="14"/>
  <c r="F460" i="1"/>
  <c r="L459" i="1"/>
  <c r="A459" i="1"/>
  <c r="A458" i="1"/>
  <c r="I306" i="9" l="1"/>
  <c r="C303" i="9"/>
  <c r="C306" i="9"/>
  <c r="H155" i="24" l="1"/>
  <c r="H154" i="24"/>
  <c r="H153" i="24"/>
  <c r="H151" i="24"/>
  <c r="H150" i="24"/>
  <c r="C376" i="9"/>
  <c r="AB345" i="1"/>
  <c r="C368" i="9"/>
  <c r="N355" i="9" l="1"/>
  <c r="M355" i="9"/>
  <c r="N353" i="9"/>
  <c r="M353" i="9"/>
  <c r="N350" i="9"/>
  <c r="M350" i="9"/>
  <c r="N213" i="9"/>
  <c r="M213" i="9"/>
  <c r="N208" i="9"/>
  <c r="N188" i="9"/>
  <c r="M188" i="9"/>
  <c r="C188" i="9"/>
  <c r="Q176" i="9"/>
  <c r="H176" i="9"/>
  <c r="H173" i="9"/>
  <c r="E173" i="9"/>
  <c r="H159" i="9"/>
  <c r="Q142" i="9"/>
  <c r="H66" i="9"/>
  <c r="G65" i="9"/>
  <c r="N62" i="9"/>
  <c r="N61" i="9"/>
  <c r="N52" i="9"/>
  <c r="M52" i="9"/>
  <c r="C52" i="9"/>
  <c r="Q28" i="9"/>
  <c r="E29" i="9"/>
  <c r="H9" i="9"/>
  <c r="N40" i="14"/>
  <c r="C35" i="14"/>
  <c r="N37" i="14"/>
  <c r="B375" i="1"/>
  <c r="C375" i="1" s="1"/>
  <c r="B374" i="1"/>
  <c r="B373" i="1"/>
  <c r="B372" i="1"/>
  <c r="B371" i="1"/>
  <c r="B370" i="1"/>
  <c r="B369" i="1"/>
  <c r="B368" i="1"/>
  <c r="B367" i="1"/>
  <c r="B366" i="1"/>
  <c r="V344" i="1"/>
  <c r="C68" i="26"/>
  <c r="M61" i="9" l="1"/>
  <c r="M62" i="9"/>
  <c r="M81" i="2" l="1"/>
  <c r="I67" i="3" l="1"/>
  <c r="I65" i="3"/>
  <c r="I66" i="3"/>
  <c r="I64" i="3"/>
  <c r="I63" i="3"/>
  <c r="I62" i="3"/>
  <c r="I61" i="3"/>
  <c r="I60" i="3"/>
  <c r="I59" i="3"/>
  <c r="G109" i="24"/>
  <c r="H109" i="24"/>
  <c r="H106" i="24"/>
  <c r="G106" i="24"/>
  <c r="W344" i="1"/>
  <c r="P346" i="1"/>
  <c r="P345" i="1"/>
  <c r="P347" i="1"/>
  <c r="P343" i="1"/>
  <c r="Q343" i="1" s="1"/>
  <c r="P341" i="1"/>
  <c r="Q341" i="1" s="1"/>
  <c r="Q342" i="1"/>
  <c r="X344" i="26"/>
  <c r="X342" i="26"/>
  <c r="X330" i="26"/>
  <c r="X328" i="26"/>
  <c r="X326" i="26"/>
  <c r="X324" i="26"/>
  <c r="X322" i="26"/>
  <c r="X320" i="26"/>
  <c r="P344" i="1" l="1"/>
  <c r="Q344" i="1" s="1"/>
  <c r="R344" i="1" s="1"/>
  <c r="V345" i="1"/>
  <c r="W345" i="1" s="1"/>
  <c r="Q340" i="1"/>
  <c r="R340" i="1" s="1"/>
  <c r="S340" i="1" s="1"/>
  <c r="Q346" i="1"/>
  <c r="R346" i="1" s="1"/>
  <c r="R342" i="1"/>
  <c r="S342" i="1" s="1"/>
  <c r="T341" i="1" l="1"/>
  <c r="T345" i="1"/>
  <c r="B379" i="1"/>
  <c r="B378" i="1"/>
  <c r="Q144" i="9"/>
  <c r="H111" i="9"/>
  <c r="N116" i="9"/>
  <c r="H107" i="9"/>
  <c r="Q143" i="9"/>
  <c r="Q141" i="9"/>
  <c r="H141" i="9"/>
  <c r="G61" i="9" a="1"/>
  <c r="G61" i="9" s="1"/>
  <c r="H61" i="9" s="1"/>
  <c r="A106" i="24"/>
  <c r="A107" i="24" s="1"/>
  <c r="A109" i="24"/>
  <c r="N148" i="9"/>
  <c r="A110" i="24" l="1"/>
  <c r="A111" i="24" s="1"/>
  <c r="A112" i="24" s="1"/>
  <c r="A113" i="24" s="1"/>
  <c r="A114" i="24" s="1"/>
  <c r="U343" i="1"/>
  <c r="V343" i="1" s="1"/>
  <c r="G379" i="26"/>
  <c r="G378" i="26"/>
  <c r="G183" i="24"/>
  <c r="G182" i="24"/>
  <c r="AB346" i="1" l="1"/>
  <c r="AB344" i="1"/>
  <c r="W343" i="1"/>
  <c r="AB341" i="1"/>
  <c r="AB343" i="1"/>
  <c r="AB342" i="1"/>
  <c r="M116" i="9"/>
  <c r="AC346" i="1" l="1"/>
  <c r="AC344" i="1"/>
  <c r="AC343" i="1"/>
  <c r="AC342" i="1"/>
  <c r="AC341" i="1"/>
  <c r="A100" i="24"/>
  <c r="A101" i="24" s="1"/>
  <c r="A102" i="24" s="1"/>
  <c r="A103" i="24" s="1"/>
  <c r="A104" i="24" s="1"/>
  <c r="C56" i="9"/>
  <c r="A247" i="1"/>
  <c r="B246" i="1"/>
  <c r="B243" i="1"/>
  <c r="B247" i="1" l="1"/>
  <c r="D247" i="1" s="1"/>
  <c r="G66" i="9"/>
  <c r="G60" i="9"/>
  <c r="D73" i="9"/>
  <c r="E58" i="9"/>
  <c r="H60" i="9"/>
  <c r="F60" i="9"/>
  <c r="G67" i="9"/>
  <c r="C242" i="1"/>
  <c r="C247" i="1" s="1"/>
  <c r="C243" i="1"/>
  <c r="C246" i="1"/>
  <c r="C245" i="1"/>
  <c r="C244" i="1"/>
  <c r="V511" i="1" l="1"/>
  <c r="V509" i="1"/>
  <c r="V510" i="1"/>
  <c r="V507" i="1"/>
  <c r="V506" i="1"/>
  <c r="G30" i="5"/>
  <c r="I613" i="1" l="1"/>
  <c r="P340" i="26" l="1"/>
  <c r="I305" i="9" s="1"/>
  <c r="I307" i="9" s="1"/>
  <c r="P292" i="26"/>
  <c r="I313" i="9" l="1"/>
  <c r="J227" i="24" s="1"/>
  <c r="P266" i="26"/>
  <c r="N35" i="20" l="1"/>
  <c r="F145" i="1" a="1"/>
  <c r="F145" i="1" s="1"/>
  <c r="G171" i="24"/>
  <c r="G172" i="24" l="1"/>
  <c r="G173" i="24"/>
  <c r="G174" i="24"/>
  <c r="G177" i="24"/>
  <c r="G178" i="24"/>
  <c r="G179" i="24"/>
  <c r="G180" i="24"/>
  <c r="G181" i="24"/>
  <c r="G170" i="24"/>
  <c r="J182" i="24" l="1"/>
  <c r="J181" i="24"/>
  <c r="J180" i="24"/>
  <c r="J179" i="24"/>
  <c r="J178" i="24"/>
  <c r="J177" i="24"/>
  <c r="J176" i="24"/>
  <c r="J183" i="24"/>
  <c r="J175" i="24"/>
  <c r="J174" i="24"/>
  <c r="J173" i="24"/>
  <c r="J172" i="24"/>
  <c r="J171" i="24"/>
  <c r="J170" i="24"/>
  <c r="F7" i="1"/>
  <c r="C471" i="1"/>
  <c r="C456" i="1"/>
  <c r="C454" i="1"/>
  <c r="A502" i="1"/>
  <c r="A500" i="1"/>
  <c r="A499" i="1"/>
  <c r="A490" i="1"/>
  <c r="A481" i="1"/>
  <c r="D140" i="26"/>
  <c r="D69" i="26"/>
  <c r="C88" i="24" l="1"/>
  <c r="H26" i="9" s="1"/>
  <c r="C45" i="1"/>
  <c r="A425" i="1"/>
  <c r="I458" i="1" s="1"/>
  <c r="G165" i="24"/>
  <c r="I459" i="1" l="1"/>
  <c r="L27" i="5"/>
  <c r="D17" i="5"/>
  <c r="L29" i="5"/>
  <c r="J31" i="5"/>
  <c r="J20" i="5"/>
  <c r="Q193" i="26"/>
  <c r="L76" i="5"/>
  <c r="L77" i="5"/>
  <c r="L78" i="5"/>
  <c r="L79" i="5"/>
  <c r="L73" i="5"/>
  <c r="L74" i="5"/>
  <c r="L75" i="5"/>
  <c r="D194" i="26" l="1"/>
  <c r="D191" i="26"/>
  <c r="D189" i="26"/>
  <c r="H173" i="26" l="1"/>
  <c r="P77" i="26"/>
  <c r="P143" i="26"/>
  <c r="P205" i="26"/>
  <c r="P256" i="26"/>
  <c r="P310" i="26"/>
  <c r="P358" i="26"/>
  <c r="P421" i="26"/>
  <c r="P2" i="26"/>
  <c r="L478" i="26" l="1"/>
  <c r="L479" i="26" s="1"/>
  <c r="E212" i="9" l="1"/>
  <c r="E199" i="9"/>
  <c r="N242" i="9"/>
  <c r="C473" i="1"/>
  <c r="C455" i="1"/>
  <c r="C453" i="1"/>
  <c r="C469" i="1"/>
  <c r="D228" i="1" l="1"/>
  <c r="F228" i="1"/>
  <c r="F47" i="5" l="1"/>
  <c r="F46" i="5" s="1"/>
  <c r="I30" i="5"/>
  <c r="F84" i="5" l="1"/>
  <c r="G86" i="5"/>
  <c r="G85" i="5"/>
  <c r="G31" i="5"/>
  <c r="F82" i="5"/>
  <c r="F73" i="5"/>
  <c r="J86" i="5"/>
  <c r="Q451" i="26"/>
  <c r="L451" i="26"/>
  <c r="L462" i="26" s="1"/>
  <c r="F83" i="5" l="1"/>
  <c r="F74" i="5"/>
  <c r="F75" i="5" s="1"/>
  <c r="F76" i="5" s="1"/>
  <c r="J73" i="5"/>
  <c r="G87" i="5"/>
  <c r="F20" i="5"/>
  <c r="F21" i="5" l="1"/>
  <c r="F77" i="5"/>
  <c r="F22" i="5" l="1"/>
  <c r="F78" i="5"/>
  <c r="C15" i="1"/>
  <c r="W515" i="1"/>
  <c r="W517" i="1"/>
  <c r="W520" i="1"/>
  <c r="W523" i="1"/>
  <c r="V517" i="1"/>
  <c r="V515" i="1"/>
  <c r="V523" i="1"/>
  <c r="V516" i="1"/>
  <c r="V514" i="1"/>
  <c r="V512" i="1"/>
  <c r="V522" i="1"/>
  <c r="V521" i="1"/>
  <c r="V513" i="1"/>
  <c r="V508" i="1"/>
  <c r="F23" i="5" l="1"/>
  <c r="F79" i="5"/>
  <c r="F80" i="5" s="1"/>
  <c r="F81" i="5" s="1"/>
  <c r="F85" i="5"/>
  <c r="G441" i="1"/>
  <c r="L467" i="1" l="1"/>
  <c r="L468" i="1"/>
  <c r="F24" i="5"/>
  <c r="F25" i="5" s="1"/>
  <c r="L470" i="1"/>
  <c r="L469" i="1"/>
  <c r="F87" i="5"/>
  <c r="D89" i="5" s="1"/>
  <c r="F86" i="5"/>
  <c r="J428" i="1"/>
  <c r="L458" i="1"/>
  <c r="J432" i="1"/>
  <c r="G450" i="1"/>
  <c r="H451" i="1" s="1"/>
  <c r="F458" i="1"/>
  <c r="J433" i="1"/>
  <c r="L19" i="5"/>
  <c r="H441" i="1"/>
  <c r="L38" i="5"/>
  <c r="G64" i="5"/>
  <c r="B442" i="1"/>
  <c r="G65" i="5"/>
  <c r="C36" i="5" a="1"/>
  <c r="C36" i="5" s="1"/>
  <c r="K39" i="26"/>
  <c r="B434" i="1"/>
  <c r="I434" i="1" s="1"/>
  <c r="B433" i="1"/>
  <c r="K38" i="26"/>
  <c r="B432" i="1"/>
  <c r="C432" i="1" s="1"/>
  <c r="C441" i="1"/>
  <c r="O73" i="5" l="1"/>
  <c r="B501" i="1"/>
  <c r="B499" i="1"/>
  <c r="B500" i="1"/>
  <c r="B502" i="1"/>
  <c r="F26" i="5"/>
  <c r="F27" i="5" s="1"/>
  <c r="F28" i="5" s="1"/>
  <c r="B498" i="1"/>
  <c r="I433" i="1"/>
  <c r="D74" i="26"/>
  <c r="G67" i="5"/>
  <c r="G66" i="5"/>
  <c r="C54" i="5" a="1"/>
  <c r="C54" i="5" s="1"/>
  <c r="C70" i="5" s="1" a="1"/>
  <c r="C70" i="5" s="1"/>
  <c r="J457" i="1" s="1"/>
  <c r="P38" i="26"/>
  <c r="H450" i="1"/>
  <c r="I432" i="1"/>
  <c r="F64" i="5"/>
  <c r="M311" i="9"/>
  <c r="N311" i="9"/>
  <c r="B309" i="9"/>
  <c r="C425" i="1"/>
  <c r="I378" i="26"/>
  <c r="I379" i="26"/>
  <c r="K369" i="26"/>
  <c r="G377" i="26"/>
  <c r="G376" i="26"/>
  <c r="G375" i="26"/>
  <c r="H373" i="26"/>
  <c r="G373" i="26"/>
  <c r="G374" i="26"/>
  <c r="K394" i="26" l="1"/>
  <c r="K393" i="26"/>
  <c r="K395" i="26"/>
  <c r="F29" i="5"/>
  <c r="G429" i="1"/>
  <c r="H429" i="1" s="1"/>
  <c r="F30" i="5"/>
  <c r="I375" i="26"/>
  <c r="I374" i="26"/>
  <c r="I376" i="26"/>
  <c r="I377" i="26"/>
  <c r="I373" i="26"/>
  <c r="G68" i="5"/>
  <c r="F65" i="5"/>
  <c r="F67" i="5" s="1"/>
  <c r="N369" i="26"/>
  <c r="G380" i="26"/>
  <c r="L378" i="26" s="1"/>
  <c r="F66" i="5" l="1"/>
  <c r="F68" i="5" s="1"/>
  <c r="L374" i="26"/>
  <c r="L376" i="26"/>
  <c r="L375" i="26"/>
  <c r="L373" i="26"/>
  <c r="L377" i="26"/>
  <c r="L379" i="26"/>
  <c r="C225" i="1" l="1"/>
  <c r="C221" i="1"/>
  <c r="C224" i="1"/>
  <c r="C223" i="1"/>
  <c r="C222" i="1"/>
  <c r="C220" i="1"/>
  <c r="C219" i="1"/>
  <c r="P90" i="5"/>
  <c r="P133" i="5"/>
  <c r="F220" i="1" l="1"/>
  <c r="F219" i="1"/>
  <c r="F221" i="1"/>
  <c r="F222" i="1"/>
  <c r="F223" i="1"/>
  <c r="F224" i="1"/>
  <c r="F225" i="1"/>
  <c r="M92" i="2" l="1"/>
  <c r="L92" i="2"/>
  <c r="M91" i="2"/>
  <c r="M84" i="2"/>
  <c r="L84" i="2"/>
  <c r="M76" i="2"/>
  <c r="L76" i="2"/>
  <c r="C48" i="1"/>
  <c r="C66" i="1"/>
  <c r="C46" i="1" l="1"/>
  <c r="C65" i="1"/>
  <c r="C40" i="1"/>
  <c r="C64" i="1"/>
  <c r="C47" i="1"/>
  <c r="C42" i="1"/>
  <c r="C49" i="1"/>
  <c r="C63" i="1"/>
  <c r="C62" i="1"/>
  <c r="C61" i="1"/>
  <c r="C60" i="1"/>
  <c r="C59" i="1"/>
  <c r="C58" i="1"/>
  <c r="C57" i="1"/>
  <c r="C39" i="1"/>
  <c r="C56" i="1"/>
  <c r="C37" i="1"/>
  <c r="C36" i="1"/>
  <c r="C35" i="1"/>
  <c r="C55" i="1"/>
  <c r="C44" i="1"/>
  <c r="C43" i="1"/>
  <c r="C54" i="1"/>
  <c r="C41" i="1"/>
  <c r="C53" i="1"/>
  <c r="C52" i="1"/>
  <c r="C51" i="1"/>
  <c r="C50" i="1"/>
  <c r="C38" i="1"/>
  <c r="A5" i="5" a="1"/>
  <c r="A5" i="5" s="1"/>
  <c r="A9" i="4" a="1"/>
  <c r="A9" i="4" s="1"/>
  <c r="J44" i="5"/>
  <c r="M278" i="9"/>
  <c r="N264" i="9" l="1"/>
  <c r="M264" i="9"/>
  <c r="F35" i="1"/>
  <c r="F66" i="1"/>
  <c r="F47" i="1"/>
  <c r="F65" i="1"/>
  <c r="F57" i="1"/>
  <c r="F49" i="1"/>
  <c r="F41" i="1"/>
  <c r="F64" i="1"/>
  <c r="F63" i="1"/>
  <c r="F62" i="1"/>
  <c r="F54" i="1"/>
  <c r="F46" i="1"/>
  <c r="F38" i="1"/>
  <c r="F39" i="1"/>
  <c r="F61" i="1"/>
  <c r="F53" i="1"/>
  <c r="F45" i="1"/>
  <c r="F37" i="1"/>
  <c r="F60" i="1"/>
  <c r="F52" i="1"/>
  <c r="F44" i="1"/>
  <c r="F36" i="1"/>
  <c r="F59" i="1"/>
  <c r="F51" i="1"/>
  <c r="F43" i="1"/>
  <c r="F58" i="1"/>
  <c r="F50" i="1"/>
  <c r="F42" i="1"/>
  <c r="F56" i="1"/>
  <c r="F48" i="1"/>
  <c r="F40" i="1"/>
  <c r="F55" i="1"/>
  <c r="A16" i="4" a="1"/>
  <c r="A16" i="4" s="1"/>
  <c r="C372" i="9"/>
  <c r="C387" i="9"/>
  <c r="C364" i="9"/>
  <c r="B363" i="9"/>
  <c r="I386" i="9"/>
  <c r="B2" i="26"/>
  <c r="B421" i="26" s="1"/>
  <c r="G149" i="24"/>
  <c r="A20" i="4" l="1" a="1"/>
  <c r="A20" i="4" s="1"/>
  <c r="B366" i="9"/>
  <c r="B370" i="9" s="1"/>
  <c r="A10" i="5" a="1"/>
  <c r="A10" i="5" s="1"/>
  <c r="N63" i="9"/>
  <c r="O7" i="4"/>
  <c r="O5" i="4"/>
  <c r="N93" i="5"/>
  <c r="G125" i="5"/>
  <c r="G46" i="5"/>
  <c r="G45" i="5"/>
  <c r="G44" i="5"/>
  <c r="G43" i="5"/>
  <c r="G42" i="5"/>
  <c r="G41" i="5"/>
  <c r="G40" i="5"/>
  <c r="G39" i="5"/>
  <c r="I46" i="5"/>
  <c r="J30" i="5"/>
  <c r="P13" i="5"/>
  <c r="O6" i="5"/>
  <c r="P6" i="5"/>
  <c r="O3" i="5"/>
  <c r="P3" i="5"/>
  <c r="C4" i="14"/>
  <c r="C10" i="14"/>
  <c r="C21" i="14"/>
  <c r="L61" i="14"/>
  <c r="M61" i="14" s="1"/>
  <c r="M7" i="14"/>
  <c r="M11" i="14"/>
  <c r="M19" i="14"/>
  <c r="M55" i="14"/>
  <c r="M58" i="14"/>
  <c r="M69" i="14"/>
  <c r="N69" i="14"/>
  <c r="N58" i="14"/>
  <c r="N55" i="14"/>
  <c r="N11" i="14"/>
  <c r="N7" i="14"/>
  <c r="L5" i="8"/>
  <c r="I32" i="18"/>
  <c r="H32" i="18"/>
  <c r="J30" i="18"/>
  <c r="J29" i="18"/>
  <c r="J28" i="18"/>
  <c r="J27" i="18"/>
  <c r="B24" i="18"/>
  <c r="H16" i="18"/>
  <c r="G16" i="18"/>
  <c r="I14" i="18"/>
  <c r="I13" i="18"/>
  <c r="I12" i="18"/>
  <c r="I11" i="18"/>
  <c r="A22" i="8"/>
  <c r="A11" i="8"/>
  <c r="C11" i="8" s="1"/>
  <c r="M29" i="7"/>
  <c r="M28" i="7"/>
  <c r="M23" i="7"/>
  <c r="M22" i="7"/>
  <c r="M21" i="7"/>
  <c r="M20" i="7"/>
  <c r="M19" i="7"/>
  <c r="M18" i="7"/>
  <c r="M17" i="7"/>
  <c r="M16" i="7"/>
  <c r="M15" i="7"/>
  <c r="M14" i="7"/>
  <c r="N12" i="7"/>
  <c r="M12" i="7"/>
  <c r="J128" i="5"/>
  <c r="G128" i="5"/>
  <c r="J127" i="5"/>
  <c r="G127" i="5"/>
  <c r="J126" i="5"/>
  <c r="G126" i="5"/>
  <c r="J125" i="5"/>
  <c r="J124" i="5"/>
  <c r="G124" i="5"/>
  <c r="H112" i="5"/>
  <c r="F48" i="5"/>
  <c r="I49" i="5"/>
  <c r="G32" i="5"/>
  <c r="O28" i="4"/>
  <c r="N28" i="4"/>
  <c r="H604" i="1" s="1"/>
  <c r="O24" i="4"/>
  <c r="N24" i="4"/>
  <c r="O23" i="4"/>
  <c r="N23" i="4"/>
  <c r="O18" i="4"/>
  <c r="N18" i="4"/>
  <c r="O13" i="4"/>
  <c r="N13" i="4"/>
  <c r="O11" i="4"/>
  <c r="N11" i="4"/>
  <c r="C76" i="3"/>
  <c r="N52" i="3"/>
  <c r="N45" i="3"/>
  <c r="M45" i="3"/>
  <c r="A43" i="3" a="1"/>
  <c r="A43" i="3" s="1"/>
  <c r="M6" i="3"/>
  <c r="N3" i="3"/>
  <c r="M3" i="3"/>
  <c r="M166" i="2"/>
  <c r="L166" i="2"/>
  <c r="M165" i="2"/>
  <c r="L165" i="2"/>
  <c r="M164" i="2"/>
  <c r="L164" i="2"/>
  <c r="M163" i="2"/>
  <c r="L163" i="2"/>
  <c r="M162" i="2"/>
  <c r="L162" i="2"/>
  <c r="M161" i="2"/>
  <c r="L161" i="2"/>
  <c r="M160" i="2"/>
  <c r="L160" i="2"/>
  <c r="M159" i="2"/>
  <c r="L159" i="2"/>
  <c r="M158" i="2"/>
  <c r="L158" i="2"/>
  <c r="B157" i="2"/>
  <c r="M153" i="2"/>
  <c r="L153" i="2"/>
  <c r="M152" i="2"/>
  <c r="L152" i="2"/>
  <c r="M151" i="2"/>
  <c r="L151" i="2"/>
  <c r="M150" i="2"/>
  <c r="L150" i="2"/>
  <c r="M149" i="2"/>
  <c r="L149" i="2"/>
  <c r="M148" i="2"/>
  <c r="L148" i="2"/>
  <c r="M147" i="2"/>
  <c r="L147" i="2"/>
  <c r="M146" i="2"/>
  <c r="L146" i="2"/>
  <c r="M145" i="2"/>
  <c r="L145" i="2"/>
  <c r="M137" i="2"/>
  <c r="L137" i="2"/>
  <c r="M136" i="2"/>
  <c r="L136" i="2"/>
  <c r="M135" i="2"/>
  <c r="L135" i="2"/>
  <c r="M134" i="2"/>
  <c r="L134" i="2"/>
  <c r="M133" i="2"/>
  <c r="L133" i="2"/>
  <c r="M130" i="2"/>
  <c r="L130" i="2"/>
  <c r="M129" i="2"/>
  <c r="L129" i="2"/>
  <c r="M128" i="2"/>
  <c r="L128" i="2"/>
  <c r="M127" i="2"/>
  <c r="L127" i="2"/>
  <c r="M126" i="2"/>
  <c r="L126" i="2"/>
  <c r="M123" i="2"/>
  <c r="L123" i="2"/>
  <c r="B122" i="2"/>
  <c r="M120" i="2"/>
  <c r="L120" i="2"/>
  <c r="N120" i="2" s="1"/>
  <c r="M119" i="2"/>
  <c r="L119" i="2"/>
  <c r="N119" i="2" s="1"/>
  <c r="M118" i="2"/>
  <c r="L118" i="2"/>
  <c r="N118" i="2" s="1"/>
  <c r="M117" i="2"/>
  <c r="L117" i="2"/>
  <c r="N117" i="2" s="1"/>
  <c r="M116" i="2"/>
  <c r="L116" i="2"/>
  <c r="N116" i="2" s="1"/>
  <c r="M115" i="2"/>
  <c r="L115" i="2"/>
  <c r="N115" i="2" s="1"/>
  <c r="M114" i="2"/>
  <c r="L114" i="2"/>
  <c r="N114" i="2" s="1"/>
  <c r="M108" i="2"/>
  <c r="L108" i="2"/>
  <c r="C96" i="2"/>
  <c r="M94" i="2"/>
  <c r="L94" i="2"/>
  <c r="M93" i="2"/>
  <c r="L93" i="2"/>
  <c r="M90" i="2"/>
  <c r="L90" i="2"/>
  <c r="M89" i="2"/>
  <c r="L89" i="2"/>
  <c r="M86" i="2"/>
  <c r="L86" i="2"/>
  <c r="M85" i="2"/>
  <c r="L85" i="2"/>
  <c r="M83" i="2"/>
  <c r="M82" i="2"/>
  <c r="M78" i="2"/>
  <c r="L78" i="2"/>
  <c r="M77" i="2"/>
  <c r="L77" i="2"/>
  <c r="M74" i="2"/>
  <c r="L74" i="2"/>
  <c r="M73" i="2"/>
  <c r="L73" i="2"/>
  <c r="M70" i="2"/>
  <c r="L70" i="2"/>
  <c r="M69" i="2"/>
  <c r="L69" i="2"/>
  <c r="M63" i="2"/>
  <c r="L63" i="2"/>
  <c r="M62" i="2"/>
  <c r="L62" i="2"/>
  <c r="M61" i="2"/>
  <c r="L61" i="2"/>
  <c r="M34" i="2"/>
  <c r="L34" i="2"/>
  <c r="M32" i="2"/>
  <c r="L32" i="2"/>
  <c r="M10" i="2"/>
  <c r="L10" i="2"/>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530" i="1"/>
  <c r="C529" i="1"/>
  <c r="C528" i="1"/>
  <c r="C527" i="1"/>
  <c r="C82" i="1"/>
  <c r="C81" i="1"/>
  <c r="C647" i="1"/>
  <c r="C646" i="1"/>
  <c r="C645" i="1"/>
  <c r="C644" i="1"/>
  <c r="C424" i="1"/>
  <c r="C423" i="1"/>
  <c r="C422" i="1"/>
  <c r="C417" i="1"/>
  <c r="C416" i="1"/>
  <c r="C415" i="1"/>
  <c r="C338" i="1"/>
  <c r="C337" i="1"/>
  <c r="C336" i="1"/>
  <c r="C335" i="1"/>
  <c r="C334" i="1"/>
  <c r="C333" i="1"/>
  <c r="C332" i="1"/>
  <c r="C331" i="1"/>
  <c r="C330" i="1"/>
  <c r="C329" i="1"/>
  <c r="C328" i="1"/>
  <c r="C32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154" i="1"/>
  <c r="C153" i="1"/>
  <c r="C152" i="1"/>
  <c r="C151" i="1"/>
  <c r="C150" i="1"/>
  <c r="C149" i="1"/>
  <c r="C148" i="1"/>
  <c r="C21" i="1"/>
  <c r="C20" i="1"/>
  <c r="C19" i="1"/>
  <c r="C18" i="1"/>
  <c r="C17" i="1"/>
  <c r="C16" i="1"/>
  <c r="C14" i="1"/>
  <c r="C13" i="1"/>
  <c r="C12" i="1"/>
  <c r="B349" i="9"/>
  <c r="N347" i="9"/>
  <c r="M347" i="9"/>
  <c r="N278" i="9"/>
  <c r="N277" i="9"/>
  <c r="M277" i="9"/>
  <c r="B280" i="9"/>
  <c r="M270" i="9"/>
  <c r="N269" i="9"/>
  <c r="M269" i="9"/>
  <c r="M263" i="9"/>
  <c r="C261" i="9"/>
  <c r="C266" i="9" s="1" a="1"/>
  <c r="C266" i="9" s="1"/>
  <c r="N128" i="9"/>
  <c r="M128" i="9"/>
  <c r="N252" i="9"/>
  <c r="M252" i="9"/>
  <c r="M248" i="9"/>
  <c r="G248" i="9"/>
  <c r="N246" i="9"/>
  <c r="M246" i="9"/>
  <c r="G246" i="9"/>
  <c r="N239" i="9"/>
  <c r="M239" i="9"/>
  <c r="N236" i="9"/>
  <c r="M236" i="9"/>
  <c r="N226" i="9"/>
  <c r="M225" i="9"/>
  <c r="N224" i="9"/>
  <c r="N222" i="9"/>
  <c r="M222" i="9"/>
  <c r="N217" i="9"/>
  <c r="E216" i="9"/>
  <c r="E208" i="9"/>
  <c r="E242" i="9" s="1" a="1"/>
  <c r="E242" i="9" s="1"/>
  <c r="N203" i="9"/>
  <c r="N202" i="9"/>
  <c r="E201" i="9"/>
  <c r="N200" i="9"/>
  <c r="M200" i="9"/>
  <c r="N195" i="9"/>
  <c r="M195" i="9"/>
  <c r="D194" i="9"/>
  <c r="N191" i="9"/>
  <c r="M191" i="9"/>
  <c r="N184" i="9"/>
  <c r="M184" i="9"/>
  <c r="C184" i="9"/>
  <c r="Q180" i="9"/>
  <c r="H180" i="9"/>
  <c r="Q179" i="9"/>
  <c r="H179" i="9"/>
  <c r="Q178" i="9"/>
  <c r="H178" i="9"/>
  <c r="Q177" i="9"/>
  <c r="H177" i="9"/>
  <c r="E177" i="9"/>
  <c r="E176" i="9"/>
  <c r="Q175" i="9"/>
  <c r="H175" i="9"/>
  <c r="E175" i="9"/>
  <c r="Q174" i="9"/>
  <c r="H174" i="9"/>
  <c r="E174" i="9"/>
  <c r="Q173" i="9"/>
  <c r="Q172" i="9"/>
  <c r="E172" i="9"/>
  <c r="Q171" i="9"/>
  <c r="H171" i="9"/>
  <c r="E171" i="9"/>
  <c r="Q170" i="9"/>
  <c r="H170" i="9"/>
  <c r="E170" i="9"/>
  <c r="N161" i="9"/>
  <c r="M161" i="9"/>
  <c r="N124" i="9"/>
  <c r="M124" i="9"/>
  <c r="H122" i="9"/>
  <c r="I126" i="9" s="1"/>
  <c r="N73" i="9"/>
  <c r="M73" i="9"/>
  <c r="N65" i="9"/>
  <c r="H65" i="9"/>
  <c r="N64" i="9"/>
  <c r="G64" i="9"/>
  <c r="H64" i="9" s="1"/>
  <c r="G63" i="9"/>
  <c r="H63" i="9" s="1"/>
  <c r="G62" i="9"/>
  <c r="H62" i="9" s="1"/>
  <c r="H58" i="9"/>
  <c r="H47" i="9"/>
  <c r="N42" i="9"/>
  <c r="M42" i="9"/>
  <c r="C42" i="9"/>
  <c r="Q37" i="9"/>
  <c r="Q36" i="9"/>
  <c r="H36" i="9"/>
  <c r="I36" i="9" s="1"/>
  <c r="Q34" i="9"/>
  <c r="Q33" i="9"/>
  <c r="H33" i="9"/>
  <c r="Q32" i="9"/>
  <c r="H32" i="9"/>
  <c r="I32" i="9" s="1"/>
  <c r="Q26" i="9"/>
  <c r="Q30" i="9"/>
  <c r="Q22" i="9"/>
  <c r="N15" i="9"/>
  <c r="M15" i="9"/>
  <c r="Q11" i="9"/>
  <c r="H11" i="9"/>
  <c r="Q10" i="9"/>
  <c r="H10" i="9"/>
  <c r="Q9" i="9"/>
  <c r="I9" i="9"/>
  <c r="Q8" i="9"/>
  <c r="Q7" i="9"/>
  <c r="H7" i="9"/>
  <c r="B4" i="9"/>
  <c r="B358" i="26"/>
  <c r="D352" i="26"/>
  <c r="Q346" i="26"/>
  <c r="Q344" i="26"/>
  <c r="Q342" i="26"/>
  <c r="Q340" i="26"/>
  <c r="Q330" i="26"/>
  <c r="C330" i="26"/>
  <c r="Q328" i="26"/>
  <c r="C328" i="26"/>
  <c r="Q326" i="26"/>
  <c r="C326" i="26"/>
  <c r="Q324" i="26"/>
  <c r="C324" i="26"/>
  <c r="Q322" i="26"/>
  <c r="C322" i="26"/>
  <c r="Q320" i="26"/>
  <c r="C320" i="26"/>
  <c r="B320" i="26"/>
  <c r="B322" i="26" s="1"/>
  <c r="B310" i="26"/>
  <c r="D304" i="26"/>
  <c r="Q298" i="26"/>
  <c r="Q296" i="26"/>
  <c r="Q294" i="26"/>
  <c r="Q292" i="26"/>
  <c r="Q276" i="26"/>
  <c r="Q274" i="26"/>
  <c r="Q272" i="26"/>
  <c r="Q270" i="26"/>
  <c r="Q268" i="26"/>
  <c r="Q266" i="26"/>
  <c r="B266" i="26"/>
  <c r="B256" i="26"/>
  <c r="B205" i="26"/>
  <c r="N199" i="26"/>
  <c r="L199" i="26"/>
  <c r="L190" i="26"/>
  <c r="L188" i="26"/>
  <c r="H182" i="26"/>
  <c r="Q181" i="26"/>
  <c r="N179" i="26"/>
  <c r="P250" i="26" s="1"/>
  <c r="L179" i="26"/>
  <c r="N177" i="26"/>
  <c r="L177" i="26"/>
  <c r="Q176" i="26"/>
  <c r="N171" i="26"/>
  <c r="P243" i="26" s="1"/>
  <c r="L171" i="26"/>
  <c r="N169" i="26"/>
  <c r="L169" i="26"/>
  <c r="N167" i="26"/>
  <c r="L167" i="26"/>
  <c r="N164" i="26"/>
  <c r="L164" i="26"/>
  <c r="N162" i="26"/>
  <c r="L162" i="26"/>
  <c r="N159" i="26"/>
  <c r="L159" i="26"/>
  <c r="N156" i="26"/>
  <c r="L156" i="26"/>
  <c r="N153" i="26"/>
  <c r="L153" i="26"/>
  <c r="N151" i="26"/>
  <c r="L151" i="26"/>
  <c r="N148" i="26"/>
  <c r="L148" i="26"/>
  <c r="B143" i="26"/>
  <c r="L139" i="26"/>
  <c r="H137" i="26"/>
  <c r="N134" i="26"/>
  <c r="P234" i="26" s="1"/>
  <c r="L134" i="26"/>
  <c r="N132" i="26"/>
  <c r="L132" i="26"/>
  <c r="N130" i="26"/>
  <c r="L130" i="26"/>
  <c r="N128" i="26"/>
  <c r="L128" i="26"/>
  <c r="N126" i="26"/>
  <c r="L126" i="26"/>
  <c r="N124" i="26"/>
  <c r="L124" i="26"/>
  <c r="N122" i="26"/>
  <c r="L122" i="26"/>
  <c r="N120" i="26"/>
  <c r="L120" i="26"/>
  <c r="N118" i="26"/>
  <c r="L118" i="26"/>
  <c r="N116" i="26"/>
  <c r="L116" i="26"/>
  <c r="N114" i="26"/>
  <c r="L114" i="26"/>
  <c r="N112" i="26"/>
  <c r="L112" i="26"/>
  <c r="N110" i="26"/>
  <c r="P228" i="26" s="1"/>
  <c r="L110" i="26"/>
  <c r="N108" i="26"/>
  <c r="L108" i="26"/>
  <c r="N105" i="26"/>
  <c r="L105" i="26"/>
  <c r="N103" i="26"/>
  <c r="L103" i="26"/>
  <c r="N101" i="26"/>
  <c r="L101" i="26"/>
  <c r="N99" i="26"/>
  <c r="L99" i="26"/>
  <c r="N97" i="26"/>
  <c r="L97" i="26"/>
  <c r="N95" i="26"/>
  <c r="L95" i="26"/>
  <c r="N93" i="26"/>
  <c r="L93" i="26"/>
  <c r="N91" i="26"/>
  <c r="L91" i="26"/>
  <c r="N89" i="26"/>
  <c r="L89" i="26"/>
  <c r="N87" i="26"/>
  <c r="L87" i="26"/>
  <c r="N85" i="26"/>
  <c r="L85" i="26"/>
  <c r="N83" i="26"/>
  <c r="L83" i="26"/>
  <c r="N81" i="26"/>
  <c r="L81" i="26"/>
  <c r="B77" i="26"/>
  <c r="L73" i="26"/>
  <c r="L68" i="26"/>
  <c r="H65" i="26"/>
  <c r="H71" i="26" s="1"/>
  <c r="N63" i="26"/>
  <c r="P221" i="26" s="1"/>
  <c r="L63" i="26"/>
  <c r="N61" i="26"/>
  <c r="L61" i="26"/>
  <c r="N59" i="26"/>
  <c r="L59" i="26"/>
  <c r="N57" i="26"/>
  <c r="L57" i="26"/>
  <c r="N55" i="26"/>
  <c r="L55" i="26"/>
  <c r="N53" i="26"/>
  <c r="P217" i="26" s="1"/>
  <c r="L53" i="26"/>
  <c r="N51" i="26"/>
  <c r="L51" i="26"/>
  <c r="N49" i="26"/>
  <c r="L411" i="26" s="1"/>
  <c r="L49" i="26"/>
  <c r="N47" i="26"/>
  <c r="L409" i="26" s="1"/>
  <c r="L47" i="26"/>
  <c r="N45" i="26"/>
  <c r="L45" i="26"/>
  <c r="P39" i="26"/>
  <c r="E11" i="26"/>
  <c r="B494" i="1" l="1"/>
  <c r="O90" i="5"/>
  <c r="G521" i="1"/>
  <c r="D115" i="5" s="1"/>
  <c r="I37" i="9"/>
  <c r="G459" i="1"/>
  <c r="G458" i="1"/>
  <c r="G428" i="1"/>
  <c r="H428" i="1" s="1"/>
  <c r="D199" i="9" a="1"/>
  <c r="D199" i="9" s="1"/>
  <c r="D207" i="9" s="1" a="1"/>
  <c r="D207" i="9" s="1"/>
  <c r="B495" i="1"/>
  <c r="B489" i="1"/>
  <c r="I16" i="18"/>
  <c r="J32" i="18"/>
  <c r="B34" i="18" s="1"/>
  <c r="I121" i="5"/>
  <c r="H121" i="5"/>
  <c r="E37" i="9"/>
  <c r="A488" i="1"/>
  <c r="A497" i="1"/>
  <c r="A479" i="1"/>
  <c r="M52" i="3"/>
  <c r="B162" i="1"/>
  <c r="O380" i="9"/>
  <c r="B204" i="1"/>
  <c r="B205" i="1" s="1"/>
  <c r="B181" i="1"/>
  <c r="B182" i="1" s="1"/>
  <c r="I476" i="1"/>
  <c r="I472" i="1"/>
  <c r="I474" i="1"/>
  <c r="I473" i="1"/>
  <c r="I471" i="1"/>
  <c r="G513" i="1"/>
  <c r="G519" i="1"/>
  <c r="G508" i="1"/>
  <c r="G506" i="1"/>
  <c r="D116" i="5"/>
  <c r="G510" i="1"/>
  <c r="K17" i="8"/>
  <c r="M17" i="8" s="1"/>
  <c r="K5" i="8"/>
  <c r="A33" i="4" a="1"/>
  <c r="A33" i="4" s="1"/>
  <c r="A3" i="14" a="1"/>
  <c r="A3" i="14" s="1"/>
  <c r="G604" i="1"/>
  <c r="L1" i="4" s="1"/>
  <c r="G608" i="1"/>
  <c r="C22" i="8"/>
  <c r="B176" i="1"/>
  <c r="B177" i="1" s="1"/>
  <c r="B171" i="1"/>
  <c r="B167" i="1"/>
  <c r="B168" i="1" s="1"/>
  <c r="B160" i="1"/>
  <c r="B161" i="1" s="1"/>
  <c r="B199" i="1"/>
  <c r="B200" i="1" s="1"/>
  <c r="I375" i="9"/>
  <c r="I367" i="9"/>
  <c r="B458" i="1"/>
  <c r="K458" i="1" s="1"/>
  <c r="B459" i="1"/>
  <c r="H608" i="1"/>
  <c r="G602" i="1"/>
  <c r="H182" i="9"/>
  <c r="I363" i="9" s="1"/>
  <c r="H602" i="1"/>
  <c r="D47" i="3"/>
  <c r="N197" i="9"/>
  <c r="I380" i="9"/>
  <c r="A296" i="9" a="1"/>
  <c r="A296" i="9" s="1"/>
  <c r="B378" i="9"/>
  <c r="B493" i="1"/>
  <c r="B492" i="1"/>
  <c r="B491" i="1"/>
  <c r="B490" i="1"/>
  <c r="I371" i="9"/>
  <c r="M204" i="9"/>
  <c r="N204" i="9"/>
  <c r="B19" i="9"/>
  <c r="H67" i="9"/>
  <c r="H69" i="9" s="1"/>
  <c r="I374" i="9" s="1"/>
  <c r="M208" i="9"/>
  <c r="I392" i="9"/>
  <c r="V524" i="1"/>
  <c r="AF508" i="1" s="1"/>
  <c r="C467" i="1"/>
  <c r="M203" i="9"/>
  <c r="G48" i="5"/>
  <c r="L476" i="26"/>
  <c r="L432" i="26"/>
  <c r="L405" i="26"/>
  <c r="D36" i="5"/>
  <c r="G432" i="1"/>
  <c r="H432" i="1" s="1"/>
  <c r="J437" i="1"/>
  <c r="H437" i="1" s="1"/>
  <c r="A90" i="5" a="1"/>
  <c r="A90" i="5" s="1"/>
  <c r="A132" i="5" s="1" a="1"/>
  <c r="A132" i="5" s="1"/>
  <c r="G433" i="1"/>
  <c r="C468" i="1"/>
  <c r="C472" i="1"/>
  <c r="F425" i="1"/>
  <c r="A50" i="3" a="1"/>
  <c r="A50" i="3" s="1"/>
  <c r="L446" i="26"/>
  <c r="B324" i="26"/>
  <c r="B326" i="26" s="1"/>
  <c r="B328" i="26" s="1"/>
  <c r="N137" i="26"/>
  <c r="F140" i="26" s="1"/>
  <c r="G40" i="26"/>
  <c r="N173" i="26"/>
  <c r="N182" i="26"/>
  <c r="F189" i="26" s="1"/>
  <c r="H184" i="26"/>
  <c r="E14" i="26"/>
  <c r="E20" i="26" s="1"/>
  <c r="N65" i="26"/>
  <c r="B268" i="26"/>
  <c r="N61" i="14"/>
  <c r="E210" i="9"/>
  <c r="B186" i="1" s="1"/>
  <c r="M197" i="9"/>
  <c r="M202" i="9"/>
  <c r="N270" i="9"/>
  <c r="A99" i="2" a="1"/>
  <c r="A99" i="2" s="1"/>
  <c r="C190" i="9" a="1"/>
  <c r="C190" i="9" s="1"/>
  <c r="M217" i="9"/>
  <c r="N225" i="9"/>
  <c r="M224" i="9"/>
  <c r="M226" i="9"/>
  <c r="N248" i="9"/>
  <c r="N263" i="9"/>
  <c r="G47" i="5"/>
  <c r="M64" i="9"/>
  <c r="M63" i="9"/>
  <c r="M65" i="9"/>
  <c r="G130" i="5"/>
  <c r="F12" i="1"/>
  <c r="F152" i="1"/>
  <c r="F335" i="1"/>
  <c r="F527" i="1"/>
  <c r="F415" i="1"/>
  <c r="F646" i="1"/>
  <c r="F20" i="1"/>
  <c r="F132" i="1"/>
  <c r="F313" i="1"/>
  <c r="F133" i="1"/>
  <c r="F154" i="1"/>
  <c r="F423" i="1"/>
  <c r="F82" i="1"/>
  <c r="F14" i="1"/>
  <c r="F17" i="1"/>
  <c r="F21" i="1"/>
  <c r="F151" i="1"/>
  <c r="F250" i="1"/>
  <c r="F254" i="1"/>
  <c r="F258" i="1"/>
  <c r="F262" i="1"/>
  <c r="F266" i="1"/>
  <c r="F270" i="1"/>
  <c r="F274" i="1"/>
  <c r="F278" i="1"/>
  <c r="F282" i="1"/>
  <c r="F286" i="1"/>
  <c r="F290" i="1"/>
  <c r="F294" i="1"/>
  <c r="F298" i="1"/>
  <c r="F302" i="1"/>
  <c r="F306" i="1"/>
  <c r="F310" i="1"/>
  <c r="F314" i="1"/>
  <c r="F328" i="1"/>
  <c r="F332" i="1"/>
  <c r="F336" i="1"/>
  <c r="F416" i="1"/>
  <c r="F424" i="1"/>
  <c r="F647" i="1"/>
  <c r="F528" i="1"/>
  <c r="F86" i="1"/>
  <c r="F90" i="1"/>
  <c r="F94" i="1"/>
  <c r="F98" i="1"/>
  <c r="F102" i="1"/>
  <c r="F106" i="1"/>
  <c r="F110" i="1"/>
  <c r="F114" i="1"/>
  <c r="F118" i="1"/>
  <c r="F122" i="1"/>
  <c r="F126" i="1"/>
  <c r="F130" i="1"/>
  <c r="F134" i="1"/>
  <c r="F13" i="1"/>
  <c r="F18" i="1"/>
  <c r="F148" i="1"/>
  <c r="F251" i="1"/>
  <c r="F255" i="1"/>
  <c r="F259" i="1"/>
  <c r="F263" i="1"/>
  <c r="F267" i="1"/>
  <c r="F271" i="1"/>
  <c r="F275" i="1"/>
  <c r="F279" i="1"/>
  <c r="F283" i="1"/>
  <c r="F287" i="1"/>
  <c r="F291" i="1"/>
  <c r="F295" i="1"/>
  <c r="F299" i="1"/>
  <c r="F303" i="1"/>
  <c r="F307" i="1"/>
  <c r="F311" i="1"/>
  <c r="F315" i="1"/>
  <c r="F329" i="1"/>
  <c r="F333" i="1"/>
  <c r="F337" i="1"/>
  <c r="F417" i="1"/>
  <c r="F644" i="1"/>
  <c r="F81" i="1"/>
  <c r="F529" i="1"/>
  <c r="F87" i="1"/>
  <c r="F91" i="1"/>
  <c r="F95" i="1"/>
  <c r="F99" i="1"/>
  <c r="F103" i="1"/>
  <c r="F107" i="1"/>
  <c r="F111" i="1"/>
  <c r="F115" i="1"/>
  <c r="F119" i="1"/>
  <c r="F123" i="1"/>
  <c r="F127" i="1"/>
  <c r="F131" i="1"/>
  <c r="F135" i="1"/>
  <c r="F15" i="1"/>
  <c r="F19" i="1"/>
  <c r="F149" i="1"/>
  <c r="F153" i="1"/>
  <c r="F252" i="1"/>
  <c r="F256" i="1"/>
  <c r="F260" i="1"/>
  <c r="F264" i="1"/>
  <c r="F268" i="1"/>
  <c r="F272" i="1"/>
  <c r="F276" i="1"/>
  <c r="F280" i="1"/>
  <c r="F284" i="1"/>
  <c r="F288" i="1"/>
  <c r="F292" i="1"/>
  <c r="F296" i="1"/>
  <c r="F300" i="1"/>
  <c r="F304" i="1"/>
  <c r="F308" i="1"/>
  <c r="F312" i="1"/>
  <c r="F316" i="1"/>
  <c r="F330" i="1"/>
  <c r="F334" i="1"/>
  <c r="F338" i="1"/>
  <c r="F422" i="1"/>
  <c r="F645" i="1"/>
  <c r="F530" i="1"/>
  <c r="F88" i="1"/>
  <c r="F92" i="1"/>
  <c r="F96" i="1"/>
  <c r="F100" i="1"/>
  <c r="F104" i="1"/>
  <c r="F108" i="1"/>
  <c r="F112" i="1"/>
  <c r="F116" i="1"/>
  <c r="F120" i="1"/>
  <c r="F124" i="1"/>
  <c r="F128" i="1"/>
  <c r="F16" i="1"/>
  <c r="F150" i="1"/>
  <c r="F253" i="1"/>
  <c r="F257" i="1"/>
  <c r="F261" i="1"/>
  <c r="F265" i="1"/>
  <c r="F269" i="1"/>
  <c r="F273" i="1"/>
  <c r="F277" i="1"/>
  <c r="F281" i="1"/>
  <c r="F285" i="1"/>
  <c r="F289" i="1"/>
  <c r="F293" i="1"/>
  <c r="F297" i="1"/>
  <c r="F301" i="1"/>
  <c r="F305" i="1"/>
  <c r="F309" i="1"/>
  <c r="F327" i="1"/>
  <c r="F331" i="1"/>
  <c r="F85" i="1"/>
  <c r="F89" i="1"/>
  <c r="F93" i="1"/>
  <c r="F97" i="1"/>
  <c r="F101" i="1"/>
  <c r="F105" i="1"/>
  <c r="F109" i="1"/>
  <c r="F113" i="1"/>
  <c r="F117" i="1"/>
  <c r="F121" i="1"/>
  <c r="F125" i="1"/>
  <c r="F129" i="1"/>
  <c r="A53" i="14" l="1" a="1"/>
  <c r="A53" i="14" s="1"/>
  <c r="A67" i="14" s="1" a="1"/>
  <c r="A67" i="14" s="1"/>
  <c r="N14" i="3"/>
  <c r="F144" i="1"/>
  <c r="C22" i="3"/>
  <c r="D212" i="9" a="1"/>
  <c r="D212" i="9" s="1"/>
  <c r="D221" i="9" s="1" a="1"/>
  <c r="D221" i="9" s="1"/>
  <c r="I12" i="3"/>
  <c r="K1" i="7"/>
  <c r="J8" i="2"/>
  <c r="M5" i="8"/>
  <c r="N60" i="3"/>
  <c r="J36" i="18"/>
  <c r="H82" i="14" s="1"/>
  <c r="I124" i="5"/>
  <c r="I125" i="5" s="1"/>
  <c r="I126" i="5" s="1"/>
  <c r="I127" i="5" s="1"/>
  <c r="H124" i="5"/>
  <c r="H125" i="5" s="1"/>
  <c r="D51" i="5"/>
  <c r="O39" i="5" s="1"/>
  <c r="O363" i="9"/>
  <c r="I186" i="9"/>
  <c r="O374" i="9"/>
  <c r="I75" i="9"/>
  <c r="B210" i="1"/>
  <c r="B187" i="1"/>
  <c r="B209" i="1"/>
  <c r="E153" i="1"/>
  <c r="E154" i="1"/>
  <c r="A299" i="9" a="1"/>
  <c r="A299" i="9" s="1"/>
  <c r="A315" i="9" s="1" a="1"/>
  <c r="A315" i="9" s="1"/>
  <c r="B56" i="9"/>
  <c r="B105" i="9" s="1"/>
  <c r="K18" i="8"/>
  <c r="N139" i="26"/>
  <c r="P140" i="26"/>
  <c r="Q139" i="26" s="1"/>
  <c r="K6" i="8"/>
  <c r="M242" i="9"/>
  <c r="L17" i="8"/>
  <c r="L6" i="8"/>
  <c r="N59" i="3"/>
  <c r="G460" i="1"/>
  <c r="K459" i="1"/>
  <c r="H459" i="1" s="1"/>
  <c r="A110" i="2" a="1"/>
  <c r="A110" i="2" s="1"/>
  <c r="I376" i="9"/>
  <c r="C193" i="9" a="1"/>
  <c r="C193" i="9" s="1"/>
  <c r="B380" i="9"/>
  <c r="H458" i="1"/>
  <c r="I364" i="9"/>
  <c r="G435" i="1"/>
  <c r="G436" i="1"/>
  <c r="H436" i="1"/>
  <c r="H435" i="1"/>
  <c r="AF510" i="1"/>
  <c r="AF511" i="1"/>
  <c r="AF516" i="1"/>
  <c r="AF506" i="1"/>
  <c r="AF521" i="1"/>
  <c r="AF518" i="1"/>
  <c r="AF512" i="1"/>
  <c r="L403" i="26"/>
  <c r="F69" i="26"/>
  <c r="L435" i="26"/>
  <c r="L448" i="26" s="1"/>
  <c r="L444" i="26"/>
  <c r="L431" i="26"/>
  <c r="H433" i="1"/>
  <c r="H434" i="1"/>
  <c r="A135" i="5" a="1"/>
  <c r="A135" i="5" s="1"/>
  <c r="L380" i="26"/>
  <c r="L389" i="26" s="1"/>
  <c r="B330" i="26"/>
  <c r="Q199" i="26"/>
  <c r="B270" i="26"/>
  <c r="E25" i="26"/>
  <c r="E28" i="26" s="1"/>
  <c r="E32" i="26" s="1"/>
  <c r="N271" i="9"/>
  <c r="M271" i="9"/>
  <c r="A71" i="14" l="1" a="1"/>
  <c r="A71" i="14" s="1"/>
  <c r="D230" i="9" a="1"/>
  <c r="D230" i="9" s="1"/>
  <c r="N61" i="3"/>
  <c r="H126" i="5"/>
  <c r="H127" i="5" s="1"/>
  <c r="H128" i="5" s="1"/>
  <c r="I128" i="5"/>
  <c r="C4" i="5" a="1"/>
  <c r="C4" i="5" s="1"/>
  <c r="D131" i="9"/>
  <c r="E135" i="9"/>
  <c r="E26" i="9"/>
  <c r="C370" i="1"/>
  <c r="C348" i="1" s="1"/>
  <c r="I28" i="14"/>
  <c r="K19" i="8"/>
  <c r="K20" i="8" s="1"/>
  <c r="K21" i="8" s="1"/>
  <c r="P139" i="26"/>
  <c r="M6" i="8"/>
  <c r="K7" i="8"/>
  <c r="M7" i="8" s="1"/>
  <c r="L449" i="26" a="1"/>
  <c r="L449" i="26" s="1"/>
  <c r="L18" i="8"/>
  <c r="M18" i="8"/>
  <c r="L7" i="8"/>
  <c r="P69" i="26"/>
  <c r="Q68" i="26" s="1"/>
  <c r="N68" i="26"/>
  <c r="N71" i="26" s="1"/>
  <c r="B180" i="1"/>
  <c r="B203" i="1"/>
  <c r="B207" i="1" s="1"/>
  <c r="B215" i="1"/>
  <c r="B194" i="1"/>
  <c r="B382" i="9"/>
  <c r="B384" i="9" s="1"/>
  <c r="A139" i="2" a="1"/>
  <c r="A139" i="2" s="1"/>
  <c r="A143" i="2" s="1" a="1"/>
  <c r="A143" i="2" s="1"/>
  <c r="H611" i="1"/>
  <c r="B120" i="9"/>
  <c r="B129" i="9" s="1"/>
  <c r="C244" i="9" a="1"/>
  <c r="C244" i="9" s="1"/>
  <c r="C250" i="9" s="1" a="1"/>
  <c r="C250" i="9" s="1"/>
  <c r="C369" i="1"/>
  <c r="C347" i="1" s="1"/>
  <c r="C371" i="1"/>
  <c r="C349" i="1" s="1"/>
  <c r="I27" i="14"/>
  <c r="I29" i="14"/>
  <c r="L345" i="1"/>
  <c r="C373" i="1"/>
  <c r="L344" i="1"/>
  <c r="C374" i="1"/>
  <c r="L343" i="1"/>
  <c r="C372" i="1"/>
  <c r="C366" i="1"/>
  <c r="C346" i="1" s="1"/>
  <c r="C363" i="1"/>
  <c r="I46" i="14"/>
  <c r="I48" i="14"/>
  <c r="I47" i="14"/>
  <c r="I49" i="14"/>
  <c r="B128" i="9"/>
  <c r="L390" i="26"/>
  <c r="L393" i="26" s="1"/>
  <c r="I24" i="14"/>
  <c r="L384" i="26"/>
  <c r="B272" i="26"/>
  <c r="M272" i="9"/>
  <c r="N272" i="9"/>
  <c r="F74" i="26" l="1"/>
  <c r="P74" i="26" s="1"/>
  <c r="Q73" i="26" s="1"/>
  <c r="N62" i="3"/>
  <c r="B139" i="9"/>
  <c r="G21" i="14"/>
  <c r="E31" i="14"/>
  <c r="C15" i="3"/>
  <c r="B184" i="1"/>
  <c r="M19" i="8"/>
  <c r="B206" i="1"/>
  <c r="G206" i="1" s="1"/>
  <c r="L24" i="14"/>
  <c r="L46" i="14"/>
  <c r="L47" i="14" s="1"/>
  <c r="L48" i="14" s="1"/>
  <c r="K8" i="8"/>
  <c r="M8" i="8" s="1"/>
  <c r="L19" i="8"/>
  <c r="M20" i="8"/>
  <c r="L10" i="8"/>
  <c r="P68" i="26"/>
  <c r="B212" i="1"/>
  <c r="B183" i="1"/>
  <c r="B189" i="1"/>
  <c r="B389" i="9"/>
  <c r="B392" i="9" s="1"/>
  <c r="C344" i="1"/>
  <c r="C364" i="1" s="1"/>
  <c r="D373" i="1"/>
  <c r="D374" i="1"/>
  <c r="D372" i="1"/>
  <c r="D375" i="1"/>
  <c r="E50" i="14"/>
  <c r="H77" i="14" s="1"/>
  <c r="B274" i="26"/>
  <c r="B276" i="26" s="1"/>
  <c r="N73" i="26" l="1"/>
  <c r="N184" i="26" s="1"/>
  <c r="P73" i="26"/>
  <c r="E33" i="14"/>
  <c r="H76" i="14"/>
  <c r="H88" i="14" s="1"/>
  <c r="O382" i="9"/>
  <c r="I14" i="3"/>
  <c r="L25" i="14"/>
  <c r="L26" i="14" s="1"/>
  <c r="L27" i="14" s="1"/>
  <c r="L28" i="14" s="1"/>
  <c r="L29" i="14" s="1"/>
  <c r="L49" i="14"/>
  <c r="M47" i="14"/>
  <c r="N47" i="14"/>
  <c r="N24" i="14"/>
  <c r="M24" i="14"/>
  <c r="K9" i="8"/>
  <c r="M9" i="8" s="1"/>
  <c r="L20" i="8"/>
  <c r="M21" i="8"/>
  <c r="L9" i="8"/>
  <c r="L8" i="8"/>
  <c r="G213" i="1"/>
  <c r="N63" i="3"/>
  <c r="G183" i="1"/>
  <c r="G190" i="1"/>
  <c r="B152" i="9"/>
  <c r="B165" i="9" s="1"/>
  <c r="C350" i="1"/>
  <c r="C353" i="1" s="1"/>
  <c r="F198" i="26" l="1"/>
  <c r="N197" i="26" s="1"/>
  <c r="L407" i="26" s="1"/>
  <c r="F191" i="26"/>
  <c r="H193" i="26"/>
  <c r="N193" i="26" s="1"/>
  <c r="F194" i="26"/>
  <c r="H80" i="14"/>
  <c r="K10" i="8"/>
  <c r="M25" i="14"/>
  <c r="N25" i="14"/>
  <c r="L21" i="8"/>
  <c r="N64" i="3"/>
  <c r="C357" i="1"/>
  <c r="C361" i="1"/>
  <c r="B259" i="9"/>
  <c r="C359" i="1"/>
  <c r="C355" i="1"/>
  <c r="C360" i="1"/>
  <c r="C356" i="1"/>
  <c r="F32" i="5"/>
  <c r="B485" i="1" s="1"/>
  <c r="F31" i="5"/>
  <c r="M46" i="14"/>
  <c r="N46" i="14"/>
  <c r="N190" i="26" l="1"/>
  <c r="N188" i="26"/>
  <c r="P198" i="26"/>
  <c r="Q197" i="26" s="1"/>
  <c r="H195" i="26"/>
  <c r="F196" i="26"/>
  <c r="B486" i="1"/>
  <c r="M10" i="8"/>
  <c r="B480" i="1"/>
  <c r="H90" i="14"/>
  <c r="H89" i="14"/>
  <c r="B481" i="1"/>
  <c r="K124" i="5"/>
  <c r="H610" i="1"/>
  <c r="M27" i="14"/>
  <c r="N27" i="14"/>
  <c r="M26" i="14"/>
  <c r="N26" i="14"/>
  <c r="G610" i="1"/>
  <c r="N65" i="3"/>
  <c r="B211" i="1"/>
  <c r="B188" i="1"/>
  <c r="B190" i="1"/>
  <c r="B213" i="1"/>
  <c r="B214" i="1" s="1"/>
  <c r="C394" i="9"/>
  <c r="B484" i="1"/>
  <c r="B483" i="1"/>
  <c r="B482" i="1"/>
  <c r="I8" i="9"/>
  <c r="H8" i="9"/>
  <c r="H13" i="9" s="1"/>
  <c r="I366" i="9" s="1"/>
  <c r="G121" i="5"/>
  <c r="P196" i="26" l="1"/>
  <c r="Q195" i="26" s="1"/>
  <c r="H201" i="26"/>
  <c r="L475" i="26" s="1"/>
  <c r="L477" i="26" s="1"/>
  <c r="L480" i="26" s="1"/>
  <c r="P197" i="26"/>
  <c r="J1" i="8"/>
  <c r="D34" i="5"/>
  <c r="O18" i="5" s="1"/>
  <c r="O366" i="9"/>
  <c r="I17" i="9"/>
  <c r="B191" i="1"/>
  <c r="C18" i="3"/>
  <c r="N28" i="14"/>
  <c r="M28" i="14"/>
  <c r="C16" i="14"/>
  <c r="M29" i="14"/>
  <c r="N29" i="14"/>
  <c r="N66" i="3"/>
  <c r="I368" i="9"/>
  <c r="J95" i="5"/>
  <c r="J96" i="5"/>
  <c r="H606" i="1" l="1"/>
  <c r="I17" i="3"/>
  <c r="I20" i="3" s="1"/>
  <c r="N67" i="3"/>
  <c r="K125" i="5"/>
  <c r="J97" i="5"/>
  <c r="H37" i="9" l="1"/>
  <c r="E38" i="9" s="1"/>
  <c r="N68" i="3"/>
  <c r="J100" i="5"/>
  <c r="K126" i="5"/>
  <c r="N69" i="3" l="1"/>
  <c r="J105" i="5"/>
  <c r="J112" i="5" s="1"/>
  <c r="N70" i="3" l="1"/>
  <c r="H130" i="5"/>
  <c r="K128" i="5"/>
  <c r="K127" i="5"/>
  <c r="H34" i="9" l="1"/>
  <c r="N71" i="3"/>
  <c r="G606" i="1"/>
  <c r="M1" i="5" s="1"/>
  <c r="F131" i="5"/>
  <c r="K130" i="5"/>
  <c r="H48" i="9" s="1"/>
  <c r="H50" i="9" s="1"/>
  <c r="I130" i="5"/>
  <c r="I34" i="9" l="1"/>
  <c r="H24" i="9"/>
  <c r="E25" i="9" s="1"/>
  <c r="I54" i="9"/>
  <c r="H22" i="9"/>
  <c r="E23" i="9" s="1"/>
  <c r="N72" i="3"/>
  <c r="G603" i="1"/>
  <c r="B23" i="3"/>
  <c r="B37" i="3" s="1"/>
  <c r="H40" i="9" l="1"/>
  <c r="N73" i="3"/>
  <c r="A54" i="3" a="1"/>
  <c r="A54" i="3" s="1"/>
  <c r="D235" i="9" a="1"/>
  <c r="D235" i="9" s="1"/>
  <c r="E578" i="1"/>
  <c r="I370" i="9" l="1"/>
  <c r="I372" i="9" s="1"/>
  <c r="O370" i="9"/>
  <c r="I44" i="9"/>
  <c r="I140" i="9" a="1"/>
  <c r="I140" i="9" s="1"/>
  <c r="I107" i="9" a="1"/>
  <c r="I107" i="9" s="1"/>
  <c r="H150" i="1"/>
  <c r="F43" i="3"/>
  <c r="C392" i="9"/>
  <c r="H603" i="1"/>
  <c r="K1" i="3" s="1"/>
  <c r="A344" i="9" a="1"/>
  <c r="A344" i="9" s="1"/>
  <c r="E586" i="1"/>
  <c r="D238" i="9" a="1"/>
  <c r="D238" i="9" s="1"/>
  <c r="D241" i="9" s="1" a="1"/>
  <c r="D241" i="9" s="1"/>
  <c r="G162" i="1" l="1"/>
  <c r="G171" i="1"/>
  <c r="G194" i="1"/>
  <c r="G215" i="1"/>
  <c r="A355" i="9" a="1"/>
  <c r="A355" i="9" s="1"/>
  <c r="G199" i="1"/>
  <c r="G167" i="1"/>
  <c r="G176" i="1"/>
  <c r="I317" i="9" l="1"/>
  <c r="J228" i="24" s="1"/>
  <c r="I290" i="9"/>
  <c r="I291" i="9"/>
  <c r="A359" i="9" a="1"/>
  <c r="A359" i="9" s="1"/>
  <c r="A396" i="9" s="1" a="1"/>
  <c r="A396" i="9" s="1"/>
  <c r="I294" i="9" l="1"/>
  <c r="G160" i="1" l="1"/>
  <c r="M48" i="14" l="1"/>
  <c r="N48" i="14"/>
  <c r="N49" i="14" l="1"/>
  <c r="M49" i="14"/>
  <c r="H605" i="1" s="1"/>
  <c r="H620" i="1" s="1"/>
  <c r="G605" i="1" l="1"/>
  <c r="K1" i="14" l="1"/>
  <c r="L395" i="26"/>
  <c r="L394" i="26"/>
  <c r="L397" i="26" s="1"/>
  <c r="L463" i="26" l="1"/>
  <c r="L464" i="26" s="1"/>
  <c r="L469" i="26" s="1"/>
  <c r="E35" i="9"/>
  <c r="U245" i="1"/>
  <c r="V245" i="1"/>
  <c r="I289" i="9" l="1"/>
  <c r="U242" i="1" l="1"/>
  <c r="V244" i="1"/>
  <c r="K190" i="24"/>
  <c r="W243" i="1" s="1"/>
  <c r="K191" i="24"/>
  <c r="K197" i="24"/>
  <c r="K195" i="24"/>
  <c r="K198" i="24"/>
  <c r="K192" i="24"/>
  <c r="X244" i="1"/>
  <c r="K188" i="24"/>
  <c r="W242" i="1" s="1"/>
  <c r="K189" i="24"/>
  <c r="X242" i="1" s="1"/>
  <c r="I109" i="24"/>
  <c r="C109" i="24" s="1"/>
  <c r="W244" i="1" l="1"/>
  <c r="U244" i="1"/>
  <c r="X246" i="1"/>
  <c r="X245" i="1"/>
  <c r="H142" i="9"/>
  <c r="F135" i="9"/>
  <c r="G135" i="9" s="1"/>
  <c r="W245" i="1"/>
  <c r="W246" i="1"/>
  <c r="V242" i="1"/>
  <c r="W247" i="1" l="1"/>
  <c r="I106" i="24" s="1"/>
  <c r="C106" i="24" s="1"/>
  <c r="H110" i="9" s="1"/>
  <c r="H112" i="9" s="1"/>
  <c r="H114" i="9" s="1"/>
  <c r="O378" i="9" s="1"/>
  <c r="O384" i="9" s="1"/>
  <c r="B360" i="9" s="1"/>
  <c r="U248" i="1"/>
  <c r="U247" i="1"/>
  <c r="G156" i="24"/>
  <c r="B402" i="9" s="1"/>
  <c r="H146" i="9"/>
  <c r="H144" i="9"/>
  <c r="I378" i="9" l="1"/>
  <c r="I118" i="9"/>
  <c r="I148" i="9"/>
  <c r="I150" i="9" s="1"/>
  <c r="B404" i="9"/>
  <c r="J226" i="24"/>
  <c r="J232" i="24"/>
  <c r="B5" i="19" l="1"/>
  <c r="M148" i="9"/>
  <c r="I382" i="9"/>
  <c r="I387" i="9" l="1"/>
  <c r="I390" i="9" s="1"/>
  <c r="I393" i="9" s="1"/>
  <c r="I394" i="9" s="1"/>
  <c r="J231" i="24" s="1"/>
  <c r="I384" i="9"/>
  <c r="G611" i="1"/>
  <c r="G620" i="1" s="1"/>
  <c r="A5" i="19"/>
  <c r="C278" i="26"/>
  <c r="C332" i="26" s="1"/>
  <c r="B278" i="26"/>
  <c r="B332" i="26"/>
  <c r="K1" i="9" l="1"/>
  <c r="G5" i="19"/>
  <c r="B6" i="19"/>
  <c r="D5" i="19"/>
  <c r="H278" i="26" s="1"/>
  <c r="Q278" i="26" s="1"/>
  <c r="F5" i="19"/>
  <c r="K278" i="26" s="1"/>
  <c r="H332" i="26" l="1"/>
  <c r="Q332" i="26" s="1"/>
  <c r="I5" i="19"/>
  <c r="Q5" i="19"/>
  <c r="B334" i="26"/>
  <c r="B280" i="26"/>
  <c r="A6" i="19"/>
  <c r="C280" i="26"/>
  <c r="C334" i="26" s="1"/>
  <c r="K332" i="26"/>
  <c r="R278" i="26"/>
  <c r="F6" i="19" l="1"/>
  <c r="K280" i="26" s="1"/>
  <c r="D6" i="19"/>
  <c r="B7" i="19"/>
  <c r="G6" i="19"/>
  <c r="R332" i="26"/>
  <c r="X332" i="26"/>
  <c r="H280" i="26" l="1"/>
  <c r="R280" i="26" s="1"/>
  <c r="A7" i="19"/>
  <c r="B336" i="26"/>
  <c r="C282" i="26"/>
  <c r="C336" i="26" s="1"/>
  <c r="H282" i="26"/>
  <c r="Q282" i="26" s="1"/>
  <c r="B282" i="26"/>
  <c r="K334" i="26"/>
  <c r="Q6" i="19"/>
  <c r="I6" i="19"/>
  <c r="Q280" i="26" l="1"/>
  <c r="H334" i="26"/>
  <c r="Q334" i="26" s="1"/>
  <c r="H336" i="26"/>
  <c r="Q336" i="26" s="1"/>
  <c r="X334" i="26"/>
  <c r="R334" i="26"/>
  <c r="F7" i="19"/>
  <c r="K282" i="26" s="1"/>
  <c r="G7" i="19"/>
  <c r="D7" i="19"/>
  <c r="B8" i="19"/>
  <c r="K336" i="26" l="1"/>
  <c r="R282" i="26"/>
  <c r="H284" i="26"/>
  <c r="Q284" i="26" s="1"/>
  <c r="B338" i="26"/>
  <c r="C284" i="26"/>
  <c r="C338" i="26" s="1"/>
  <c r="A8" i="19"/>
  <c r="B284" i="26"/>
  <c r="I7" i="19"/>
  <c r="Q7" i="19"/>
  <c r="H338" i="26" l="1"/>
  <c r="H300" i="26"/>
  <c r="Q300" i="26" s="1"/>
  <c r="R336" i="26"/>
  <c r="X336" i="26"/>
  <c r="B340" i="26"/>
  <c r="F8" i="19"/>
  <c r="K284" i="26" s="1"/>
  <c r="D8" i="19"/>
  <c r="G8" i="19"/>
  <c r="B286" i="26"/>
  <c r="B294" i="26" s="1"/>
  <c r="H348" i="26" l="1"/>
  <c r="Q348" i="26" s="1"/>
  <c r="Q338" i="26"/>
  <c r="B296" i="26"/>
  <c r="B298" i="26" s="1"/>
  <c r="B300" i="26" s="1"/>
  <c r="D303" i="26" s="1"/>
  <c r="B342" i="26"/>
  <c r="B344" i="26" s="1"/>
  <c r="B346" i="26" s="1"/>
  <c r="B348" i="26" s="1"/>
  <c r="D351" i="26" s="1"/>
  <c r="I8" i="19"/>
  <c r="Q8" i="19"/>
  <c r="R284" i="26"/>
  <c r="K338" i="26"/>
  <c r="R338" i="26" l="1"/>
  <c r="X338" i="26"/>
  <c r="X348" i="26" s="1"/>
  <c r="L459" i="26" s="1"/>
  <c r="L445" i="26" l="1"/>
  <c r="N195" i="26"/>
  <c r="L433" i="26"/>
  <c r="L434" i="26" s="1"/>
  <c r="L437" i="26" s="1"/>
  <c r="L439" i="26" s="1"/>
  <c r="R298" i="26" l="1"/>
  <c r="R346" i="26"/>
  <c r="P189" i="26"/>
  <c r="N201" i="26"/>
  <c r="P191" i="26"/>
  <c r="P190" i="26" l="1"/>
  <c r="Q190" i="26"/>
  <c r="Q188" i="26"/>
  <c r="D109" i="9"/>
  <c r="L401" i="26"/>
  <c r="L413" i="26" s="1"/>
  <c r="L415" i="26" s="1"/>
  <c r="L417" i="26" s="1"/>
  <c r="P418" i="26" s="1"/>
  <c r="E71" i="9"/>
  <c r="J233" i="24"/>
  <c r="L458" i="26"/>
  <c r="L460" i="26" s="1"/>
  <c r="L443" i="26"/>
  <c r="L447" i="26" s="1"/>
  <c r="L450" i="26" s="1"/>
  <c r="L452" i="26" s="1"/>
  <c r="L454" i="26" s="1"/>
  <c r="L468" i="26" s="1"/>
  <c r="L470" i="26" s="1"/>
  <c r="L471" i="26" s="1"/>
  <c r="I60" i="9"/>
  <c r="H262" i="26"/>
  <c r="H304" i="26" s="1"/>
  <c r="H316" i="26"/>
  <c r="H352" i="26" s="1"/>
  <c r="P188" i="26"/>
  <c r="Q352" i="26" l="1"/>
  <c r="P351" i="26"/>
  <c r="M354" i="26"/>
  <c r="M306" i="26"/>
  <c r="Q304" i="26"/>
  <c r="P303" i="26"/>
  <c r="P19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P340"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B341"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342"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342"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A381" authorId="0" shapeId="0" xr:uid="{FDA52586-263F-4567-BA98-750DE81D0915}">
      <text>
        <r>
          <rPr>
            <b/>
            <sz val="9"/>
            <color indexed="81"/>
            <rFont val="Tahoma"/>
            <family val="2"/>
          </rPr>
          <t>Kevin Tatreau:</t>
        </r>
        <r>
          <rPr>
            <sz val="9"/>
            <color indexed="81"/>
            <rFont val="Tahoma"/>
            <family val="2"/>
          </rPr>
          <t xml:space="preserve">
Will need to ask a question to determine if they qualify for these exclusions.</t>
        </r>
      </text>
    </comment>
    <comment ref="A382" authorId="0" shapeId="0" xr:uid="{B3B3092D-7D9F-4427-83D7-8CE1013CCD82}">
      <text>
        <r>
          <rPr>
            <b/>
            <sz val="9"/>
            <color indexed="81"/>
            <rFont val="Tahoma"/>
            <family val="2"/>
          </rPr>
          <t>Kevin Tatreau:</t>
        </r>
        <r>
          <rPr>
            <sz val="9"/>
            <color indexed="81"/>
            <rFont val="Tahoma"/>
            <family val="2"/>
          </rPr>
          <t xml:space="preserve">
Will need to ask a question to determine if they qualify for these exclusions.</t>
        </r>
      </text>
    </comment>
    <comment ref="C388"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441"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584"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601"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601"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601"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2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2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2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2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C106"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K104</t>
        </r>
      </text>
    </comment>
    <comment ref="I106"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L104</t>
        </r>
      </text>
    </comment>
    <comment ref="C109" authorId="0" shapeId="0" xr:uid="{EBE4AEF9-80CC-4583-928A-FFAFFE4F49E2}">
      <text>
        <r>
          <rPr>
            <b/>
            <sz val="9"/>
            <color indexed="81"/>
            <rFont val="Tahoma"/>
            <family val="2"/>
          </rPr>
          <t>Kevin Tatreau:</t>
        </r>
        <r>
          <rPr>
            <sz val="9"/>
            <color indexed="81"/>
            <rFont val="Tahoma"/>
            <family val="2"/>
          </rPr>
          <t xml:space="preserve">
This amount is controlled by a dropdown menu in cell K106</t>
        </r>
      </text>
    </comment>
    <comment ref="I109"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L106</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<sst xmlns="http://schemas.openxmlformats.org/spreadsheetml/2006/main" count="12818" uniqueCount="2144">
  <si>
    <t>All inclusive rows</t>
  </si>
  <si>
    <t>Options in this RFA</t>
  </si>
  <si>
    <t>&lt;select one&gt;</t>
  </si>
  <si>
    <t>All Inclusive List - Demographics (Demo)</t>
  </si>
  <si>
    <t>In RFA?</t>
  </si>
  <si>
    <t>Sequence</t>
  </si>
  <si>
    <t>Sort</t>
  </si>
  <si>
    <t>Family</t>
  </si>
  <si>
    <t>Elderly Non-ALF</t>
  </si>
  <si>
    <t>Elderly ALF</t>
  </si>
  <si>
    <t>Elderly (Elderly Transformative Preservation)</t>
  </si>
  <si>
    <t>Homeless</t>
  </si>
  <si>
    <t>Persons with Developmental Disabilities</t>
  </si>
  <si>
    <t>Persons with Special Needs</t>
  </si>
  <si>
    <t>Workforce</t>
  </si>
  <si>
    <t>All Inclusive List - Development Category (DevCat)</t>
  </si>
  <si>
    <t>New Construction</t>
  </si>
  <si>
    <t>Rehabilitation</t>
  </si>
  <si>
    <t>Acquisition and Rehabilitation</t>
  </si>
  <si>
    <t>Redevelopment</t>
  </si>
  <si>
    <t>Acquisition and Redevelopment</t>
  </si>
  <si>
    <t>Preservation</t>
  </si>
  <si>
    <t>Acquisition and Preservation</t>
  </si>
  <si>
    <t>All Inclusive List - Counties (Counties)</t>
  </si>
  <si>
    <t>2021-Size 1</t>
  </si>
  <si>
    <t>2021-Size 2</t>
  </si>
  <si>
    <t>Alachua</t>
  </si>
  <si>
    <t>Medium</t>
  </si>
  <si>
    <t>ML</t>
  </si>
  <si>
    <t>Baker</t>
  </si>
  <si>
    <t>Small</t>
  </si>
  <si>
    <t>SM</t>
  </si>
  <si>
    <t>Bay</t>
  </si>
  <si>
    <t>MS</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</si>
  <si>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</si>
  <si>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</si>
  <si>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</si>
  <si>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</si>
  <si>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</si>
  <si>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</si>
  <si>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</si>
  <si>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</si>
  <si>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</si>
  <si>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</si>
  <si>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</si>
  <si>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</si>
  <si>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</si>
  <si>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</si>
  <si>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</si>
  <si>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</si>
  <si>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</si>
  <si>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</si>
  <si>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</si>
  <si>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</si>
  <si>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</si>
  <si>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</si>
  <si>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</si>
  <si>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</si>
  <si>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</si>
  <si>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</si>
  <si>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</si>
  <si>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</si>
  <si>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</si>
  <si>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</si>
  <si>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</si>
  <si>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</si>
  <si>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</si>
  <si>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</si>
  <si>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</si>
  <si>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</si>
  <si>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</si>
  <si>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</si>
  <si>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</si>
  <si>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</si>
  <si>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</si>
  <si>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</si>
  <si>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</si>
  <si>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</si>
  <si>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</si>
  <si>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</si>
  <si>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</si>
  <si>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</si>
  <si>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</si>
  <si>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</si>
  <si>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</si>
  <si>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</si>
  <si>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</si>
  <si>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</si>
  <si>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</si>
  <si>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</si>
  <si>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</si>
  <si>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</si>
  <si>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</si>
  <si>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St. Johns</t>
  </si>
  <si>
    <t>St. Lucie</t>
  </si>
  <si>
    <t>Santa Rosa</t>
  </si>
  <si>
    <t>Sarasota</t>
  </si>
  <si>
    <t>Seminole</t>
  </si>
  <si>
    <t>Sumter</t>
  </si>
  <si>
    <t>Suwannee</t>
  </si>
  <si>
    <t>Taylor</t>
  </si>
  <si>
    <t>Union</t>
  </si>
  <si>
    <t>Volusia</t>
  </si>
  <si>
    <t>Wakulla</t>
  </si>
  <si>
    <t>Walton</t>
  </si>
  <si>
    <t>Washington</t>
  </si>
  <si>
    <t>All Inclusive List - Development Type (DevType)</t>
  </si>
  <si>
    <t>Garden Apartments</t>
  </si>
  <si>
    <t>Single Family</t>
  </si>
  <si>
    <t>Duplexes</t>
  </si>
  <si>
    <t>Triplexes</t>
  </si>
  <si>
    <t>Quadraplexes</t>
  </si>
  <si>
    <t>Townhouses</t>
  </si>
  <si>
    <t>Mid-Rise (4 Stories)</t>
  </si>
  <si>
    <t>Mid-Rise (5-6 Stories)</t>
  </si>
  <si>
    <t>High-Rise</t>
  </si>
  <si>
    <t>Comm. Residential Home</t>
  </si>
  <si>
    <t>Assisted Living Facility</t>
  </si>
  <si>
    <t>Other</t>
  </si>
  <si>
    <t>There are no existing units</t>
  </si>
  <si>
    <t>20% of units at 50% of Area Median Income (AMI) or lower</t>
  </si>
  <si>
    <t>Average Income Test</t>
  </si>
  <si>
    <t>AmeriNat Community Services</t>
  </si>
  <si>
    <t>First Housing Development Corporation</t>
  </si>
  <si>
    <t>Seltzer Management Company</t>
  </si>
  <si>
    <t>Unknown</t>
  </si>
  <si>
    <t>Priority I</t>
  </si>
  <si>
    <t>Priority II</t>
  </si>
  <si>
    <t>Leadership in Energy and Envirnomental Design (LEED)</t>
  </si>
  <si>
    <t>Florida Green Building Coalition (FGBC)</t>
  </si>
  <si>
    <t>Enterprise Green Communities</t>
  </si>
  <si>
    <t>ICC 700 National Green building Standard (NGBS)</t>
  </si>
  <si>
    <t>All Inclusive List - States (States)</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</si>
  <si>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</si>
  <si>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</si>
  <si>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</si>
  <si>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</si>
  <si>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</si>
  <si>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</si>
  <si>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</si>
  <si>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</si>
  <si>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</si>
  <si>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</si>
  <si>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</si>
  <si>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</si>
  <si>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</si>
  <si>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</si>
  <si>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</si>
  <si>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</si>
  <si>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</si>
  <si>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</si>
  <si>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</si>
  <si>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</si>
  <si>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</si>
  <si>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</si>
  <si>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</si>
  <si>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</si>
  <si>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</si>
  <si>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</si>
  <si>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</si>
  <si>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</si>
  <si>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</si>
  <si>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</si>
  <si>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</si>
  <si>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</si>
  <si>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</si>
  <si>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</si>
  <si>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</si>
  <si>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</si>
  <si>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</si>
  <si>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</si>
  <si>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</si>
  <si>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</si>
  <si>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</si>
  <si>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</si>
  <si>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</si>
  <si>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</si>
  <si>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</si>
  <si>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</si>
  <si>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</si>
  <si>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</si>
  <si>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</si>
  <si>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</si>
  <si>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Currently Managing</t>
  </si>
  <si>
    <t>Formerly Managed</t>
  </si>
  <si>
    <t>Development Finance Data Tab:</t>
  </si>
  <si>
    <t>2022 ZCTAs</t>
  </si>
  <si>
    <t>2022 Non-Metro DDA's</t>
  </si>
  <si>
    <t>2022 Non-Metro QCT's</t>
  </si>
  <si>
    <t>Yes/No Dropdown</t>
  </si>
  <si>
    <t>&lt;select from menu&gt;</t>
  </si>
  <si>
    <t>Yes</t>
  </si>
  <si>
    <t>No</t>
  </si>
  <si>
    <t>Yes/No/N/A Dropdown</t>
  </si>
  <si>
    <t>Metro/Non-Metro QCT Dropdown</t>
  </si>
  <si>
    <t>N/A</t>
  </si>
  <si>
    <t>Metro</t>
  </si>
  <si>
    <t>Non-Metro</t>
  </si>
  <si>
    <t>Geographic Areas of Opportunity/SADDA Goal - Family Demographic</t>
  </si>
  <si>
    <t>Located entirely in a GAO</t>
  </si>
  <si>
    <t>Located entirely in a SADDA</t>
  </si>
  <si>
    <t>Located entirely in a GAO &amp; SADDA</t>
  </si>
  <si>
    <t>Section 4.A.1. 
Review of Attachments</t>
  </si>
  <si>
    <t>Section 4.A.2  
Demographic Commitment</t>
  </si>
  <si>
    <t>Demographic Commitment:</t>
  </si>
  <si>
    <t>Section 4.A.3 
Applicant, Developer, Management Company and Contact Person</t>
  </si>
  <si>
    <t>a.</t>
  </si>
  <si>
    <t>Applicant</t>
  </si>
  <si>
    <t>(1)</t>
  </si>
  <si>
    <t>Name of Applicant:</t>
  </si>
  <si>
    <t>(2)</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</si>
  <si>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</si>
  <si>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(3)</t>
  </si>
  <si>
    <t>Non-Profit Applicant Qualifications</t>
  </si>
  <si>
    <t>Does the Applicant or the General Partner or managing member of the Applicant meet the definition of Non-Profit as set forth in Rule Chapter 67-48, F.A.C.?</t>
  </si>
  <si>
    <t>b.</t>
  </si>
  <si>
    <t>Developer Information</t>
  </si>
  <si>
    <t>(a)</t>
  </si>
  <si>
    <t xml:space="preserve">Required Developer Experience:
At least one Developer entity named in (1) above must meet the Developer experience outlined in Section Four of the RFA. </t>
  </si>
  <si>
    <t>Name of the natural person Principal with the required experience:</t>
  </si>
  <si>
    <t>Name of Developer entity (for the proposed Development) for which the above individual is a Principal:</t>
  </si>
  <si>
    <t>(i)</t>
  </si>
  <si>
    <t>Name of Development:</t>
  </si>
  <si>
    <t>Location (city and state):</t>
  </si>
  <si>
    <t>Total Number of Units:</t>
  </si>
  <si>
    <t>(ii)</t>
  </si>
  <si>
    <t>Second completed affordable rental housing development that meets the experience requirement outlined in Section Four, A.3.b.(3)(a) of the RFA:</t>
  </si>
  <si>
    <t>(iii)</t>
  </si>
  <si>
    <t>Third completed affordable rental housing development that meets the experience requirement outlined in Section Four, A.3.b.(3)(a) of the RFA:</t>
  </si>
  <si>
    <t>(b)</t>
  </si>
  <si>
    <t>To receive five points, the Developer Experience Withdrawal Disincentive criteria outlined in Section Four A.3.b.(3)(b) of the RFA must be met.</t>
  </si>
  <si>
    <t>c.</t>
  </si>
  <si>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</si>
  <si>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</si>
  <si>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Indicate whether this Application is designated as Priority I or Priority II.  If no selection is made, the Application will be considered a Priority II Application.</t>
  </si>
  <si>
    <t>d.</t>
  </si>
  <si>
    <t>Management Company</t>
  </si>
  <si>
    <t>Contact Information</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</si>
  <si>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</si>
  <si>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</si>
  <si>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</si>
  <si>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</si>
  <si>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</si>
  <si>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</si>
  <si>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</si>
  <si>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</si>
  <si>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</si>
  <si>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</si>
  <si>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Currently Managing or Formerly Managed?</t>
  </si>
  <si>
    <t>Length of Time (number of years):</t>
  </si>
  <si>
    <t>Contact Person</t>
  </si>
  <si>
    <t>Authorized Principal Representative contact information (required)</t>
  </si>
  <si>
    <t>First Name:</t>
  </si>
  <si>
    <t>Last Name:</t>
  </si>
  <si>
    <t>Organization:</t>
  </si>
  <si>
    <t>Operational Contact Person Information (optional)</t>
  </si>
  <si>
    <t>Section 4.A.4
General Proposed Development Information</t>
  </si>
  <si>
    <t>Name of the proposed Development:</t>
  </si>
  <si>
    <t>Development Category</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</si>
  <si>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</si>
  <si>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</si>
  <si>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</si>
  <si>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</si>
  <si>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Calculating the RA Level</t>
  </si>
  <si>
    <r>
      <t>Using the information provided in the Development Category Qualification Letter, complete</t>
    </r>
    <r>
      <rPr>
        <b/>
        <sz val="11"/>
        <color theme="1"/>
        <rFont val="Calibri"/>
        <family val="2"/>
        <scheme val="minor"/>
      </rPr>
      <t xml:space="preserve"> </t>
    </r>
    <r>
      <rPr>
        <sz val="11"/>
        <color theme="1"/>
        <rFont val="Calibri"/>
        <family val="2"/>
        <scheme val="minor"/>
      </rPr>
      <t>the following information which will be used by the Corporation to calculate the Rental Assistance (RA Level):</t>
    </r>
  </si>
  <si>
    <t>State the Year Built:</t>
  </si>
  <si>
    <t>PBRA:</t>
  </si>
  <si>
    <t>ACC:</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</si>
  <si>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</si>
  <si>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</si>
  <si>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</si>
  <si>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Does the proposed Development meet the requirements to be considered Enhanced Structural Systems Construction as outlined in Section Four A.4.d. of the RFA?</t>
  </si>
  <si>
    <t>Unit Characteristics</t>
  </si>
  <si>
    <t>Enter the applicable number of units</t>
  </si>
  <si>
    <t>Garden</t>
  </si>
  <si>
    <t>ESS Construction</t>
  </si>
  <si>
    <t>Non-ESS Construction</t>
  </si>
  <si>
    <t>Mid-Rise</t>
  </si>
  <si>
    <t>Other Dev Type*</t>
  </si>
  <si>
    <t>Rehab</t>
  </si>
  <si>
    <t>Mid-Rise, High-Rise</t>
  </si>
  <si>
    <t>Total Units:</t>
  </si>
  <si>
    <t>Section 4.A.5
Location of Proposed Development</t>
  </si>
  <si>
    <r>
      <rPr>
        <b/>
        <sz val="11"/>
        <rFont val="Calibri"/>
        <family val="2"/>
        <scheme val="minor"/>
      </rPr>
      <t>County:</t>
    </r>
    <r>
      <rPr>
        <b/>
        <sz val="11"/>
        <color theme="1"/>
        <rFont val="Calibri"/>
        <family val="2"/>
        <scheme val="minor"/>
      </rPr>
      <t xml:space="preserve"> </t>
    </r>
  </si>
  <si>
    <t>Address of Development Site</t>
  </si>
  <si>
    <t>Street Address or closest designated intersection:</t>
  </si>
  <si>
    <t>City of Development Site*:</t>
  </si>
  <si>
    <t>*If the proposed Development is located in the unincorporated area of a county, provide that information.</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</si>
  <si>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</si>
  <si>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</si>
  <si>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</si>
  <si>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</si>
  <si>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</si>
  <si>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</si>
  <si>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</si>
  <si>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</si>
  <si>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</si>
  <si>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r>
      <t xml:space="preserve">If "Yes", provide the required letter as </t>
    </r>
    <r>
      <rPr>
        <b/>
        <sz val="11"/>
        <color theme="1"/>
        <rFont val="Calibri"/>
        <family val="2"/>
        <scheme val="minor"/>
      </rPr>
      <t>Attachment 12</t>
    </r>
    <r>
      <rPr>
        <sz val="11"/>
        <color theme="1"/>
        <rFont val="Calibri"/>
        <family val="2"/>
        <scheme val="minor"/>
      </rPr>
      <t>.</t>
    </r>
  </si>
  <si>
    <t>Transit Services</t>
  </si>
  <si>
    <t>If the proposed Development will serve the Elderly (ALF or Non-ALF) Demographic Commitment, does the Applicant commit to provide Private Transportation?</t>
  </si>
  <si>
    <t>Other Transit Services</t>
  </si>
  <si>
    <t>Service</t>
  </si>
  <si>
    <t>Latitude Coordinates</t>
  </si>
  <si>
    <t>Longitude Coordinates</t>
  </si>
  <si>
    <t>Distance*</t>
  </si>
  <si>
    <t>Public Bus Stop 1</t>
  </si>
  <si>
    <t>Public Bus Stop 2</t>
  </si>
  <si>
    <t>Public Bus Stop 3</t>
  </si>
  <si>
    <t>Public Bus Transfer Stop</t>
  </si>
  <si>
    <t>Community Services</t>
  </si>
  <si>
    <t>Service Name</t>
  </si>
  <si>
    <t>Service Address</t>
  </si>
  <si>
    <t>Grocery Store</t>
  </si>
  <si>
    <t>Medical Facility</t>
  </si>
  <si>
    <t>Pharmacy</t>
  </si>
  <si>
    <t>Public School</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</si>
  <si>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</si>
  <si>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</si>
  <si>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</si>
  <si>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</si>
  <si>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Racially and Ethnically Concentrated Areas of Poverty (RECAP)</t>
  </si>
  <si>
    <t>Is any part of the proposed Development located in a RECAP designated area?</t>
  </si>
  <si>
    <t>Section 4.A.6
Number of Units and Buildings</t>
  </si>
  <si>
    <t>Enter the total number of units in the proposed Development upon completion:</t>
  </si>
  <si>
    <t>If there are existing occupied units and if the Development is funded, a plan for relocation of existing tenants will be required to be provided to the Credit Underwriter, as outlined in Exhibit D.</t>
  </si>
  <si>
    <t>Set-Aside Commitments</t>
  </si>
  <si>
    <t>Select on of the following minimum set-aside commitments:</t>
  </si>
  <si>
    <t>Total Set-Aside Breakdown Chart</t>
  </si>
  <si>
    <t>Number of Residential Units</t>
  </si>
  <si>
    <t>Percentage of Units</t>
  </si>
  <si>
    <t>AMI Level, at or below:</t>
  </si>
  <si>
    <t>Types of Units</t>
  </si>
  <si>
    <t>Housing Credit Units</t>
  </si>
  <si>
    <t>Total Qualifying HC Units</t>
  </si>
  <si>
    <t>Average AMI of the Qualifying HC Units</t>
  </si>
  <si>
    <t>Note:  If the Total Set-Aside Breakdown Chart reflects that the Average AMI of all Qualifying Housing Credit Units exceeds 60 percent, and/or if the number of Set-Aside Units set aside at 30 percent AMI or less, is not equal to or greater than the required ELI commitment, and/or the overall Set-Aside Commitment requirement is not met, the Application will not be eligible for funding.</t>
  </si>
  <si>
    <t>Unit Mix Chart</t>
  </si>
  <si>
    <t>Complete the chart below:</t>
  </si>
  <si>
    <t>Number of Bedrooms/Bathrooms per Unit</t>
  </si>
  <si>
    <t>Number of Units per Bedroom/Bathroom Type</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</si>
  <si>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</si>
  <si>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</si>
  <si>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</si>
  <si>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</si>
  <si>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</si>
  <si>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</si>
  <si>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</si>
  <si>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</si>
  <si>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</si>
  <si>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</si>
  <si>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</si>
  <si>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</si>
  <si>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</si>
  <si>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</si>
  <si>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</si>
  <si>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</si>
  <si>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</si>
  <si>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Number of Buildings</t>
  </si>
  <si>
    <t>Number of anticipated residential buildings:</t>
  </si>
  <si>
    <t>Compliance Period</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</si>
  <si>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</si>
  <si>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</si>
  <si>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</si>
  <si>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</si>
  <si>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</si>
  <si>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</si>
  <si>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</si>
  <si>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</si>
  <si>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</si>
  <si>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</si>
  <si>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Green Building Features</t>
  </si>
  <si>
    <t>Green Building feature requirements for all Developments are outlined in Section Four.</t>
  </si>
  <si>
    <t>Select one of the following Green Building Certification programs described in Section Four.</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</si>
  <si>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</si>
  <si>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</si>
  <si>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</si>
  <si>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</si>
  <si>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</si>
  <si>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</si>
  <si>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</si>
  <si>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</si>
  <si>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</si>
  <si>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</si>
  <si>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</si>
  <si>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</si>
  <si>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</si>
  <si>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</si>
  <si>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Resident Programs</t>
  </si>
  <si>
    <t>After School Program for Children</t>
  </si>
  <si>
    <t xml:space="preserve">Adult Literacy </t>
  </si>
  <si>
    <t>Employment Assistance Program</t>
  </si>
  <si>
    <t>Family Support Coordinator</t>
  </si>
  <si>
    <t>Financial Management Program</t>
  </si>
  <si>
    <t>Homeownership Opportunity Program</t>
  </si>
  <si>
    <t>Developments serving the Elderly (ALF or Non-ALF) Demographic:</t>
  </si>
  <si>
    <t>Required Resident Programs for all Applicants that select the Elderly Demographic (ALF or Non-ALF) are outlined in Section Four.</t>
  </si>
  <si>
    <t>Additional required Resident Programs for all Applicants who select the Elderly ALF Demographic Commitment are outlined in Section Four.</t>
  </si>
  <si>
    <t>Adult Literacy</t>
  </si>
  <si>
    <t>Computer Training</t>
  </si>
  <si>
    <t>Daily Activities</t>
  </si>
  <si>
    <t>Resident Assurance Check-In Program</t>
  </si>
  <si>
    <t>Section 4.A.10
Funding</t>
  </si>
  <si>
    <t>Corporation Funding</t>
  </si>
  <si>
    <t>Workforce SAIL</t>
  </si>
  <si>
    <t xml:space="preserve">If “Yes”, state the Corporation-assigned Application Number for the Development where the first phase was declared: </t>
  </si>
  <si>
    <t>(The Applicant should enter multiple SADDA ZCTA Numbers individually, one per row)</t>
  </si>
  <si>
    <t>(The Applicant should enter multiple Geographic Areas of Opportunity Census Tract Numbers individually, one per row)</t>
  </si>
  <si>
    <t>*The Applicant should enter only the tract code, please exclude the corresponding state and county codes.</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</si>
  <si>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</si>
  <si>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</si>
  <si>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</si>
  <si>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</si>
  <si>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</si>
  <si>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</si>
  <si>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</si>
  <si>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</si>
  <si>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</si>
  <si>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</si>
  <si>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SAIL</t>
  </si>
  <si>
    <t>HOME-Rental</t>
  </si>
  <si>
    <t>MMRB</t>
  </si>
  <si>
    <t>EHCL</t>
  </si>
  <si>
    <t>Non-Corporation Funding</t>
  </si>
  <si>
    <t>Non-Corporation Funding Proposals</t>
  </si>
  <si>
    <r>
      <t xml:space="preserve">Attach all funding proposals executed by the lender(s) or by any other source as </t>
    </r>
    <r>
      <rPr>
        <b/>
        <sz val="11"/>
        <color theme="1"/>
        <rFont val="Calibri"/>
        <family val="2"/>
        <scheme val="minor"/>
      </rPr>
      <t>Attachment 13</t>
    </r>
    <r>
      <rPr>
        <sz val="11"/>
        <color theme="1"/>
        <rFont val="Calibri"/>
        <family val="2"/>
        <scheme val="minor"/>
      </rPr>
      <t>.</t>
    </r>
  </si>
  <si>
    <t>Development Cost Pro Forma</t>
  </si>
  <si>
    <t>Per Unit Construction Funding Preference</t>
  </si>
  <si>
    <t>Does the proposed Development qualify for the Per Unit Construction Funding Preference?</t>
  </si>
  <si>
    <t>Section 4.B.1.
Verifying Application Fee Payment</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</si>
  <si>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</si>
  <si>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</si>
  <si>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</si>
  <si>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</si>
  <si>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</si>
  <si>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</si>
  <si>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</si>
  <si>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</si>
  <si>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</si>
  <si>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</si>
  <si>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</si>
  <si>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  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</si>
  <si>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</si>
  <si>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</si>
  <si>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The Applicant understands and agrees that it will ensure that (i) none of the General Contractor duties to manage and control the construction of the Development are subcontracted; (ii) none of the construction or inspection work that is normally performed by subcontractors is performed by the General Contractor; (iii) no construction cost is subcontracted to any entity that has common ownership or is an Affiliate of the General Contractor or the Developer, as further described in subsection 67-48.0072(17), F.A.C.; and (iv) a provision is provided in the contract with General Contractor that it will comply with subsection 67-48.0072(17)F.A.C.</t>
  </si>
  <si>
    <t>The Applicant, the Developer and all Principals are in good standing among all other state agencies and have not been prohibited from applying for funding.</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</si>
  <si>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</si>
  <si>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</si>
  <si>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</si>
  <si>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understands and agrees to cooperate with any audits conducted in accordance with the provisions set forth in Section 20.055(5), F.S.</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</si>
  <si>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</si>
  <si>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</si>
  <si>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</si>
  <si>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Signature of Authorized Principal Representative*</t>
  </si>
  <si>
    <t>Title</t>
  </si>
  <si>
    <t>*The Authorized Principal Representative must type their name indicating the acknowledgement and certification of these requirements.</t>
  </si>
  <si>
    <t>All Inclusive List - Occupied (Occ)</t>
  </si>
  <si>
    <t>All Inclusive List - Minimum IRS Set-Aside (MinIRS)</t>
  </si>
  <si>
    <t>All Inclusive List - Prior Servicer (Serv)</t>
  </si>
  <si>
    <t>To meet the submission requirements, complete the attached Development Cost Pro Forma tab.</t>
  </si>
  <si>
    <t>Is the proposed Development the first phase of a multiphase Development?</t>
  </si>
  <si>
    <t>Basis Boost Qualifications:</t>
  </si>
  <si>
    <t xml:space="preserve">If “Yes”, provide the non-metropolitan DDA county name: </t>
  </si>
  <si>
    <t xml:space="preserve">If “Yes”, indicate if it is a Metro or Non-Metro QCT:  </t>
  </si>
  <si>
    <t>Are any buildings in the proposed Development located in a Geographic Areas of Opportunity?</t>
  </si>
  <si>
    <t xml:space="preserve">If “Yes”, enter the Geographic Areas of Opportunity Census Tract Number(s):  </t>
  </si>
  <si>
    <t>Geographic Areas of Opportunity/SADDA Goal</t>
  </si>
  <si>
    <t>HOME</t>
  </si>
  <si>
    <t>Total SAIL Request Amount</t>
  </si>
  <si>
    <t>Corporation-Issued MMRB Loan Request Amount (if applicable):</t>
  </si>
  <si>
    <t>Note: NHTF funding will be awarded as outlined in Section Five and Exhibit I. NHTF funding will not be available for proposed Developments in Small Counties.</t>
  </si>
  <si>
    <t>Total Grant Request Amount, if applicable</t>
  </si>
  <si>
    <t>TBD Request Amount</t>
  </si>
  <si>
    <t>TBD Request Amount:</t>
  </si>
  <si>
    <t>Does the proposed Development qualify for the Local Government Areas of Opportunity basis boost?</t>
  </si>
  <si>
    <t>RD 515</t>
  </si>
  <si>
    <t>RD 538</t>
  </si>
  <si>
    <t>All Inclusive List - Green Certification (Green)</t>
  </si>
  <si>
    <t>All Inclusive List - Priority (Priority)</t>
  </si>
  <si>
    <t>Section 4.A.11
Local Government Contributions</t>
  </si>
  <si>
    <t>Section 4.A.5
Proximity, Mandatory Distance, and RECAP</t>
  </si>
  <si>
    <t># of Bedrooms Per Unit</t>
  </si>
  <si>
    <t>TOTAL
COSTS</t>
  </si>
  <si>
    <t>DEVELOPMENT COSTS</t>
  </si>
  <si>
    <t xml:space="preserve">Actual Construction Costs </t>
  </si>
  <si>
    <t>Accessory Buildings</t>
  </si>
  <si>
    <t>Demolition</t>
  </si>
  <si>
    <t>New Rental Units</t>
  </si>
  <si>
    <t>*Off-Site Work (explain in detail)</t>
  </si>
  <si>
    <t>Recreational Amenities</t>
  </si>
  <si>
    <t>Rehab of Existing Common Areas</t>
  </si>
  <si>
    <t>Rehab of Existing Rental Units</t>
  </si>
  <si>
    <t>Site Work</t>
  </si>
  <si>
    <t>*Other (explain in detail)</t>
  </si>
  <si>
    <t>A1.1.</t>
  </si>
  <si>
    <t xml:space="preserve">Actual Construction Cost </t>
  </si>
  <si>
    <t>$</t>
  </si>
  <si>
    <t>A1.2.</t>
  </si>
  <si>
    <t>A1.3.</t>
  </si>
  <si>
    <t>TOTAL ACTUAL CONSTRUCTION</t>
  </si>
  <si>
    <t>COSTS</t>
  </si>
  <si>
    <t>A1.4.</t>
  </si>
  <si>
    <t>General Development Costs</t>
  </si>
  <si>
    <t>Accounting Fees</t>
  </si>
  <si>
    <t>Appraisal</t>
  </si>
  <si>
    <t>Architect's Fee - Site/Building Design</t>
  </si>
  <si>
    <t>Architect's Fee - Supervision</t>
  </si>
  <si>
    <t>Builder's Risk Insurance</t>
  </si>
  <si>
    <t>Building Permit</t>
  </si>
  <si>
    <t>Capital Needs Assessment</t>
  </si>
  <si>
    <t>Engineering Fees</t>
  </si>
  <si>
    <t>Environmental Report</t>
  </si>
  <si>
    <t>Green Building Certification/</t>
  </si>
  <si>
    <t>HERS Inspection Costs</t>
  </si>
  <si>
    <t>*Impact Fees (list in detail)</t>
  </si>
  <si>
    <t>Inspection Fees</t>
  </si>
  <si>
    <t>Insurance</t>
  </si>
  <si>
    <t>Legal Fees</t>
  </si>
  <si>
    <t>Market Study</t>
  </si>
  <si>
    <t>Marketing/Advertising</t>
  </si>
  <si>
    <t>Property Taxes</t>
  </si>
  <si>
    <t>Soil Test Report</t>
  </si>
  <si>
    <t>Survey</t>
  </si>
  <si>
    <t>Tenant Relocation Costs</t>
  </si>
  <si>
    <t>Title Insurance &amp; Recording Fees</t>
  </si>
  <si>
    <t>Utility Connection Fee</t>
  </si>
  <si>
    <t>A2.1.</t>
  </si>
  <si>
    <t>TOTAL GENERAL DEVELOPMENT</t>
  </si>
  <si>
    <t>COST</t>
  </si>
  <si>
    <t>A2.2.</t>
  </si>
  <si>
    <t xml:space="preserve">Financial Costs </t>
  </si>
  <si>
    <t>Construction Loan Origination/</t>
  </si>
  <si>
    <t>Commitment Fee(s)</t>
  </si>
  <si>
    <t>Construction Loan Credit</t>
  </si>
  <si>
    <t>Enhancement Fee(s)</t>
  </si>
  <si>
    <t>Construction Loan Interest</t>
  </si>
  <si>
    <t>Non-Permanent Loan(s) Closing</t>
  </si>
  <si>
    <t>Costs</t>
  </si>
  <si>
    <t>Permanent Loan Origination/</t>
  </si>
  <si>
    <t>Permanent Loan Credit</t>
  </si>
  <si>
    <t>Permanent Loan Closing Costs</t>
  </si>
  <si>
    <t>Bridge Loan Origination/</t>
  </si>
  <si>
    <t>Bridge Loan Interest</t>
  </si>
  <si>
    <t>A3.</t>
  </si>
  <si>
    <t>TOTAL FINANCIAL COSTS</t>
  </si>
  <si>
    <t>ACQUISITION COST OF EXISTING</t>
  </si>
  <si>
    <t>DEVELOPMENT (excluding land)</t>
  </si>
  <si>
    <t>Existing Building(s)</t>
  </si>
  <si>
    <t>B.</t>
  </si>
  <si>
    <t>TOTAL ACQUISITION COSTS OF EXISTING</t>
  </si>
  <si>
    <t>C.</t>
  </si>
  <si>
    <t xml:space="preserve">DEVELOPMENT COST </t>
  </si>
  <si>
    <t>(A1.3+A1.4+A2.1+A2.2+A3+B)</t>
  </si>
  <si>
    <t>Developer Fee on Acquisition Costs</t>
  </si>
  <si>
    <t>Developer Fee on Non-Acquisition Costs</t>
  </si>
  <si>
    <t>D.</t>
  </si>
  <si>
    <t>TOTAL DEVELOPER FEE</t>
  </si>
  <si>
    <t>E.</t>
  </si>
  <si>
    <t>F.</t>
  </si>
  <si>
    <t>TOTAL LAND COST</t>
  </si>
  <si>
    <t>G.</t>
  </si>
  <si>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</si>
  <si>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</si>
  <si>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</si>
  <si>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</si>
  <si>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</si>
  <si>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</si>
  <si>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</si>
  <si>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</si>
  <si>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</si>
  <si>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</si>
  <si>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</si>
  <si>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</si>
  <si>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</si>
  <si>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</si>
  <si>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t>(as listed at Item B2. )</t>
  </si>
  <si>
    <t>CONSTRUCTION/REHAB ANALYSIS</t>
  </si>
  <si>
    <t>AMOUNT</t>
  </si>
  <si>
    <t>LENDER/TYPE OF FUNDS</t>
  </si>
  <si>
    <t>A.</t>
  </si>
  <si>
    <t>Total Development Costs</t>
  </si>
  <si>
    <t>Construction Funding Sources:</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</si>
  <si>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</si>
  <si>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</si>
  <si>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</si>
  <si>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</si>
  <si>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</si>
  <si>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</si>
  <si>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</si>
  <si>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</si>
  <si>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</si>
  <si>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 xml:space="preserve">of Occupancy or in the case of </t>
  </si>
  <si>
    <t>Rehabilitation, prior to placed-in</t>
  </si>
  <si>
    <t xml:space="preserve">service date as determined by the </t>
  </si>
  <si>
    <t>Applicant.</t>
  </si>
  <si>
    <t>Deferred Developer Fee</t>
  </si>
  <si>
    <t>Total Construction Sources</t>
  </si>
  <si>
    <t>Construction Funding Surplus</t>
  </si>
  <si>
    <t>(A negative number here represents a funding shortfall.)</t>
  </si>
  <si>
    <t>Each Attachment must be listed behind its own Tab.  DO NOT INCLUDE ALL ATTACHMENTS BEHIND ONE TAB.</t>
  </si>
  <si>
    <t>PERMANENT ANALYSIS</t>
  </si>
  <si>
    <t>Permanent Funding Sources:</t>
  </si>
  <si>
    <t>HC Syndication/HC Equity Proceeds</t>
  </si>
  <si>
    <t>Total Permanent Funding Sources</t>
  </si>
  <si>
    <t>Permanent Funding Surplus</t>
  </si>
  <si>
    <t>County</t>
  </si>
  <si>
    <t>Size</t>
  </si>
  <si>
    <t xml:space="preserve"> </t>
  </si>
  <si>
    <t>NA</t>
  </si>
  <si>
    <t xml:space="preserve">Washington </t>
  </si>
  <si>
    <t>2021 Non-Metro DDA</t>
  </si>
  <si>
    <t>N</t>
  </si>
  <si>
    <t>Y</t>
  </si>
  <si>
    <t>Max HC Request Limits</t>
  </si>
  <si>
    <t>0 Bd Units</t>
  </si>
  <si>
    <t>1 Bd Units</t>
  </si>
  <si>
    <t>2 Bd Units</t>
  </si>
  <si>
    <t>3 Bd Units</t>
  </si>
  <si>
    <t>4 Bd Units</t>
  </si>
  <si>
    <t>ELI</t>
  </si>
  <si>
    <t>NHTF</t>
  </si>
  <si>
    <t>NOTES:</t>
  </si>
  <si>
    <t xml:space="preserve">Developer fee may not exceed the limits established in Rule Chapter 67-48, F.A.C., or this RFA.  Any portion of the fee that </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</si>
  <si>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</si>
  <si>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</si>
  <si>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</si>
  <si>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</si>
  <si>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</si>
  <si>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</si>
  <si>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</si>
  <si>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</si>
  <si>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</si>
  <si>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For Application purposes, the maximum hard and soft cost contingencies allowed cannot exceed 5% of hard and soft costs </t>
  </si>
  <si>
    <t xml:space="preserve">(column 3 for A1.3. TOTAL ACTUAL CONSTRUCTION COSTS and column 3 for A2.1. TOTAL GENERAL DEVELOPMENT </t>
  </si>
  <si>
    <t xml:space="preserve">COST, respectively), as further described in Rule Chapter 67-48, F.A.C., or this RFA. </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</si>
  <si>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</si>
  <si>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</si>
  <si>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</si>
  <si>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</si>
  <si>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</si>
  <si>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in the TDC PU Limitation process.</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</si>
  <si>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</si>
  <si>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</si>
  <si>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subject to the Total Development Cost Per Unit Limitation as provided in the RFA, as well as the other cost limitations provided </t>
  </si>
  <si>
    <t>in Rule Chapter 67-48, F.A.C., as applicable.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</si>
  <si>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</si>
  <si>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</si>
  <si>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</si>
  <si>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Indicate the number of total units in the proposed Development:</t>
  </si>
  <si>
    <r>
      <t xml:space="preserve">Developer Fee </t>
    </r>
    <r>
      <rPr>
        <b/>
        <i/>
        <vertAlign val="superscript"/>
        <sz val="9"/>
        <rFont val="Arial"/>
        <family val="2"/>
      </rPr>
      <t>See Note (1)</t>
    </r>
  </si>
  <si>
    <t>Does the proposed Development qualify for the Public Housing Authority Areas of Opportunity basis boost?</t>
  </si>
  <si>
    <t>FHFC - MMRB</t>
  </si>
  <si>
    <t>Local HFA Bonds</t>
  </si>
  <si>
    <t>Seller Financing</t>
  </si>
  <si>
    <t>State Legislation</t>
  </si>
  <si>
    <t>USDA RD 538</t>
  </si>
  <si>
    <t>USDA RD 515</t>
  </si>
  <si>
    <t>USDA RD 514/516</t>
  </si>
  <si>
    <t>Local Government Subsidy</t>
  </si>
  <si>
    <t>Regulated Mortgage Lender</t>
  </si>
  <si>
    <t>South Florida Keys Area</t>
  </si>
  <si>
    <t>North Florida Keys Area</t>
  </si>
  <si>
    <t>Tax-Exempt Bonds</t>
  </si>
  <si>
    <t>SF-RC-NG-</t>
  </si>
  <si>
    <t>SF-RC-GA-</t>
  </si>
  <si>
    <t>SF-NC-MR-W</t>
  </si>
  <si>
    <t>SF-NC-MR-ESSC</t>
  </si>
  <si>
    <t>SF-NC-HR-ESSC</t>
  </si>
  <si>
    <t>SF-NC-GA-W</t>
  </si>
  <si>
    <t>SF-NC-GA-ESSC</t>
  </si>
  <si>
    <t>PF-RC-NG-</t>
  </si>
  <si>
    <t>PF-RC-GA-</t>
  </si>
  <si>
    <t>PF-NC-MR-W</t>
  </si>
  <si>
    <t>PF-NC-MR-ESSC</t>
  </si>
  <si>
    <t>PF-NC-HR-ESSC</t>
  </si>
  <si>
    <t>PF-NC-GA-W</t>
  </si>
  <si>
    <t>PF-NC-GA-ESSC</t>
  </si>
  <si>
    <t>2021-2022</t>
  </si>
  <si>
    <t>Total Units</t>
  </si>
  <si>
    <t>to or less than the TDC PU Limitation provided in the RFA?.......................................................</t>
  </si>
  <si>
    <t xml:space="preserve">Is the proposed Development's TDC PU for Limitation purposes equal </t>
  </si>
  <si>
    <t>Derivation of the TDC PU of the proposed Development for Limitation purposes:</t>
  </si>
  <si>
    <t>The TDC PU Base Limitation for the above defined Development is………………………………………....</t>
  </si>
  <si>
    <t>*For TDC PU Limitation purposes, Garden Apartments include all structure types that are 3 stories or less (Garden Apartments, Single Family Homes, Duplexes, Quadraplexes, and Townhouses).</t>
  </si>
  <si>
    <t>Total Blended TDC PU Base Limitation</t>
  </si>
  <si>
    <t>Rehab Non-Garden</t>
  </si>
  <si>
    <t>Rehab Garden</t>
  </si>
  <si>
    <t>NC High-Rise</t>
  </si>
  <si>
    <t>NC Mid-Rise ESS</t>
  </si>
  <si>
    <t>NC Mid-Rise Non-ESS</t>
  </si>
  <si>
    <t>NC Garden ESS</t>
  </si>
  <si>
    <t>NC Garden Non-ESS</t>
  </si>
  <si>
    <t>Pro Rata Limits</t>
  </si>
  <si>
    <t>Maximum TDC PU Limitation</t>
  </si>
  <si>
    <t>Unit Count</t>
  </si>
  <si>
    <t>Unit Category, Type, and ESS Designation</t>
  </si>
  <si>
    <t>In which county is the proposed Development to be located?...............................................................................</t>
  </si>
  <si>
    <t>TDC PU LIMITATION ANALYSIS</t>
  </si>
  <si>
    <t xml:space="preserve">assumptions, FHFC's TDC PU for Limitation purposes of the proposed Development or the TDC PU Limitation determined by FHFC may be different than the </t>
  </si>
  <si>
    <t xml:space="preserve">The intent of this page is to assist the Applicant in determining a TDC PU Limitation for the proposed Development and comparing it to the appropriate </t>
  </si>
  <si>
    <t>$ Per Unit</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</si>
  <si>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</si>
  <si>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The Developer Fee on Acquisition or Non-Acquisition Costs cannot exceed the maximum developer fee percentage of the relative qualifying costs: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</si>
  <si>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</si>
  <si>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Some items placed in this general category should be classified as ineligible basis.* Examples include syndication fees, credit underwriting of a tax-exempt bond, bond issuance costs.*</t>
  </si>
  <si>
    <t>If tax-exempt bonds are part of the construction financing, this line item cannot have any costs in the first column.</t>
  </si>
  <si>
    <t>Any costs associated with the issuance of tax-exempt bonds are to be excluded from eligible basis.*</t>
  </si>
  <si>
    <t>Some items placed in this general category should be classified as ineligible basis. Examples include tenant relocation costs when the building they were occupying is to be demolished, partnership organization fees, syndication legal fees.*</t>
  </si>
  <si>
    <t>Title insurance and recording fees associated with permanent financing sources are not to be included in eligible basis.*</t>
  </si>
  <si>
    <t>Relocation costs are considered to be ineligible basis when the building from which the tenants came is demolished, unless otherwise addressed by IRC Section 42.*</t>
  </si>
  <si>
    <t>The cost of a land, boundary or mortgage survey that help to define the entire property is to be excluded from eligible basis.*</t>
  </si>
  <si>
    <t>The cost of certain surveys that will not necessarily need to be redone when the proposed building(s) are demolished and replaced are to be excluded from eligible basis, including soil borings, geotechnical investigations, suitability studies, wetland reviews, mapping of wetland, and inspections of wetland, wetland characterization, and groundwater investigations.</t>
  </si>
  <si>
    <t>The cost of property taxes accrued outside of the term beginning at time of acquisition through issuance of the certificate of occupancy (or temporary) are to be excluded from eligible basis.*</t>
  </si>
  <si>
    <t>The market study required by IRS prior to the issuance of the Carryover Agreement is to be excluded from eligible basis.*</t>
  </si>
  <si>
    <t>Certain legal fees are to be excluded from eligible basis, such as those associated with issuance of tax-exempt bonds, partnership costs, land acquisition, and negotiating financing.*</t>
  </si>
  <si>
    <t>Bank inspector fees associated with tax-exempt bonds are to be excluded from eligible basis.*</t>
  </si>
  <si>
    <t>Do not include any part of any impact fees that are to be paid initially, but will be returned/refunded back to the Applicant at a later date, usually upon delivery of an affordable housing development.</t>
  </si>
  <si>
    <t>The cost of environment surveys such as percolation tests and contamination studies are to be excluded from eligible basis.*</t>
  </si>
  <si>
    <t>The cost of the preparation of erosion control plan, grading plan, utility plans, general details, easement descriptions, sewer and sanitary plans and traffic engineering are to be excluded from eligible basis.*</t>
  </si>
  <si>
    <t>The cost of preparing the cost certifications and any accounting fees associated with organizing the Applicant entity are to be excluded from eligible basis.*</t>
  </si>
  <si>
    <t>The cost of landscaping that would not be physically destroyed when the proposed building(s) is to be demolished (at the end of its useful life) and replaced is to be excluded from eligible basis.*</t>
  </si>
  <si>
    <t>The cost of clearing, grubbing, cutting, filling and grading necessary to bring the land to a suitable grade (but not activity that provides a proper setting for a building or a paved roadway) are to be excluded from eligible basis.*</t>
  </si>
  <si>
    <t xml:space="preserve">The cost of commercial/retail space is to be excluded from eligible basis.*  </t>
  </si>
  <si>
    <r>
      <t xml:space="preserve">Commercial/Retail Space </t>
    </r>
    <r>
      <rPr>
        <vertAlign val="superscript"/>
        <sz val="9"/>
        <rFont val="Arial"/>
        <family val="2"/>
      </rPr>
      <t>See Note (6)</t>
    </r>
  </si>
  <si>
    <t xml:space="preserve">The cost of demolition is to be excluded from eligible basis.*  </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</si>
  <si>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</si>
  <si>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If a double asterisk is indicated within the Development Cost Pro Forma, there is an error on that line item.</t>
  </si>
  <si>
    <t>LGC</t>
  </si>
  <si>
    <t>LG AofO</t>
  </si>
  <si>
    <t>Minimum # of Units - Florida Keys</t>
  </si>
  <si>
    <t>Automating Funding Tab to Pro Forma Tab</t>
  </si>
  <si>
    <t>Housing Credit Request Amount</t>
  </si>
  <si>
    <t>Competitive Housing Credit Request Amount (annual amount):</t>
  </si>
  <si>
    <t>Non-Competitive Housing Credit Request Amount (annual amount):</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</si>
  <si>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</si>
  <si>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</si>
  <si>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</si>
  <si>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</si>
  <si>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</si>
  <si>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</si>
  <si>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</si>
  <si>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r>
      <t xml:space="preserve">White-out the input &amp; marker indicators in columns L:N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</si>
  <si>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J:L in </t>
    </r>
    <r>
      <rPr>
        <b/>
        <sz val="11"/>
        <color theme="1"/>
        <rFont val="Calibri"/>
        <family val="2"/>
        <scheme val="minor"/>
      </rPr>
      <t>General Information</t>
    </r>
    <r>
      <rPr>
        <sz val="11"/>
        <color theme="1"/>
        <rFont val="Calibri"/>
        <family val="2"/>
        <scheme val="minor"/>
      </rPr>
      <t xml:space="preserve"> tab:</t>
    </r>
  </si>
  <si>
    <t>§</t>
  </si>
  <si>
    <t>For all Development Types except Mid-Rise and High-Rise: Energy Star rating for all windows in each unit;</t>
  </si>
  <si>
    <t>o</t>
  </si>
  <si>
    <t>For Development Type of Mid-Rise and High-Rise:</t>
  </si>
  <si>
    <t>U-Factor of 0.50 or less and a SHHGC of 0.25 or less where the fenestration is fixed; and</t>
  </si>
  <si>
    <t>U-Factor of 0.65 or less and a SHHGC of 0.25 or less where the fenestration is operable (i.e., the window opens)</t>
  </si>
  <si>
    <t>Energy efficient windows in each unit as provided below</t>
  </si>
  <si>
    <t>CountyData is a named range for A10: P76</t>
  </si>
  <si>
    <t>Local Government Contribution Variables</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</si>
  <si>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</si>
  <si>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</si>
  <si>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Is the LGAO in effect for this RFA?</t>
  </si>
  <si>
    <t>(Per County minimums found in CountData, column 3)</t>
  </si>
  <si>
    <t>LG Verification of Contribution</t>
  </si>
  <si>
    <t>Face Amount</t>
  </si>
  <si>
    <t>Net Present Value</t>
  </si>
  <si>
    <t>Value of Contribution</t>
  </si>
  <si>
    <t>Loan Form(s)</t>
  </si>
  <si>
    <t>Grant Form(s)</t>
  </si>
  <si>
    <t>Fee Waiver Form(s)</t>
  </si>
  <si>
    <t>Fee Deferral Form(s)</t>
  </si>
  <si>
    <t>Totals</t>
  </si>
  <si>
    <t>Local Government Areas of Opportunity Designation</t>
  </si>
  <si>
    <t>Name of Local Government</t>
  </si>
  <si>
    <t>Total Cash</t>
  </si>
  <si>
    <t>Total Cash Loan(s)</t>
  </si>
  <si>
    <t>Total Cash Grant(s)</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</si>
  <si>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</si>
  <si>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</si>
  <si>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</si>
  <si>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</si>
  <si>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RFA number with the payment. Additionally, include the following:</t>
  </si>
  <si>
    <t>Per Unit Construction Funding Preference Minimum</t>
  </si>
  <si>
    <t>Funding Limits Per Program</t>
  </si>
  <si>
    <t>Per Development</t>
  </si>
  <si>
    <t>Per Unit</t>
  </si>
  <si>
    <t>See Above Table</t>
  </si>
  <si>
    <t>Per 0 Bd Unit</t>
  </si>
  <si>
    <t>Per 1 Bd Unit</t>
  </si>
  <si>
    <t>Per 2 Bd Unit</t>
  </si>
  <si>
    <t>Per 3 Bd Unit</t>
  </si>
  <si>
    <t>Per 4 Bd Unit</t>
  </si>
  <si>
    <t>Per Development - Large County</t>
  </si>
  <si>
    <t>Per Development - Small or Medium County</t>
  </si>
  <si>
    <t>Per Development - Preservation/Rehab w or w/o Acq</t>
  </si>
  <si>
    <t>22% AMI</t>
  </si>
  <si>
    <t>30% AMI</t>
  </si>
  <si>
    <t>Per Development - Minimum Miami-Dade</t>
  </si>
  <si>
    <t>Per Unit - Not Self-Sourced</t>
  </si>
  <si>
    <t>Per Unit - Self-Sourced</t>
  </si>
  <si>
    <t>Per Development - Florida Keys</t>
  </si>
  <si>
    <t>Per Development - NOT in Florida Keys</t>
  </si>
  <si>
    <t>Per Unit @ 80% AMI - NOT in Florida Keys</t>
  </si>
  <si>
    <t>Applicant's Workforce SAIL Request Amount:</t>
  </si>
  <si>
    <t>Per WF Only/HC Only Unit - Florida Keys</t>
  </si>
  <si>
    <t>Per HC Unit when no units above 80% AMI- Florida Keys</t>
  </si>
  <si>
    <t>Per Development in Florida Keys</t>
  </si>
  <si>
    <t>Per Unit in Keys if any above 80% AMI or no AIT</t>
  </si>
  <si>
    <t>Per Unit in Keys if AIT &amp; none above 80% AMI</t>
  </si>
  <si>
    <t>Per Development Exclusive of Florida Keys</t>
  </si>
  <si>
    <t>Per Unit Exclusive of Florida Keys</t>
  </si>
  <si>
    <t>SAIL + ELI</t>
  </si>
  <si>
    <t>Grant</t>
  </si>
  <si>
    <t>Maximum Grant Request Amount Per Development:</t>
  </si>
  <si>
    <t xml:space="preserve">Applicant's Grant Request Amount:  </t>
  </si>
  <si>
    <t>Applicant's ELI Loan Request Amount:</t>
  </si>
  <si>
    <t>Per Development - Large Counties</t>
  </si>
  <si>
    <t>Per Development - Small and Medium Counties</t>
  </si>
  <si>
    <t>Per Development - Minimum for Miami-Dade County</t>
  </si>
  <si>
    <t>Per Unit - Non-Self-Sourced Applicants</t>
  </si>
  <si>
    <t xml:space="preserve">Workforce SAIL Request Amount Limits:  </t>
  </si>
  <si>
    <t xml:space="preserve">SAIL Request Amount Limits:  </t>
  </si>
  <si>
    <t>*with or without Acquisition</t>
  </si>
  <si>
    <t>Does the Applicant qualify as a Self-Sourced Applicant?</t>
  </si>
  <si>
    <t>Per Unit for New Construction</t>
  </si>
  <si>
    <t>Per Unit for Substantial Rehabilitation</t>
  </si>
  <si>
    <t>Per Development - Demographic Basis</t>
  </si>
  <si>
    <t>Per Development - Demographic, RFA Dependent</t>
  </si>
  <si>
    <t xml:space="preserve">ELI Request Amount Limits:  </t>
  </si>
  <si>
    <t>Per Unit - New Construction</t>
  </si>
  <si>
    <t>Per Unit - Substantial Rehabilitation</t>
  </si>
  <si>
    <t>Percent of TDC when ELI Units &lt;5% of total units</t>
  </si>
  <si>
    <t>Percent of TDC when ELI Units &gt;=5% of total units</t>
  </si>
  <si>
    <t>Met</t>
  </si>
  <si>
    <r>
      <t xml:space="preserve">White-out the input &amp; marker indicators in columns K:P in </t>
    </r>
    <r>
      <rPr>
        <b/>
        <sz val="11"/>
        <color theme="1"/>
        <rFont val="Calibri"/>
        <family val="2"/>
        <scheme val="minor"/>
      </rPr>
      <t>Funding a,b,d,e</t>
    </r>
    <r>
      <rPr>
        <sz val="11"/>
        <color theme="1"/>
        <rFont val="Calibri"/>
        <family val="2"/>
        <scheme val="minor"/>
      </rPr>
      <t xml:space="preserve"> tab:</t>
    </r>
  </si>
  <si>
    <t># of Bedrooms</t>
  </si>
  <si>
    <t>ELI Per Unit</t>
  </si>
  <si>
    <t>Total ELI</t>
  </si>
  <si>
    <t>ELI Funding</t>
  </si>
  <si>
    <t>Funded ELI</t>
  </si>
  <si>
    <t>Prorata ELI Distribution</t>
  </si>
  <si>
    <t>Per Unit (from the 'Units, Set-Asides, Buildings' tab)</t>
  </si>
  <si>
    <t>Competitive Housing Credit Request Amount</t>
  </si>
  <si>
    <t xml:space="preserve">Housing Credit Request Amount Limits:  </t>
  </si>
  <si>
    <t>Per Development - Hillsborough, Orange, Palm Beach</t>
  </si>
  <si>
    <t>Per Development - Medium Counties</t>
  </si>
  <si>
    <t>Per Development - Small Counties</t>
  </si>
  <si>
    <t>Per Development - Keys Workforce (&lt;61 units)</t>
  </si>
  <si>
    <t>Per Development - Keys Workforce (&gt;60 units)</t>
  </si>
  <si>
    <t>9% HCs</t>
  </si>
  <si>
    <t>Per Unit - Keys Workforce (&lt;61 units)</t>
  </si>
  <si>
    <t>Per Unit - Keys Workforce (&gt;60 units)</t>
  </si>
  <si>
    <t>Per Development - Broward, Miami-Dade</t>
  </si>
  <si>
    <t>* Other Dev(elopment) Type means any Development Type that is not specifically identified in the chart but could be selected in drop-down menu in A.4.A.c.</t>
  </si>
  <si>
    <t>Maximum TBD Request Amount Per Development:</t>
  </si>
  <si>
    <t>Maximum TBD Request Amount Per Unit:</t>
  </si>
  <si>
    <t>(this section is simply a place holder with no formulas)</t>
  </si>
  <si>
    <t>First completed affordable rental housing development that meets the management experience requirement outlined in Section Four of the RFA</t>
  </si>
  <si>
    <t>Second completed affordable rental housing development that meets the management experience requirement outlined in Section Four of the RFA</t>
  </si>
  <si>
    <r>
      <t xml:space="preserve">White-out the input &amp; marker indicators in columns K:M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</si>
  <si>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J:L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</si>
  <si>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K:M in </t>
    </r>
    <r>
      <rPr>
        <b/>
        <sz val="11"/>
        <color theme="1"/>
        <rFont val="Calibri"/>
        <family val="2"/>
        <scheme val="minor"/>
      </rPr>
      <t>Proximity, Mand.Dist., RECAP</t>
    </r>
    <r>
      <rPr>
        <sz val="11"/>
        <color theme="1"/>
        <rFont val="Calibri"/>
        <family val="2"/>
        <scheme val="minor"/>
      </rPr>
      <t xml:space="preserve"> tab:</t>
    </r>
  </si>
  <si>
    <t>Enter 0 to reflect Workforce units, 1 for Market Rate units</t>
  </si>
  <si>
    <t>Rehabilitation w/ or w/o Acquisition</t>
  </si>
  <si>
    <r>
      <t xml:space="preserve">White-out the input &amp; marker indicators in columns P:R in </t>
    </r>
    <r>
      <rPr>
        <b/>
        <sz val="11"/>
        <color theme="1"/>
        <rFont val="Calibri"/>
        <family val="2"/>
        <scheme val="minor"/>
      </rPr>
      <t>Units, Set-Asides, Buildings</t>
    </r>
    <r>
      <rPr>
        <sz val="11"/>
        <color theme="1"/>
        <rFont val="Calibri"/>
        <family val="2"/>
        <scheme val="minor"/>
      </rPr>
      <t xml:space="preserve"> tab:</t>
    </r>
  </si>
  <si>
    <t>Comments provided in Units, Set-Asides, Buildings tab for Unit Mix table</t>
  </si>
  <si>
    <t>Farmworker/Commercial Fish Worker</t>
  </si>
  <si>
    <t>North of SW 224th Street</t>
  </si>
  <si>
    <t>South of SW 224th Street</t>
  </si>
  <si>
    <t>Destination Conditional Formatting</t>
  </si>
  <si>
    <t>Broward, Miami-Dade</t>
  </si>
  <si>
    <t>Hillsborough, Orange, Palm Beach</t>
  </si>
  <si>
    <t>Medium Counties</t>
  </si>
  <si>
    <t>Small Counties that are not Monroe</t>
  </si>
  <si>
    <t>Large Counties &amp; Preservation w/ or w/o Acquisition</t>
  </si>
  <si>
    <t>Monroe, any # of units</t>
  </si>
  <si>
    <t>Monroe, units &gt; 60</t>
  </si>
  <si>
    <t>Leveraging Classification</t>
  </si>
  <si>
    <t>The Leveraging Classification process must first determine the Applicant's total Corporation funding per set-aside unit and includes the following steps:</t>
  </si>
  <si>
    <t>Leveraging Classification variables</t>
  </si>
  <si>
    <t>Eligible Housing Credit Request Amount multiplier</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</si>
  <si>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</si>
  <si>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</si>
  <si>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</si>
  <si>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</si>
  <si>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</si>
  <si>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</si>
  <si>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</si>
  <si>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t>
  </si>
  <si>
    <t>Rate of Florida Jobs per unit for Multifamily Rehab Only units</t>
  </si>
  <si>
    <t>Rate of Florida Jobs per unit for Multifamily units with Acq &amp; Rehab</t>
  </si>
  <si>
    <t>Rate of Florida Jobs per unit for Multifamily new construction units</t>
  </si>
  <si>
    <t>Rate of Florida Jobs per unit for Single Family new construction units</t>
  </si>
  <si>
    <t>Loan multiplier for have a Housing Credit basis boost</t>
  </si>
  <si>
    <t>TDC PU Base Limitations</t>
  </si>
  <si>
    <t>w/ PHA/Federal Add-On</t>
  </si>
  <si>
    <t>w/ Bond Add-On</t>
  </si>
  <si>
    <t>Constr Features Multiplier</t>
  </si>
  <si>
    <t>North FL Keys Multiplier</t>
  </si>
  <si>
    <t>South FL Keys Multiplier</t>
  </si>
  <si>
    <t>Leveraging Classification Development Type Multipliers</t>
  </si>
  <si>
    <t>The applicable Eligible Housing Credit Request Amount</t>
  </si>
  <si>
    <t>The applicable Eligible SAIL Request Amount</t>
  </si>
  <si>
    <t>Does the proposed Development indicate it qualifies for a Housing Credit basis boost?</t>
  </si>
  <si>
    <t>Does the proposed Development indicate it is located in Broward County?</t>
  </si>
  <si>
    <t>What is the Applicant's total Corporation's funding?</t>
  </si>
  <si>
    <t>The applicable Eligible Grant Request Amount</t>
  </si>
  <si>
    <t>Is implied eligible housing credit equity a factor?</t>
  </si>
  <si>
    <t>Is Grant funding a factor?</t>
  </si>
  <si>
    <t>Is SAIL funding a factor?</t>
  </si>
  <si>
    <t>Is HOME funding a factor?</t>
  </si>
  <si>
    <t>Minimum Florida Job Creation Score 1</t>
  </si>
  <si>
    <t>Minimum Florida Job Creation Score 2</t>
  </si>
  <si>
    <t>Only recognized when SAIL &amp; Grant are "Yes" and Demographic is PDD.</t>
  </si>
  <si>
    <t>Florida Job Creation Preference score</t>
  </si>
  <si>
    <t>Score is rounded to two decimals to allow a visual pass</t>
  </si>
  <si>
    <t>Manually override if any single row is not to be used</t>
  </si>
  <si>
    <t>Need to incorporate into template when needed</t>
  </si>
  <si>
    <t>Florida Job Creation Funding Preference (2022-2023 RFA Cycle)</t>
  </si>
  <si>
    <t>Name of each Developer (including all co-Developers, one per line)</t>
  </si>
  <si>
    <t>State whether the Development consists of Scattered Sites</t>
  </si>
  <si>
    <t>Does the proposed Development consist of Scattered Sites?</t>
  </si>
  <si>
    <t>a</t>
  </si>
  <si>
    <t>Applicable Add-On(s):</t>
  </si>
  <si>
    <t>Applicable Multiplier(s):</t>
  </si>
  <si>
    <t>PDD/PDC Unit Multiplier (1)(&lt;51 Units)</t>
  </si>
  <si>
    <t>PDD/PDC Unit Multiplier (2)(&gt;50,&lt;81 Units)</t>
  </si>
  <si>
    <t>TDC PU Base Add-Ons and Multipliers</t>
  </si>
  <si>
    <t>Geo</t>
  </si>
  <si>
    <t>AHP</t>
  </si>
  <si>
    <t>CDBG-DR</t>
  </si>
  <si>
    <t>CWHIP</t>
  </si>
  <si>
    <t>CWHLP</t>
  </si>
  <si>
    <t>Exchange</t>
  </si>
  <si>
    <t>FAF</t>
  </si>
  <si>
    <t>FDIC</t>
  </si>
  <si>
    <t>FHLB</t>
  </si>
  <si>
    <t>Legislative Appropriation</t>
  </si>
  <si>
    <t>PLP</t>
  </si>
  <si>
    <t>RRLP</t>
  </si>
  <si>
    <t>SB 1852 NMS</t>
  </si>
  <si>
    <t>SHADP</t>
  </si>
  <si>
    <t>SHIP</t>
  </si>
  <si>
    <t>Surtax</t>
  </si>
  <si>
    <t>TCAP</t>
  </si>
  <si>
    <t>HUD First Mortgage</t>
  </si>
  <si>
    <t>HHRP</t>
  </si>
  <si>
    <t>All Inclusive List - Dev. Exp. Programs (DevExpProgs)</t>
  </si>
  <si>
    <t>Affordable Housing Program(s) that Provided Financing</t>
  </si>
  <si>
    <t>4.A.2.</t>
  </si>
  <si>
    <t>4.A.3.b.(3)(a)</t>
  </si>
  <si>
    <t>Initial Date for Developer Experience</t>
  </si>
  <si>
    <t>Developer Experience Variables</t>
  </si>
  <si>
    <t>Funding Program Requirement</t>
  </si>
  <si>
    <t># of Developments to meet minimum units</t>
  </si>
  <si>
    <t>Housing Credits</t>
  </si>
  <si>
    <t>Application Deadline</t>
  </si>
  <si>
    <t>Minimum total number of units %</t>
  </si>
  <si>
    <t>Minimum total number of units #</t>
  </si>
  <si>
    <t>Is minimum % or minimum # used in RFA?</t>
  </si>
  <si>
    <t>Percentage</t>
  </si>
  <si>
    <t>Number</t>
  </si>
  <si>
    <t>4.A.4.b.(1)</t>
  </si>
  <si>
    <t>4.A.5.a.</t>
  </si>
  <si>
    <t>4.A.5.a.(2)</t>
  </si>
  <si>
    <t>4.A.5.a.(1)</t>
  </si>
  <si>
    <t>4.A.5.c.</t>
  </si>
  <si>
    <t>4.A.6.b.</t>
  </si>
  <si>
    <t>4.A.6.d.(1)</t>
  </si>
  <si>
    <t>4.A.3.c.(3)</t>
  </si>
  <si>
    <t>4.A.3.d. &amp; e.</t>
  </si>
  <si>
    <t>4.A.3.d.(2)</t>
  </si>
  <si>
    <t>4.A.6.a.</t>
  </si>
  <si>
    <t>Minimum # of Units - Pinellas</t>
  </si>
  <si>
    <t>Minimum Units Variables</t>
  </si>
  <si>
    <t>Miami-Dade Relative Location</t>
  </si>
  <si>
    <t>FL Keys Relative Location</t>
  </si>
  <si>
    <t>PU Constr Preference Variable</t>
  </si>
  <si>
    <t>4.A.6.e.</t>
  </si>
  <si>
    <t>4.A.11.d.</t>
  </si>
  <si>
    <t>Non-Competitive</t>
  </si>
  <si>
    <t>Min # of Years each</t>
  </si>
  <si>
    <t># of affordable housing developments to list</t>
  </si>
  <si>
    <t>4.A.4.b.(3)(b)</t>
  </si>
  <si>
    <t>All Inclusive List - RA Contract (RA_Source)</t>
  </si>
  <si>
    <t>Section 202</t>
  </si>
  <si>
    <t>Section 236</t>
  </si>
  <si>
    <t>RD 514</t>
  </si>
  <si>
    <t>RD 516</t>
  </si>
  <si>
    <t>Section 811</t>
  </si>
  <si>
    <t>Add-On</t>
  </si>
  <si>
    <t>Multiplier</t>
  </si>
  <si>
    <t>TDC PU Base Limitation</t>
  </si>
  <si>
    <t>Maximum # of Units - Broward, Miami-Dade</t>
  </si>
  <si>
    <t>New Construction / Redev / Acq &amp; Redev</t>
  </si>
  <si>
    <t>App's Min #:</t>
  </si>
  <si>
    <t>App's Max #:</t>
  </si>
  <si>
    <t>of the Applicant. Applicant is responsible to verify and be in compliance with all aspects of the Application to meet RFA criteria.</t>
  </si>
  <si>
    <t xml:space="preserve">any programing errors. FHFC will not use this page to score TDC PU Limitation criteria.  If FHFC makes any adjustments to the Applicant's data or </t>
  </si>
  <si>
    <t xml:space="preserve">RFA's TDC PU Limitation. The accuracy of the comparison is dependent upon the accuracy of the inputs and Florida Housing takes no responsibility in </t>
  </si>
  <si>
    <t xml:space="preserve">amounts provided below. Please read the RFA for qualifying responses and definition of terms. This table is optional and its use is at the sole discretion </t>
  </si>
  <si>
    <t>Blended Characteristic TDC PU Base Limitation*</t>
  </si>
  <si>
    <t>Does the proposed Development qualify for any TDC PU Add-Ons or Multipliers?</t>
  </si>
  <si>
    <t>The final overall TDC PU Limitation for the above defined Development is……….....………………</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</si>
  <si>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</si>
  <si>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</si>
  <si>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</si>
  <si>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</si>
  <si>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</si>
  <si>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</si>
  <si>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TDC of the proposed Development for Limitation Purposes:….................................................................................</t>
  </si>
  <si>
    <t>TDC PU of the proposed Development for Limitation Purposes:…..............................................................................</t>
  </si>
  <si>
    <t>Required Davis-Bacon</t>
  </si>
  <si>
    <t>Qualifying Financial Assistance Funding Preference</t>
  </si>
  <si>
    <t>Cash loans, cash grants and/or cash-on-hand indicated in Development Cost Pro Forma:</t>
  </si>
  <si>
    <t>Percent of SAIL/Grant Request Amount</t>
  </si>
  <si>
    <t>Does the amount of Cash Funding meet the minimum requirement?</t>
  </si>
  <si>
    <t>Does the Applicant have a donation of land by a Local Government that meets all of the criteria provided in the RFA to qualify for the Qualifying Financial Assistance Funding Preference?</t>
  </si>
  <si>
    <t>Allowance for Higher Costs of Enhanced Safety and Accessibility Features</t>
  </si>
  <si>
    <t>Does the Application qualify for the Construction Features Multiplier described in the RFA?</t>
  </si>
  <si>
    <t>Request Amount Basis</t>
  </si>
  <si>
    <t>SAIL/Grant</t>
  </si>
  <si>
    <t>Base</t>
  </si>
  <si>
    <t>Funding?</t>
  </si>
  <si>
    <t>Cash</t>
  </si>
  <si>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</si>
  <si>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4.A.6.d.(2)</t>
  </si>
  <si>
    <t>Minimum Set-Asides Variables</t>
  </si>
  <si>
    <t>AMI</t>
  </si>
  <si>
    <t>4.A.6.d.&amp;e.</t>
  </si>
  <si>
    <t>App Status</t>
  </si>
  <si>
    <t>If AIT, Average HC AMI in App</t>
  </si>
  <si>
    <t>Enter 0 to "hide" units above 60% AMI, 1 to include them</t>
  </si>
  <si>
    <t>Non-ELI Set-Aside Commitment Term</t>
  </si>
  <si>
    <t>ELI Set-Aside Commitment Term</t>
  </si>
  <si>
    <t>Years</t>
  </si>
  <si>
    <t>Applicants requesting MMRB Funding along with Housing Credits will have the following MMRB Set-Aside Commitment:</t>
  </si>
  <si>
    <t>MMRB Units</t>
  </si>
  <si>
    <t>Meets?</t>
  </si>
  <si>
    <t>Minimum Loan-Only Set-Asides (6.d.(2)(a))</t>
  </si>
  <si>
    <t>Maximum Loan-Only AMI Set-Aside (6.d.(2)(a))</t>
  </si>
  <si>
    <t>AIT Hurdle</t>
  </si>
  <si>
    <t>AIT App</t>
  </si>
  <si>
    <t>2022-2023</t>
  </si>
  <si>
    <t>40% of units at 60% of Area Median Income (AMI) or lower</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</si>
  <si>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</si>
  <si>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</si>
  <si>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</si>
  <si>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</si>
  <si>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</si>
  <si>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</si>
  <si>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</si>
  <si>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</si>
  <si>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</si>
  <si>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</si>
  <si>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</si>
  <si>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</si>
  <si>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</si>
  <si>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Can accommodate 2 or 3</t>
  </si>
  <si>
    <t>Lesser of Maximum Request Amount Per Development, or Maximum Request Amount via Per Unit Limit:</t>
  </si>
  <si>
    <t>Lesser of Maximum Request Amount Per Development, or Total Maximum Subsidy Allowed:</t>
  </si>
  <si>
    <t>Lesser of Maximum Request Amount Per Development, or Total Maximum Request Amount via Per Unit Limit:</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</si>
  <si>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</si>
  <si>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</si>
  <si>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r>
      <t xml:space="preserve">Minimum 0&amp;1 Bedroom Units, </t>
    </r>
    <r>
      <rPr>
        <b/>
        <sz val="11"/>
        <color theme="1"/>
        <rFont val="Calibri"/>
        <family val="2"/>
        <scheme val="minor"/>
      </rPr>
      <t>Elderly Non-ALF/ETP</t>
    </r>
  </si>
  <si>
    <r>
      <t xml:space="preserve">Maximum Units over 2 Bedrooms, </t>
    </r>
    <r>
      <rPr>
        <b/>
        <sz val="11"/>
        <color theme="1"/>
        <rFont val="Calibri"/>
        <family val="2"/>
        <scheme val="minor"/>
      </rPr>
      <t>Elderly Non-ALF/ETP</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</si>
  <si>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t>
    </r>
  </si>
  <si>
    <t>The requirement limiting the number of units with more than 2 bedrooms is not met.</t>
  </si>
  <si>
    <t>Individual Eligibility Notice</t>
  </si>
  <si>
    <t>Grouped Eligibiltiy Notice</t>
  </si>
  <si>
    <t>The minimum 0- and 1-bedroom unit requirement is not met.</t>
  </si>
  <si>
    <t>The maximum 0-bedroom unit requirement is not met.</t>
  </si>
  <si>
    <t>The minimum 1-bedroom unit requirement is not met.</t>
  </si>
  <si>
    <t>The maximum 3-bedroom unit requirement is not met.</t>
  </si>
  <si>
    <t xml:space="preserve"> Units entered do not equal Total Units.</t>
  </si>
  <si>
    <t>Qualified Basis Calculations</t>
  </si>
  <si>
    <t>Acquisition</t>
  </si>
  <si>
    <t>New Costs</t>
  </si>
  <si>
    <t>Less Cost of Land and Existing Improvements...............................................................................................</t>
  </si>
  <si>
    <t>Less Developer Fee on Acquisition of Buildings….................................................................</t>
  </si>
  <si>
    <t>Less Other Ineligible Costs…..................................................................................................</t>
  </si>
  <si>
    <t>Annual Housing Credit Allocation Per Qualified Basis…......................................................</t>
  </si>
  <si>
    <t>Gap Calculation</t>
  </si>
  <si>
    <t>Total Development Cost (including land and ineligible costs)...........…..............................................................</t>
  </si>
  <si>
    <t>Housing Credit Percentage (Federal allocation)….......................................................................</t>
  </si>
  <si>
    <t>Less Mortgages…....................................................................................................................</t>
  </si>
  <si>
    <t>HC Percentage to Investment Partnership…..............................................................................................................</t>
  </si>
  <si>
    <t>HC Syndication Pricing…..............................................................................................................</t>
  </si>
  <si>
    <t>HC Required to meet Equity Gap…..............................................................................................................</t>
  </si>
  <si>
    <t>HC Summary</t>
  </si>
  <si>
    <t>HC Per Qualified Basis…............…..............................................................................................................</t>
  </si>
  <si>
    <t>Annual HC Recommended…................................................................................................................</t>
  </si>
  <si>
    <t>HC Proceeds Recommended…...................................................................................................</t>
  </si>
  <si>
    <t>Tax Exempt Bond 50% Test</t>
  </si>
  <si>
    <t>Total DEPRECIABLE Cost….........................................…..............................................................</t>
  </si>
  <si>
    <t>Plus Land Cost…....................................................................................................................</t>
  </si>
  <si>
    <t>Aggregate Basis…............…..............................................................................................................</t>
  </si>
  <si>
    <t>Tax Exempt Proceeds as a Percentage of Aggregate Basis..............................................................................................................</t>
  </si>
  <si>
    <r>
      <t>Additional 5% Developer Fee</t>
    </r>
    <r>
      <rPr>
        <sz val="8"/>
        <rFont val="Arial"/>
        <family val="2"/>
      </rPr>
      <t xml:space="preserve"> for the RFA's</t>
    </r>
  </si>
  <si>
    <t>designated Demographic Commitment</t>
  </si>
  <si>
    <t>Assumed to be 99.99%. Change as necessary.</t>
  </si>
  <si>
    <t>Tax Exempt Bond Amount…............…..............................................................................................................</t>
  </si>
  <si>
    <t>Market Rate Units</t>
  </si>
  <si>
    <t>AMI Dropdown Menu List (AMI_List)</t>
  </si>
  <si>
    <t>Applicable Fraction (percent set-aside units)…..............................................................................................................</t>
  </si>
  <si>
    <t>Does the proposed Development qualify for the Demographic commitment basis boost?</t>
  </si>
  <si>
    <t>Does the Applicant intend to utilized NHTF Funding for NHTF Units?</t>
  </si>
  <si>
    <t>The proposed Development has the following calculation for the Florida Job Creation score in accordance with the RFA:</t>
  </si>
  <si>
    <t>Answer all HUD basis boost questions above</t>
  </si>
  <si>
    <t>Is the proposed Development a subsequent phase of a multiphase Development and eligible for the HUD basis boost?</t>
  </si>
  <si>
    <t>Is the proposed Development located in a HUD-designated non-metropolitan DDA?</t>
  </si>
  <si>
    <t>Gap Loan: Name (Bond/4%HC/Gap)</t>
  </si>
  <si>
    <t>Pro Forma Max Fees &amp; Contingencies</t>
  </si>
  <si>
    <t>Qualifying RA Level based on Percentage of Total Units Receiving RA</t>
  </si>
  <si>
    <t>Qualifying RA Level based on Total Number of Units receiving RA</t>
  </si>
  <si>
    <t>Best Qualifying RA Level and associated criteria</t>
  </si>
  <si>
    <t>Acquisition Cost of Land and Existing Improvements…..........................................................................</t>
  </si>
  <si>
    <t>Less Land Costs…......................................................................................................................</t>
  </si>
  <si>
    <t>Plus Developer Fee Attributable to Acquisition…...........................................................................</t>
  </si>
  <si>
    <t>Total Eligible Basis….........................................................................................................................</t>
  </si>
  <si>
    <t>DDA/QCT Basis Credit, if applicable….................................................................................................</t>
  </si>
  <si>
    <t>Qualified Basis…................................................................................................................................</t>
  </si>
  <si>
    <t>Housing Credit Percentage (Federal allocation)…................................................................................</t>
  </si>
  <si>
    <t>Annual Housing Credit Allocation….......................................................................................................</t>
  </si>
  <si>
    <t>* Based on the assumption that 100% of the Tax Exempt Proceeds will be used for Building and Land.</t>
  </si>
  <si>
    <r>
      <t>Equals Tax Exempt Proceeds Used for Building and Land</t>
    </r>
    <r>
      <rPr>
        <b/>
        <sz val="10"/>
        <color theme="1"/>
        <rFont val="Arial"/>
        <family val="2"/>
      </rPr>
      <t>*</t>
    </r>
    <r>
      <rPr>
        <sz val="10"/>
        <color theme="1"/>
        <rFont val="Arial"/>
        <family val="2"/>
      </rPr>
      <t>.........................................................................................................</t>
    </r>
  </si>
  <si>
    <t>Total Eligible Basis…...........................................................................................................................</t>
  </si>
  <si>
    <t>Total Development Cost..…...............................................…..............................................................</t>
  </si>
  <si>
    <t>Minimum # of Units - Broward, Duval, Hills, Orange, PBeach</t>
  </si>
  <si>
    <t>Overides 80% min when Family, Elderly Non-ALF, For-Profit</t>
  </si>
  <si>
    <t>Maximum # of Units - Not: Broward, Miami-Dade</t>
  </si>
  <si>
    <t>Minimum # of Units - North Miami-Dade</t>
  </si>
  <si>
    <t>Minimum # of Units - South Miami-Dade</t>
  </si>
  <si>
    <t>Family, Elderly Non-ALF, Persons with a Disability</t>
  </si>
  <si>
    <t>Maximum # of Units - Preservation (204)</t>
  </si>
  <si>
    <t>Maximum # of Units - MMRB</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</si>
  <si>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</si>
  <si>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</si>
  <si>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r>
      <t>White-out the input &amp; marker indicators in columns Q:S in Prelim Analyses</t>
    </r>
    <r>
      <rPr>
        <b/>
        <sz val="11"/>
        <color theme="1"/>
        <rFont val="Calibri"/>
        <family val="2"/>
        <scheme val="minor"/>
      </rPr>
      <t>, Pro Forma</t>
    </r>
    <r>
      <rPr>
        <sz val="11"/>
        <color theme="1"/>
        <rFont val="Calibri"/>
        <family val="2"/>
        <scheme val="minor"/>
      </rPr>
      <t xml:space="preserve"> tab:</t>
    </r>
  </si>
  <si>
    <t>Family, Elderly Non-ALF, For-Profit can be less if at least 75 units in some RFAs</t>
  </si>
  <si>
    <t>These are tested against HCs, Loans and Gap Set-Asides</t>
  </si>
  <si>
    <t>Annual HC Required….......................................................................................................................</t>
  </si>
  <si>
    <t>HC Per GAP Calculation…....................................................................................................................</t>
  </si>
  <si>
    <t>Equity Gap…............…........................................................................................................................</t>
  </si>
  <si>
    <t>Qualified Basis…..............................................................................................................................</t>
  </si>
  <si>
    <t>Annual Housing Credit Allocation….....................................................................................................</t>
  </si>
  <si>
    <t>Section 4.A.10
Development Pro Forma</t>
  </si>
  <si>
    <t>Maximum % Developer Fee on Acquisition Costs</t>
  </si>
  <si>
    <t>Maximum % Developer Fee on non-Acquisition Costs</t>
  </si>
  <si>
    <t>Maximum % Developer Fee in Operating Deficit Reserves</t>
  </si>
  <si>
    <t>Max Total DF:</t>
  </si>
  <si>
    <t>Total MMRB Units</t>
  </si>
  <si>
    <t>Program Name of Loan-Only Program</t>
  </si>
  <si>
    <t>Maximum % Hard Cost Contingency New Construction (MaxHCCNC)</t>
  </si>
  <si>
    <t>Maximum % Hard Cost Contingency Rehab (MaxHCCR)</t>
  </si>
  <si>
    <t>Maximum % Soft Cost Contingency (MaxSCC)</t>
  </si>
  <si>
    <t>Maximum % General Contractor Fee</t>
  </si>
  <si>
    <t>Points awarded for Transit Type</t>
  </si>
  <si>
    <t>County Size:</t>
  </si>
  <si>
    <t>Minimum HC Set-Aside: ALF</t>
  </si>
  <si>
    <t>Minimum HC Set-Aside: Workforce (=&lt; 60% AMI)</t>
  </si>
  <si>
    <t>Maximum HC Set-Aside: Workforce (=&lt; 60% AMI)</t>
  </si>
  <si>
    <t>Minimum HC Set-Aside: IRS</t>
  </si>
  <si>
    <t>Minimum HC Set-Aside: IRS Non-Profit Safe Harbor</t>
  </si>
  <si>
    <t>(Automated to be 5% higher than minimum IRS set-aside)</t>
  </si>
  <si>
    <t>(Automated to be 10% higher than minimum IRS set-aside)</t>
  </si>
  <si>
    <r>
      <t xml:space="preserve">Minimum FHFC RFA Set-Aside </t>
    </r>
    <r>
      <rPr>
        <i/>
        <sz val="10"/>
        <color theme="1"/>
        <rFont val="Calibri"/>
        <family val="2"/>
        <scheme val="minor"/>
      </rPr>
      <t>(Tables (a) &amp; (b))</t>
    </r>
  </si>
  <si>
    <r>
      <t>RFAs: 201, 202, 203, 204</t>
    </r>
    <r>
      <rPr>
        <i/>
        <sz val="11"/>
        <color theme="1"/>
        <rFont val="Calibri"/>
        <family val="2"/>
        <scheme val="minor"/>
      </rPr>
      <t xml:space="preserve"> [Min FHFC RFA SA: 80%: 201, 202, 203, 204, 205]</t>
    </r>
  </si>
  <si>
    <t>Exhibit A comments for Minimum Set-Asides &amp; ELI Commitments</t>
  </si>
  <si>
    <t>Minimum IRS Set-Aside for Non-Profit Applicants</t>
  </si>
  <si>
    <t>Minimum &amp; Maximum HC Set-Aside for Workforce</t>
  </si>
  <si>
    <t>Minimum HC Set-Aside for Elderly ALF</t>
  </si>
  <si>
    <t>Minimum Overall Set-Aside in RFA</t>
  </si>
  <si>
    <t>Minimum ELI Set-Aside</t>
  </si>
  <si>
    <t>2022 ELI Funding Per Unit</t>
  </si>
  <si>
    <t>2022 Min. NHTF Funding PU</t>
  </si>
  <si>
    <r>
      <rPr>
        <b/>
        <sz val="11"/>
        <rFont val="Calibri"/>
        <family val="2"/>
        <scheme val="minor"/>
      </rPr>
      <t>2022</t>
    </r>
    <r>
      <rPr>
        <b/>
        <u/>
        <sz val="11"/>
        <rFont val="Calibri"/>
        <family val="2"/>
        <scheme val="minor"/>
      </rPr>
      <t xml:space="preserve">
ELI %</t>
    </r>
  </si>
  <si>
    <t>Max NHTF PU</t>
  </si>
  <si>
    <t>4.A.6.d.(2)(b)(i)</t>
  </si>
  <si>
    <t>PHA or RD Proximity Boost points achieved?</t>
  </si>
  <si>
    <t>Can be ELI as well; If ELI, it gets ELI funding</t>
  </si>
  <si>
    <t>Cannot be ELI as well; Separate ELI gets ELI funding</t>
  </si>
  <si>
    <t>RFAs 102, 103: 3% of SAIL;  RFA 106: 3% of SAIL or Grant; RFA 105: 10% of Base Award</t>
  </si>
  <si>
    <t>4.A.6.d.(2)(b)(ii)</t>
  </si>
  <si>
    <t>4.A.6.d.(2)(b)(iii)</t>
  </si>
  <si>
    <t># of Developments to meet minimum Program Requirement</t>
  </si>
  <si>
    <t># of Developments to meet Initial Date Requirement</t>
  </si>
  <si>
    <t>Identify Other:</t>
  </si>
  <si>
    <r>
      <t xml:space="preserve">Pro Forma Sources: MMRB + Non-Corp Programs </t>
    </r>
    <r>
      <rPr>
        <b/>
        <sz val="9"/>
        <color rgb="FFFF0000"/>
        <rFont val="Calibri"/>
        <family val="2"/>
        <scheme val="minor"/>
      </rPr>
      <t>(ProAppSources)</t>
    </r>
  </si>
  <si>
    <t>Total Units have been entered</t>
  </si>
  <si>
    <t>4.A.3.e.</t>
  </si>
  <si>
    <t>Authorized Principal Representative contact information</t>
  </si>
  <si>
    <t>Contact Names</t>
  </si>
  <si>
    <t>Operational Contact Person Information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</si>
  <si>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</si>
  <si>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</si>
  <si>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</si>
  <si>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Eligibility Requirements</t>
  </si>
  <si>
    <t>Total Proximity Points calculated based on information entered above:</t>
  </si>
  <si>
    <t>Transit Service Points calculated based on the information entered above:</t>
  </si>
  <si>
    <t>Community Service Points calculated based on the information entered above:</t>
  </si>
  <si>
    <t>Does the information provided at question 11 indicate that the Local Government Area of Opportunity Designation?</t>
  </si>
  <si>
    <t>The Applicant has entered a Housing Credit Request Amount on the Funding Tab. Please state the amount of HC Equity Proceeds Paid Prior to Completion of Construction.</t>
  </si>
  <si>
    <t>The Applicant has entered a Housing Credit Request Amount on the Funding Tab. Please state the amount of HC Syndication/HC Equity Proceeds.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</si>
  <si>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</si>
  <si>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t>Tables (a) &amp; (b) for Housing Credits</t>
  </si>
  <si>
    <t>Table (a) Loan-Only RFAs (No Housing Credits)</t>
  </si>
  <si>
    <r>
      <t xml:space="preserve">Minimum total number of units %, </t>
    </r>
    <r>
      <rPr>
        <b/>
        <sz val="11"/>
        <color theme="1"/>
        <rFont val="Calibri"/>
        <family val="2"/>
        <scheme val="minor"/>
      </rPr>
      <t>or</t>
    </r>
  </si>
  <si>
    <t>4.A.4.e.</t>
  </si>
  <si>
    <t>Unit Type Tracking</t>
  </si>
  <si>
    <t>HOME-ARP</t>
  </si>
  <si>
    <t>Deferred Development Costs</t>
  </si>
  <si>
    <t>HOME-ARP 22%</t>
  </si>
  <si>
    <t>HOME-ARP Max</t>
  </si>
  <si>
    <t>HOME-ARP 30%</t>
  </si>
  <si>
    <t>Min - 22%</t>
  </si>
  <si>
    <t>Min - 30%</t>
  </si>
  <si>
    <t>PFNCHRE</t>
  </si>
  <si>
    <t>PFNCMRE</t>
  </si>
  <si>
    <t>PFNCMRW</t>
  </si>
  <si>
    <t>PFRCGA</t>
  </si>
  <si>
    <t>PFNCGAE</t>
  </si>
  <si>
    <t>PFNCGAW</t>
  </si>
  <si>
    <t>PFRCNGA</t>
  </si>
  <si>
    <t>SFNCGAE</t>
  </si>
  <si>
    <t>SFNCGAW</t>
  </si>
  <si>
    <t>SFNCHRE</t>
  </si>
  <si>
    <t>SFNCMRE</t>
  </si>
  <si>
    <t>SFNCMRW</t>
  </si>
  <si>
    <t>SFRCGA</t>
  </si>
  <si>
    <t>SFRCNGA</t>
  </si>
  <si>
    <t>NHFT Request Amount</t>
  </si>
  <si>
    <t>Maximum NHTF Request Amount Per Development:</t>
  </si>
  <si>
    <t>NHTF 22%</t>
  </si>
  <si>
    <t>NHTF 30%</t>
  </si>
  <si>
    <t>NHTF Max</t>
  </si>
  <si>
    <t>Maximum % of Units to commit</t>
  </si>
  <si>
    <t>Maximum # of Units to commit</t>
  </si>
  <si>
    <t>Applicable:</t>
  </si>
  <si>
    <t>HOME-ARP Request Amount:</t>
  </si>
  <si>
    <t>Maximum HOME-ARP Request Amount Per Development:</t>
  </si>
  <si>
    <t>Maximum HOME-ARP Request Amount Per Unit Basis:</t>
  </si>
  <si>
    <t>Maximum HOME-ARP Per Unit Request Amount:</t>
  </si>
  <si>
    <t>Maximum NHTF Request Amount Per Unit Basis:</t>
  </si>
  <si>
    <t>Maximum NHTF Per Unit Request Amount:</t>
  </si>
  <si>
    <t>Number of TBD Set-Aside Units:</t>
  </si>
  <si>
    <t>Maximum TBD Request Amount Per Unit Basis:</t>
  </si>
  <si>
    <t>Is Davis-Bacon Applicable?</t>
  </si>
  <si>
    <t>The applicable Eligible HOME-ARP Request Amount</t>
  </si>
  <si>
    <t>Proximity Items</t>
  </si>
  <si>
    <t># of Public Bus Stops</t>
  </si>
  <si>
    <t>Greatest Distance of Public Bus Stops</t>
  </si>
  <si>
    <t>km</t>
  </si>
  <si>
    <t>mi</t>
  </si>
  <si>
    <t>Public Rail Station</t>
  </si>
  <si>
    <t>a:</t>
  </si>
  <si>
    <t>b:</t>
  </si>
  <si>
    <t>COS:</t>
  </si>
  <si>
    <t>SIN:</t>
  </si>
  <si>
    <t>Local Lat (t):</t>
  </si>
  <si>
    <t>R at Poles</t>
  </si>
  <si>
    <t>R at Equater</t>
  </si>
  <si>
    <t>R at Local Lat</t>
  </si>
  <si>
    <t>Other Multiplier 1</t>
  </si>
  <si>
    <t>Other Multiplier 2</t>
  </si>
  <si>
    <t>ESS Construction Funding Preference</t>
  </si>
  <si>
    <t>PHA Proximity Point Boost</t>
  </si>
  <si>
    <t>RD 515 Proximity Point Boost</t>
  </si>
  <si>
    <t>Minimum Total Proximity Points for Eligibility:</t>
  </si>
  <si>
    <t>Large County</t>
  </si>
  <si>
    <t>Maximum Points:</t>
  </si>
  <si>
    <t>Total Transit Services</t>
  </si>
  <si>
    <t xml:space="preserve">     Private Transportation</t>
  </si>
  <si>
    <t xml:space="preserve">     Public Bus Stop</t>
  </si>
  <si>
    <t xml:space="preserve">     Public Bus Transfer Stop</t>
  </si>
  <si>
    <t xml:space="preserve">     Public Bus Rapid Transit Stop</t>
  </si>
  <si>
    <t xml:space="preserve">     Public Rail Station</t>
  </si>
  <si>
    <t xml:space="preserve">     Each Community Service</t>
  </si>
  <si>
    <t xml:space="preserve">     Maximum # of Community Services</t>
  </si>
  <si>
    <t>Mandatory Distance Requirement:</t>
  </si>
  <si>
    <t>Qualifications for the SunRail Goal</t>
  </si>
  <si>
    <t>Does the Application qualify for the SunRail Goal as outlined in the RFA?</t>
  </si>
  <si>
    <t>If "Yes", state the name of the SunRail Station that is within 0.5 miles of the Development Location Point.</t>
  </si>
  <si>
    <r>
      <rPr>
        <sz val="11"/>
        <color theme="0"/>
        <rFont val="Wingdings"/>
        <charset val="2"/>
      </rPr>
      <t>ß</t>
    </r>
    <r>
      <rPr>
        <sz val="11"/>
        <color theme="0"/>
        <rFont val="Calibri"/>
        <family val="2"/>
      </rPr>
      <t xml:space="preserve"> </t>
    </r>
    <r>
      <rPr>
        <sz val="11"/>
        <color theme="0"/>
        <rFont val="Calibri"/>
        <family val="2"/>
        <scheme val="minor"/>
      </rPr>
      <t>Max. Request Amount</t>
    </r>
  </si>
  <si>
    <r>
      <rPr>
        <sz val="11"/>
        <color theme="0"/>
        <rFont val="Wingdings"/>
        <charset val="2"/>
      </rPr>
      <t>ß</t>
    </r>
    <r>
      <rPr>
        <sz val="11"/>
        <color theme="0"/>
        <rFont val="Calibri"/>
        <family val="2"/>
        <scheme val="minor"/>
      </rPr>
      <t xml:space="preserve"> Max. Request Amount</t>
    </r>
  </si>
  <si>
    <r>
      <rPr>
        <sz val="11"/>
        <color theme="0"/>
        <rFont val="Wingdings"/>
        <charset val="2"/>
      </rPr>
      <t>ß</t>
    </r>
    <r>
      <rPr>
        <sz val="11"/>
        <color theme="0"/>
        <rFont val="Calibri"/>
        <family val="2"/>
        <charset val="2"/>
        <scheme val="minor"/>
      </rPr>
      <t xml:space="preserve"> Max. Request Amount</t>
    </r>
  </si>
  <si>
    <t>The applicable Eligible Workforce Request Amount</t>
  </si>
  <si>
    <t>The applicable Eligible HOME Request Amount</t>
  </si>
  <si>
    <t>The applicable Eligible NHTF Request Amount</t>
  </si>
  <si>
    <t>Max Rqst Amts</t>
  </si>
  <si>
    <t>Adjusted Request Amounts</t>
  </si>
  <si>
    <t>FHFC Sources</t>
  </si>
  <si>
    <t>Original Request Amounts</t>
  </si>
  <si>
    <t>Fin TB</t>
  </si>
  <si>
    <t>Qualifies for the Florida Job Creation Preference</t>
  </si>
  <si>
    <t>Eligible SAIL Request Amount per Set-Aside Unit</t>
  </si>
  <si>
    <t>SAIL Request as a Percentage of TDC as 90% or Less Funding Preference</t>
  </si>
  <si>
    <t>Application's Leveraging Classification (Total Corporation funding PSAU)</t>
  </si>
  <si>
    <t>Eligible HOME Request as % of Maximum</t>
  </si>
  <si>
    <t>Eligible Match as % of HOME request amount</t>
  </si>
  <si>
    <t>Leveraging Level</t>
  </si>
  <si>
    <t>Scoring Tie-Breakers</t>
  </si>
  <si>
    <t>Is Workforce funding a factor?</t>
  </si>
  <si>
    <t>Is HOME-ARP funding a factor?</t>
  </si>
  <si>
    <t>The "Base" Award process has not been programmed into the Grant Request amount section. See note in cell F411.</t>
  </si>
  <si>
    <t>AIT ELI Units</t>
  </si>
  <si>
    <t>Must Applicant commit to Max Purchased ELI Units?</t>
  </si>
  <si>
    <t>Table (d) (with MMRB), or (c) (when no MMRB)</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</si>
  <si>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</si>
  <si>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</si>
  <si>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r>
      <t>Gap Loan:</t>
    </r>
    <r>
      <rPr>
        <b/>
        <sz val="11"/>
        <color rgb="FF7030A0"/>
        <rFont val="Calibri"/>
        <family val="2"/>
        <scheme val="minor"/>
      </rPr>
      <t xml:space="preserve"> 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Min. </t>
    </r>
    <r>
      <rPr>
        <b/>
        <u/>
        <sz val="11"/>
        <color rgb="FF7030A0"/>
        <rFont val="Calibri"/>
        <family val="2"/>
        <scheme val="minor"/>
      </rPr>
      <t>% Units</t>
    </r>
    <r>
      <rPr>
        <sz val="11"/>
        <color rgb="FF7030A0"/>
        <rFont val="Calibri"/>
        <family val="2"/>
        <scheme val="minor"/>
      </rPr>
      <t xml:space="preserve"> @ Lower AMI Commitment</t>
    </r>
  </si>
  <si>
    <r>
      <t xml:space="preserve">Gap Loan:          AIT, </t>
    </r>
    <r>
      <rPr>
        <u/>
        <sz val="11"/>
        <color rgb="FF7030A0"/>
        <rFont val="Calibri"/>
        <family val="2"/>
        <scheme val="minor"/>
      </rPr>
      <t>Self-Sourced</t>
    </r>
    <r>
      <rPr>
        <sz val="11"/>
        <color rgb="FF7030A0"/>
        <rFont val="Calibri"/>
        <family val="2"/>
        <scheme val="minor"/>
      </rPr>
      <t xml:space="preserve">: Min. </t>
    </r>
    <r>
      <rPr>
        <b/>
        <u/>
        <sz val="11"/>
        <color rgb="FF7030A0"/>
        <rFont val="Calibri"/>
        <family val="2"/>
        <scheme val="minor"/>
      </rPr>
      <t>% Units</t>
    </r>
    <r>
      <rPr>
        <sz val="11"/>
        <color rgb="FF7030A0"/>
        <rFont val="Calibri"/>
        <family val="2"/>
        <scheme val="minor"/>
      </rPr>
      <t xml:space="preserve"> @ Lower AMI Commitment</t>
    </r>
  </si>
  <si>
    <t>SAIL/HOME-ARP</t>
  </si>
  <si>
    <t>Bus Stops</t>
  </si>
  <si>
    <t>1 Stop</t>
  </si>
  <si>
    <t>2 Stops</t>
  </si>
  <si>
    <t>3 Stops</t>
  </si>
  <si>
    <t>Rail Station, Bus Transfer, Rapid Transit</t>
  </si>
  <si>
    <t>Medium County*</t>
  </si>
  <si>
    <t>Small County**</t>
  </si>
  <si>
    <t>*LGAO, SunRail or Revite Goal-Auto Qualifies for Eligibility</t>
  </si>
  <si>
    <t>**Revite Goal-Auto Qualifies for Eligibility</t>
  </si>
  <si>
    <t>Grocery Store, Medical Facility, Pharmacy</t>
  </si>
  <si>
    <t>Total Community Services (Grocery, Medical, Pharmacy, School)</t>
  </si>
  <si>
    <t>1,1,1,1</t>
  </si>
  <si>
    <t>1,1,1,4</t>
  </si>
  <si>
    <t>1,2,2,2</t>
  </si>
  <si>
    <t>1,2,2,4</t>
  </si>
  <si>
    <t>1,2,3,4</t>
  </si>
  <si>
    <t>1,2,3,3</t>
  </si>
  <si>
    <t>1,1,3,3</t>
  </si>
  <si>
    <t>Transportation/Community Service</t>
  </si>
  <si>
    <t>1,1,3,4</t>
  </si>
  <si>
    <t>1,1,2,4</t>
  </si>
  <si>
    <t>1,1,4,4</t>
  </si>
  <si>
    <t>1,2,4,4</t>
  </si>
  <si>
    <t>1,4,4,4</t>
  </si>
  <si>
    <t>Total Proximity Points</t>
  </si>
  <si>
    <t>Minimum Total Proximity Points for Funding Preference:</t>
  </si>
  <si>
    <t>Medium County</t>
  </si>
  <si>
    <t>Small County</t>
  </si>
  <si>
    <t>Poss. Ranking #s</t>
  </si>
  <si>
    <t>Minimum Transit Service Points:</t>
  </si>
  <si>
    <t>Large County-when eligible for PHA or RD Boost</t>
  </si>
  <si>
    <t>Large County-when NOT eligible for PHA or RD Boost</t>
  </si>
  <si>
    <t>Flows w/ County Size</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</si>
  <si>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</si>
  <si>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Response</t>
  </si>
  <si>
    <t>Calculated</t>
  </si>
  <si>
    <t>Points</t>
  </si>
  <si>
    <t>Flow?</t>
  </si>
  <si>
    <t>These two rows flow into the intro paragraph of chart at 4.A.6.d.(2)(a)</t>
  </si>
  <si>
    <t>File #</t>
  </si>
  <si>
    <t>Development</t>
  </si>
  <si>
    <t>Latitude Coordinates (Decimal Degrees)</t>
  </si>
  <si>
    <t>Longitude Coordinates (Decimal Degrees)</t>
  </si>
  <si>
    <t>Demo</t>
  </si>
  <si>
    <t>30 units or less?</t>
  </si>
  <si>
    <t>Demographic</t>
  </si>
  <si>
    <t>Latitude, Longitude Coordinates</t>
  </si>
  <si>
    <t>Less than 31 units?</t>
  </si>
  <si>
    <t>2020-304C</t>
  </si>
  <si>
    <t>Arbours at Merrillwood I</t>
  </si>
  <si>
    <t>E</t>
  </si>
  <si>
    <t>2022-068C</t>
  </si>
  <si>
    <t>Dogwood Village</t>
  </si>
  <si>
    <t>F</t>
  </si>
  <si>
    <t>2020-411BS</t>
  </si>
  <si>
    <t>Royal Park Apartments</t>
  </si>
  <si>
    <t>2022-244H</t>
  </si>
  <si>
    <t>Sandcastle Manor</t>
  </si>
  <si>
    <t>2021-127C</t>
  </si>
  <si>
    <t>Fletcher Black II</t>
  </si>
  <si>
    <t>2021-099C</t>
  </si>
  <si>
    <t>Southview Estates</t>
  </si>
  <si>
    <t>2021-284H</t>
  </si>
  <si>
    <t>Sandcastle Pines</t>
  </si>
  <si>
    <t>2020-335C</t>
  </si>
  <si>
    <t>Weldon Crossings</t>
  </si>
  <si>
    <t>W</t>
  </si>
  <si>
    <t>2022-070C</t>
  </si>
  <si>
    <t>The Verandas of Punta Gorda III</t>
  </si>
  <si>
    <t>2020-239C</t>
  </si>
  <si>
    <t>Bryce Landing</t>
  </si>
  <si>
    <t>2021-059C</t>
  </si>
  <si>
    <t>Molly Crossing</t>
  </si>
  <si>
    <t>2021-258S</t>
  </si>
  <si>
    <t>Nathan Ridge</t>
  </si>
  <si>
    <t>2020-385BSN</t>
  </si>
  <si>
    <t>Allegro at Hacienda Lakes, f/k/a Villa Verde</t>
  </si>
  <si>
    <t>2021-246BS</t>
  </si>
  <si>
    <t>Cadenza at Hacienda Lakes</t>
  </si>
  <si>
    <t>2022-046C</t>
  </si>
  <si>
    <t>Arcadia Landings</t>
  </si>
  <si>
    <t>2021-077C</t>
  </si>
  <si>
    <t>Cypress Garden Apartments</t>
  </si>
  <si>
    <t>2021-285H</t>
  </si>
  <si>
    <t>Hermosa Arcadia</t>
  </si>
  <si>
    <t>2021-280H</t>
  </si>
  <si>
    <t>Meadow Park</t>
  </si>
  <si>
    <t>2021-054C</t>
  </si>
  <si>
    <t>Tranquility at Ferry Pass</t>
  </si>
  <si>
    <t>2020-419BS</t>
  </si>
  <si>
    <t>Arbours at Quincy</t>
  </si>
  <si>
    <t>2022-247H</t>
  </si>
  <si>
    <t>Cross Creek Gardens at Quincy</t>
  </si>
  <si>
    <t>2021-282H</t>
  </si>
  <si>
    <t>Casa San Alfonso</t>
  </si>
  <si>
    <t>2022-242H</t>
  </si>
  <si>
    <t>Pollywog Creek Mews</t>
  </si>
  <si>
    <t>2020-301C</t>
  </si>
  <si>
    <t>Rochester Park</t>
  </si>
  <si>
    <t>2020-404S</t>
  </si>
  <si>
    <t>Orange Blossom Village</t>
  </si>
  <si>
    <t>2021-281H</t>
  </si>
  <si>
    <t>Thomas Pines</t>
  </si>
  <si>
    <t>2022-241H</t>
  </si>
  <si>
    <t>Tranquility at Hope School Phase II</t>
  </si>
  <si>
    <t>2022-023C</t>
  </si>
  <si>
    <t>Hibiscus Apartments Phase Two</t>
  </si>
  <si>
    <t>2020-227C</t>
  </si>
  <si>
    <t>Madison Square</t>
  </si>
  <si>
    <t>2021-222BS</t>
  </si>
  <si>
    <t>St. Peter Claver Place Phase I</t>
  </si>
  <si>
    <t>2022-006C</t>
  </si>
  <si>
    <t>Emery Cove</t>
  </si>
  <si>
    <t>2020-390S</t>
  </si>
  <si>
    <t>2021-104C</t>
  </si>
  <si>
    <t>Magnolia Family II</t>
  </si>
  <si>
    <t>2022-190S</t>
  </si>
  <si>
    <t>Ridge Road</t>
  </si>
  <si>
    <t>2021-287H</t>
  </si>
  <si>
    <t>Liberty Crossings</t>
  </si>
  <si>
    <t>2022-137BSN</t>
  </si>
  <si>
    <t>Astoria on 9th</t>
  </si>
  <si>
    <t>2020-384BS</t>
  </si>
  <si>
    <t>Parrish Oaks II</t>
  </si>
  <si>
    <t>2021-111C</t>
  </si>
  <si>
    <t>RIVERVIEW6</t>
  </si>
  <si>
    <t>2022-032C</t>
  </si>
  <si>
    <t>Madison Oaks West</t>
  </si>
  <si>
    <t>2021-320CS</t>
  </si>
  <si>
    <t>2022-265CS</t>
  </si>
  <si>
    <t>Lofts at Bahama Village</t>
  </si>
  <si>
    <t>2021-130C</t>
  </si>
  <si>
    <t>Arbours at Crestview</t>
  </si>
  <si>
    <t>2022-146BSN</t>
  </si>
  <si>
    <t>Princeton Grove</t>
  </si>
  <si>
    <t>2020-250C</t>
  </si>
  <si>
    <t>Shoreline Villas</t>
  </si>
  <si>
    <t>2022-186S</t>
  </si>
  <si>
    <t>Falcon Trace II</t>
  </si>
  <si>
    <t>2022-060C</t>
  </si>
  <si>
    <t>Madison Grove</t>
  </si>
  <si>
    <t>2021-098C</t>
  </si>
  <si>
    <t>Pinnacle at the Wesleyan</t>
  </si>
  <si>
    <t>2021-206BS</t>
  </si>
  <si>
    <t>Rosewood Pointe</t>
  </si>
  <si>
    <t>2021-110B</t>
  </si>
  <si>
    <t xml:space="preserve">The Salix on Vine </t>
  </si>
  <si>
    <t>2022-030C</t>
  </si>
  <si>
    <t>Oaks at Green Key Apartments</t>
  </si>
  <si>
    <t>2021-081C</t>
  </si>
  <si>
    <t>Tanager Square</t>
  </si>
  <si>
    <t>2022-029C</t>
  </si>
  <si>
    <t>Florence Place</t>
  </si>
  <si>
    <t>2020-308C</t>
  </si>
  <si>
    <t>Park Ridge, f/k/a Oak Park Villas</t>
  </si>
  <si>
    <t>2021-108C</t>
  </si>
  <si>
    <t>Swan Landing</t>
  </si>
  <si>
    <t>Saint Johns</t>
  </si>
  <si>
    <t>2022-043C</t>
  </si>
  <si>
    <t>Saint Lucie</t>
  </si>
  <si>
    <t>2021-090C</t>
  </si>
  <si>
    <t>Blue Sky Landing II</t>
  </si>
  <si>
    <t>2020-173C</t>
  </si>
  <si>
    <t>Tranquility at Milton</t>
  </si>
  <si>
    <t>2021-253BSN</t>
  </si>
  <si>
    <t>Arbor Park</t>
  </si>
  <si>
    <t>2020-313C</t>
  </si>
  <si>
    <t>Cypress Square fka Amaryllis Park Place II</t>
  </si>
  <si>
    <t>2022-022C</t>
  </si>
  <si>
    <t>Banyan East Town Apartments</t>
  </si>
  <si>
    <t>2021-083C</t>
  </si>
  <si>
    <t>Monroe Place</t>
  </si>
  <si>
    <t>2021-255SN</t>
  </si>
  <si>
    <t>Somerset Landings</t>
  </si>
  <si>
    <t>2022-075C</t>
  </si>
  <si>
    <t>Bristol Manor</t>
  </si>
  <si>
    <t>2020-311C</t>
  </si>
  <si>
    <t>2021-288H</t>
  </si>
  <si>
    <t>Greyes Place Phase II</t>
  </si>
  <si>
    <t>2021-136C</t>
  </si>
  <si>
    <t>Rosemary Place</t>
  </si>
  <si>
    <t>Proximity List is located in Data2 tab.</t>
  </si>
  <si>
    <t>SAU taken from both (a) and (b)</t>
  </si>
  <si>
    <t>TB Order</t>
  </si>
  <si>
    <t>Select the Minimum Set-Aside Commitment for Permanent Supportive Housing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</si>
  <si>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</si>
  <si>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</si>
  <si>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</si>
  <si>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(4)</t>
  </si>
  <si>
    <t>Young adults formerly in foster care who are eligible for services under Section 409.1451, F.S.; and/or</t>
  </si>
  <si>
    <t>(5)</t>
  </si>
  <si>
    <t>Survivors of domestic violence as defined in Section 741.28, F.S.</t>
  </si>
  <si>
    <t>If Miami-Dade County, is the proposed Development located north or south of SW 224th Street for minimum total unit and Set-Aside Unit requirements?</t>
  </si>
  <si>
    <t>Donation of Land by a Local Government</t>
  </si>
  <si>
    <r>
      <t xml:space="preserve">To demonstrate that this definition is met, Applicants must meet the requirements in </t>
    </r>
    <r>
      <rPr>
        <b/>
        <sz val="11"/>
        <rFont val="Calibri"/>
        <family val="2"/>
        <scheme val="minor"/>
      </rPr>
      <t>both</t>
    </r>
    <r>
      <rPr>
        <sz val="11"/>
        <rFont val="Calibri"/>
        <family val="2"/>
        <scheme val="minor"/>
      </rPr>
      <t xml:space="preserve"> (a) and (b) below.</t>
    </r>
  </si>
  <si>
    <t>Material Participation</t>
  </si>
  <si>
    <t>Demonstration of Non-Profit entity qualifications</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</si>
  <si>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</si>
  <si>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</si>
  <si>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</si>
  <si>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</si>
  <si>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</si>
  <si>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</si>
  <si>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</si>
  <si>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</si>
  <si>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</si>
  <si>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The required Set-Aside Commitments are provided in the RFA.</t>
  </si>
  <si>
    <t>Minimum # of Units - General (Small County)</t>
  </si>
  <si>
    <t>Minimum # of Units - General (Medium County)</t>
  </si>
  <si>
    <t>Minimum # of Units - General (Large County)</t>
  </si>
  <si>
    <t>Maximum # of Units - General (Small County)</t>
  </si>
  <si>
    <t>Maximum # of Units - General (Medium County)</t>
  </si>
  <si>
    <t>Maximum # of Units - General (Large County)</t>
  </si>
  <si>
    <r>
      <t xml:space="preserve">White-out the input &amp; marker indicators in columns J:L in </t>
    </r>
    <r>
      <rPr>
        <b/>
        <sz val="11"/>
        <color theme="1"/>
        <rFont val="Calibri"/>
        <family val="2"/>
        <scheme val="minor"/>
      </rPr>
      <t>Services</t>
    </r>
    <r>
      <rPr>
        <sz val="11"/>
        <color theme="1"/>
        <rFont val="Calibri"/>
        <family val="2"/>
        <scheme val="minor"/>
      </rPr>
      <t xml:space="preserve"> tab:</t>
    </r>
  </si>
  <si>
    <t>Maximum HOME-ARP TDC Request Amount Limit**:</t>
  </si>
  <si>
    <t xml:space="preserve">To the extent any variances occur between this Pro forma and the other worksheet tabs of Exhibit A., the responses in the other </t>
  </si>
  <si>
    <t>worksheet tabs of Exhibit A. will take precedence.</t>
  </si>
  <si>
    <t>Need to review conditional formatting as it includes #REF! and other sections</t>
  </si>
  <si>
    <t>4.A.2.a.&amp;b.</t>
  </si>
  <si>
    <t>Check Box Reference Cells</t>
  </si>
  <si>
    <t>(b) Select at least one box from options (1) through (5) below that …</t>
  </si>
  <si>
    <t>(a) Select the Minimum Set-Aside Commitment for …</t>
  </si>
  <si>
    <t>To unshade, enter 0 in P13</t>
  </si>
  <si>
    <t>(3) Selection of Green Building options</t>
  </si>
  <si>
    <t>1. Thermostat</t>
  </si>
  <si>
    <t>2. Humidistat</t>
  </si>
  <si>
    <t>3. Dual Flush</t>
  </si>
  <si>
    <t>4. Light Pavement</t>
  </si>
  <si>
    <t>5. Roof Coating</t>
  </si>
  <si>
    <t>6. Roof Materials</t>
  </si>
  <si>
    <t>7. Cabinets</t>
  </si>
  <si>
    <t>8. Flooring</t>
  </si>
  <si>
    <t>9. Seer for AC</t>
  </si>
  <si>
    <t>10. Windows</t>
  </si>
  <si>
    <t>11. Yards</t>
  </si>
  <si>
    <t>12. Sensors</t>
  </si>
  <si>
    <t xml:space="preserve">         This spacing is needed</t>
  </si>
  <si>
    <t>4.A.9.</t>
  </si>
  <si>
    <t>a. Commit to provide …</t>
  </si>
  <si>
    <t>1. After School</t>
  </si>
  <si>
    <t>2. Literacy Family</t>
  </si>
  <si>
    <t>3. Employment Assistance General</t>
  </si>
  <si>
    <t>4. Family Support Coordinator</t>
  </si>
  <si>
    <t>5. Financial Counceling</t>
  </si>
  <si>
    <t>6. Homeownership Seminar</t>
  </si>
  <si>
    <t>b. Developments Serving …</t>
  </si>
  <si>
    <t>(3) 1. Adult Literacy</t>
  </si>
  <si>
    <t>(3) 2. Computer Training</t>
  </si>
  <si>
    <t>(3) 3. Daily Activities</t>
  </si>
  <si>
    <t>(3) 5. Check-In Program</t>
  </si>
  <si>
    <t>(3) 4. Housekeeping</t>
  </si>
  <si>
    <t>Magnolia Family - sites 1-3</t>
  </si>
  <si>
    <t>Coco Vista - sites 1-2</t>
  </si>
  <si>
    <t>Villages of New Augustine - sites 1-3</t>
  </si>
  <si>
    <t>Greenlawn Manor, f/k/a Westside Phase I - sites 1-3</t>
  </si>
  <si>
    <t>Minimum</t>
  </si>
  <si>
    <t>Maximum</t>
  </si>
  <si>
    <t>Resident Programs Check Box Reference Cells</t>
  </si>
  <si>
    <t>Construction Check Box Reference Cells</t>
  </si>
  <si>
    <t>HSS &amp; Coordination Check Box Reference Cells</t>
  </si>
  <si>
    <t>1. 3rd Party Experience</t>
  </si>
  <si>
    <t>2. Applicant Experience</t>
  </si>
  <si>
    <t>These need a Demographic of Family or Workforce</t>
  </si>
  <si>
    <t>These need a Demographic of Elderly ALF or Non-ALF</t>
  </si>
  <si>
    <t>Section 4.C
Narrative Scoring</t>
  </si>
  <si>
    <t>The Narrative Scoring section is available in a separate document in Microsoft Word.  This document must be downloaded from the RFA Webpage, then completed and uploaded as part of the Application Package described in Section Three of the RFA.</t>
  </si>
  <si>
    <t>Other Corporation Funding Check Box Reference Cells</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</si>
  <si>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</si>
  <si>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</si>
  <si>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</si>
  <si>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</si>
  <si>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Total Units in the above developments that serves Homeless individuals and families and/or Persons with Special Needs that meets the experience requirement outlined in Section Four, A.9.b.(1) of the RFA:</t>
  </si>
  <si>
    <t>List all cells with pop-ups</t>
  </si>
  <si>
    <t>NC or Redev w/ or w/o Acquisition</t>
  </si>
  <si>
    <t>Are there any units occupied?</t>
  </si>
  <si>
    <t>If “Yes” – Go to question b. below;    If “No” – Go to question c. below.</t>
  </si>
  <si>
    <t>Tenant Relocation Information for Existing Properties</t>
  </si>
  <si>
    <t>How many total units now exist in the development?</t>
  </si>
  <si>
    <t>How many units are occupied?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</si>
  <si>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</si>
  <si>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</si>
  <si>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</si>
  <si>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</si>
  <si>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</si>
  <si>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</si>
  <si>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</si>
  <si>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</si>
  <si>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</si>
  <si>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</si>
  <si>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</si>
  <si>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</si>
  <si>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</si>
  <si>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</si>
  <si>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Pop-Up Messages</t>
  </si>
  <si>
    <t>Tab</t>
  </si>
  <si>
    <t>Data Dependent Cells</t>
  </si>
  <si>
    <t>Cells</t>
  </si>
  <si>
    <t>G70:H70</t>
  </si>
  <si>
    <t>G79:H79</t>
  </si>
  <si>
    <t>G88:H88</t>
  </si>
  <si>
    <t>Total_Units</t>
  </si>
  <si>
    <t>G20:G22</t>
  </si>
  <si>
    <t>H20:H22</t>
  </si>
  <si>
    <t>G45:I45</t>
  </si>
  <si>
    <t>H26</t>
  </si>
  <si>
    <t>H27</t>
  </si>
  <si>
    <t>H35</t>
  </si>
  <si>
    <t>Total_Units, Unit Characteristics Table</t>
  </si>
  <si>
    <t>DevCat, EligDevCosts, EligAcq, EligNonAcqDF, EligAcqDF</t>
  </si>
  <si>
    <t>I28</t>
  </si>
  <si>
    <t>Not 109</t>
  </si>
  <si>
    <t>DevCat, EligDevCosts, EligAcq, EligNonAcqDF, EligAcqDF, basis boost, Set-Aside Commitment, SA%, SA#</t>
  </si>
  <si>
    <t>I18</t>
  </si>
  <si>
    <t>Details for G&amp;H20</t>
  </si>
  <si>
    <t>Details for H35</t>
  </si>
  <si>
    <t>Development Location</t>
  </si>
  <si>
    <t>H5</t>
  </si>
  <si>
    <t>H7</t>
  </si>
  <si>
    <t>Units, Set-Asides, Bldgs</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</si>
  <si>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</si>
  <si>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</si>
  <si>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L3</t>
  </si>
  <si>
    <t>Total Units, County</t>
  </si>
  <si>
    <t>L6</t>
  </si>
  <si>
    <t>DevCat</t>
  </si>
  <si>
    <t>L12</t>
  </si>
  <si>
    <t>Minimum SA Commitment</t>
  </si>
  <si>
    <t>DS_Comment_Total_Units_a, DS_Comment_Min_IRS_and_Loan_SA_a,  DS_Comment_Min_IRS_NonProfit_SA_a, DS_Comment_Min_Max_Workforce_SA_a, DS_Comment_Min_ElderlyALF_SA_a, DS_Comment_Min_RFA_SA_a, DS_Comment_Min_ELI_SA_a</t>
  </si>
  <si>
    <r>
      <t xml:space="preserve">NHTF Request Amount </t>
    </r>
    <r>
      <rPr>
        <b/>
        <sz val="11"/>
        <color theme="1"/>
        <rFont val="Calibri"/>
        <family val="2"/>
        <scheme val="minor"/>
      </rPr>
      <t>(Auto-Filled)</t>
    </r>
    <r>
      <rPr>
        <sz val="11"/>
        <color theme="1"/>
        <rFont val="Calibri"/>
        <family val="2"/>
        <scheme val="minor"/>
      </rPr>
      <t>:</t>
    </r>
  </si>
  <si>
    <t>L20</t>
  </si>
  <si>
    <t>G21:G30</t>
  </si>
  <si>
    <t>L32</t>
  </si>
  <si>
    <t>L37</t>
  </si>
  <si>
    <t>F38:F44</t>
  </si>
  <si>
    <t>Total Units,…</t>
  </si>
  <si>
    <t>L38</t>
  </si>
  <si>
    <t>F47</t>
  </si>
  <si>
    <t>Total Unit, Minimum SA Commitment</t>
  </si>
  <si>
    <t>I48</t>
  </si>
  <si>
    <t>L48</t>
  </si>
  <si>
    <t>Minimum SA Commitment, Total Units</t>
  </si>
  <si>
    <t>L68</t>
  </si>
  <si>
    <t>G73:G84</t>
  </si>
  <si>
    <t>Units</t>
  </si>
  <si>
    <t>Ranking</t>
  </si>
  <si>
    <t>Number of Units by Dev Type</t>
  </si>
  <si>
    <t>Ranking of Number of Units</t>
  </si>
  <si>
    <t>TDC Codes</t>
  </si>
  <si>
    <t>NHTF Funding Per Top Type(s)</t>
  </si>
  <si>
    <t>ESS</t>
  </si>
  <si>
    <t>Non-ESS</t>
  </si>
  <si>
    <t>Middle Initial:</t>
  </si>
  <si>
    <t>If Monroe County, is the proposed Development located in the North Florida Keys Area or the South Florida Keys Area for TDC PU Limitation purposes?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</si>
  <si>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</si>
  <si>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Optional</t>
  </si>
  <si>
    <t>(Start by putting cursor in blank cell; Select Developer, Macros, InsertHeaderandFooterForAllSheets, Run)</t>
  </si>
  <si>
    <t>Print Left Footer for All Tabs:</t>
  </si>
  <si>
    <t xml:space="preserve">    Dim HeaderText As Range</t>
  </si>
  <si>
    <t xml:space="preserve">    Set HeaderText = Application.Selection</t>
  </si>
  <si>
    <t xml:space="preserve">    HeaderText = Range("Data1!$A$4").Value</t>
  </si>
  <si>
    <t xml:space="preserve">    For Each mysheet In Application.ActiveWorkbook.Worksheets</t>
  </si>
  <si>
    <t xml:space="preserve">        mysheet.PageSetup.CenterHeader = "&amp;B&amp;14&amp;K7030A0" &amp; HeaderText &amp; ""</t>
  </si>
  <si>
    <t xml:space="preserve">        mysheet.PageSetup.Zoom = 80</t>
  </si>
  <si>
    <t>Next</t>
  </si>
  <si>
    <t>End Sub</t>
  </si>
  <si>
    <t xml:space="preserve">    Dim FooterText As Range</t>
  </si>
  <si>
    <t xml:space="preserve">    Set FooterText = Application.Selection</t>
  </si>
  <si>
    <t>Program the Print Header and Footer for All Tabs:</t>
  </si>
  <si>
    <t>Public Bus Rapid Transit Stop</t>
  </si>
  <si>
    <t>Link to "Count how often a value occurs"</t>
  </si>
  <si>
    <t>RFA 2022-102 Submission Goal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</si>
  <si>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</si>
  <si>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</si>
  <si>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Reserved for Future Programming</t>
  </si>
  <si>
    <t>For this cell only, enter either a zero (to eliminate the field) or a 3 to not have it included in input tracking.</t>
  </si>
  <si>
    <t>PRELIMENARY TAX-EXEMPT BOND ANALYSES</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</si>
  <si>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</si>
  <si>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r>
      <t xml:space="preserve">White-out the input &amp; marker indicators in columns K:M in </t>
    </r>
    <r>
      <rPr>
        <b/>
        <sz val="11"/>
        <color theme="1"/>
        <rFont val="Calibri"/>
        <family val="2"/>
        <scheme val="minor"/>
      </rPr>
      <t>Proposed Development Info</t>
    </r>
    <r>
      <rPr>
        <sz val="11"/>
        <color theme="1"/>
        <rFont val="Calibri"/>
        <family val="2"/>
        <scheme val="minor"/>
      </rPr>
      <t xml:space="preserve"> tab:</t>
    </r>
  </si>
  <si>
    <t>Required</t>
  </si>
  <si>
    <t>ARP Funding Per All Units</t>
  </si>
  <si>
    <t>If “Yes”, these properties will be disregarded for purposes of the Mandatory Distance Requirement. Identify the specific Development(s) to disregard by selecting it (them) from the dropdown menu(s) below. Use the Addendum if more properties are needed to be identified.</t>
  </si>
  <si>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</si>
  <si>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</si>
  <si>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Development Category Qualifying Criteria and Verification</t>
  </si>
  <si>
    <t>New Construction:</t>
  </si>
  <si>
    <t>Units must be classified as New Construction or Redevelopment</t>
  </si>
  <si>
    <t>of the Units are New Construction</t>
  </si>
  <si>
    <t>Adjusted Sources</t>
  </si>
  <si>
    <t>of adjusted basis of acquired building</t>
  </si>
  <si>
    <t>**9% HC</t>
  </si>
  <si>
    <t>per low-income  unit</t>
  </si>
  <si>
    <t>Source Label</t>
  </si>
  <si>
    <t xml:space="preserve">     (i) Minimum Unit Requirement</t>
  </si>
  <si>
    <t xml:space="preserve">     (i) Qualifying Unit Measure</t>
  </si>
  <si>
    <t xml:space="preserve">     (iii)(A) Adjusted Basis of Acquired Building</t>
  </si>
  <si>
    <t>Redevelopment:</t>
  </si>
  <si>
    <t>Preservation:</t>
  </si>
  <si>
    <t>Rehabilitation:</t>
  </si>
  <si>
    <t xml:space="preserve">     (iii)(B) Meets the Qualified Basis requirement?</t>
  </si>
  <si>
    <t>Placeholder</t>
  </si>
  <si>
    <t xml:space="preserve">     (iii)(A) Rehabilitation Expenditures</t>
  </si>
  <si>
    <t xml:space="preserve">     (iii)(A) Minimuim Rehabilitation Expenditures</t>
  </si>
  <si>
    <t xml:space="preserve">     (iii)(A) Meets the Rehab Expenditure requirement?</t>
  </si>
  <si>
    <t xml:space="preserve">     (iii)(B) Minimum Qualified Basis of Rehabilitatin Expenditures</t>
  </si>
  <si>
    <t xml:space="preserve">     (iii)(B) Qualified Basis of Rehabilitatin Expenditures</t>
  </si>
  <si>
    <t xml:space="preserve">     (iii)(B) Qualified Basis of Rehabilitatin Expenditures Per HC Unit</t>
  </si>
  <si>
    <t xml:space="preserve">     (i) Meets the Minimum Unit Requirement</t>
  </si>
  <si>
    <t xml:space="preserve">     (iii) Provided the Qualification Letter</t>
  </si>
  <si>
    <t xml:space="preserve">     (a) Minimum Unit Requirement</t>
  </si>
  <si>
    <t xml:space="preserve">     (a) Qualifying Unit Measure</t>
  </si>
  <si>
    <t xml:space="preserve">     (e) Provided the Qualification Letter</t>
  </si>
  <si>
    <t xml:space="preserve">     (d) Meets the minimum occupancy rate for existing development?</t>
  </si>
  <si>
    <t>If the Development Category is Preservation (with or without Acquisition), is the existing affordable housing development at least 75 percent occupied as of the Application Deadline?</t>
  </si>
  <si>
    <t xml:space="preserve">     (c)(i) Minimuim Rehabilitation Expenditures</t>
  </si>
  <si>
    <t xml:space="preserve">     (c)(i) Rehabilitation Expenditures</t>
  </si>
  <si>
    <t xml:space="preserve">     (c)(i) Adjusted Basis of Acquired Building</t>
  </si>
  <si>
    <t xml:space="preserve">     (c)(i) Meets the Rehab Expenditure requirement?</t>
  </si>
  <si>
    <t xml:space="preserve">     (c)(ii) Minimum Qualified Basis of Rehabilitatin Expenditures</t>
  </si>
  <si>
    <t xml:space="preserve">     (c)(ii) Qualified Basis of Rehabilitatin Expenditures</t>
  </si>
  <si>
    <t xml:space="preserve">     (c)(ii) Qualified Basis of Rehabilitatin Expenditures Per HC Unit</t>
  </si>
  <si>
    <t xml:space="preserve">     (c)(ii) Meets the Qualified Basis requirement?</t>
  </si>
  <si>
    <t xml:space="preserve">     (a) Meets the Minimum Unit Requirement</t>
  </si>
  <si>
    <t xml:space="preserve">     (c)(ii) Qualifying Basis Boost Factor</t>
  </si>
  <si>
    <t xml:space="preserve">     (c)(ii) Total Set-Aside Percentage</t>
  </si>
  <si>
    <t xml:space="preserve">     (c)(ii) Number of HC Set-Aside Units</t>
  </si>
  <si>
    <t xml:space="preserve">     (c)(i) Ratio of Rehab Exp to 20% of Adj Basis</t>
  </si>
  <si>
    <t>Application's Eligible SAIL + HOME-ARP Request Amount PU</t>
  </si>
  <si>
    <t>Application's Eligible SAIL + HOME-ARP Request as Percentage of TDC Preference</t>
  </si>
  <si>
    <t xml:space="preserve">     (a) Number of new construction units</t>
  </si>
  <si>
    <t xml:space="preserve">     (i) Number of new construction units</t>
  </si>
  <si>
    <t xml:space="preserve">     (iii)(A) Ratio of Rehab Exp to 20% of Adj Basis</t>
  </si>
  <si>
    <t xml:space="preserve">     (iii)(B) Number of HC Set-Aside Units</t>
  </si>
  <si>
    <t xml:space="preserve">     (iii)(B) Qualifying Basis Boost Factor</t>
  </si>
  <si>
    <t xml:space="preserve">     (iii)(B) Total Set-Aside Percentage</t>
  </si>
  <si>
    <t>Individual notes used to create an all-inclusive note below, as needed:</t>
  </si>
  <si>
    <t>1,4,6</t>
  </si>
  <si>
    <t>1,6</t>
  </si>
  <si>
    <t>1,</t>
  </si>
  <si>
    <t>1,4</t>
  </si>
  <si>
    <t>1,2,3</t>
  </si>
  <si>
    <t>Codes for the Notes</t>
  </si>
  <si>
    <t>5</t>
  </si>
  <si>
    <t>1,2,3,4,5,6</t>
  </si>
  <si>
    <t>1,4,5</t>
  </si>
  <si>
    <t>The Development Category requirements are outlined in Section Four.</t>
  </si>
  <si>
    <t>Rental Assistance Level</t>
  </si>
  <si>
    <t>% of Total Units</t>
  </si>
  <si>
    <t>&gt;</t>
  </si>
  <si>
    <t>&lt;=</t>
  </si>
  <si>
    <t># of RA Units</t>
  </si>
  <si>
    <t>And greater than…</t>
  </si>
  <si>
    <t>&gt;=</t>
  </si>
  <si>
    <t>&lt;</t>
  </si>
  <si>
    <t>Other form of federal long-term rental assistance*:</t>
  </si>
  <si>
    <t>*Effective only for New Construction and Rehabilitation (with or without Acquisition) Development Categories</t>
  </si>
  <si>
    <r>
      <t xml:space="preserve">Commit to provide </t>
    </r>
    <r>
      <rPr>
        <b/>
        <u/>
        <sz val="11"/>
        <color theme="1"/>
        <rFont val="Calibri"/>
        <family val="2"/>
        <scheme val="minor"/>
      </rPr>
      <t>at least three</t>
    </r>
    <r>
      <rPr>
        <b/>
        <sz val="11"/>
        <color theme="1"/>
        <rFont val="Calibri"/>
        <family val="2"/>
        <scheme val="minor"/>
      </rPr>
      <t xml:space="preserve"> of the following resident programs:</t>
    </r>
  </si>
  <si>
    <r>
      <t xml:space="preserve">Applicants that select the Elderly (ALF or Non-ALF) Demographic must commit to </t>
    </r>
    <r>
      <rPr>
        <u/>
        <sz val="11"/>
        <color theme="1"/>
        <rFont val="Calibri"/>
        <family val="2"/>
        <scheme val="minor"/>
      </rPr>
      <t>at least three</t>
    </r>
    <r>
      <rPr>
        <sz val="11"/>
        <color theme="1"/>
        <rFont val="Calibri"/>
        <family val="2"/>
        <scheme val="minor"/>
      </rPr>
      <t xml:space="preserve"> of the following resident programs, in addition to the required resident programs stated in Section Four:</t>
    </r>
  </si>
  <si>
    <t>(1) Less than 80% PSN</t>
  </si>
  <si>
    <t>(2) At least 80% PSN</t>
  </si>
  <si>
    <t>(1) DC that does or will impair</t>
  </si>
  <si>
    <t>(2) Receives benefits from SSDI, SSI or Veterans'</t>
  </si>
  <si>
    <t>(3) DC that does not or will not impair</t>
  </si>
  <si>
    <t>(4) Aging out of Foster Care</t>
  </si>
  <si>
    <t>(5) Survivors of domestic violence</t>
  </si>
  <si>
    <t>This line is reserved for future programming</t>
  </si>
  <si>
    <t>Non-AIT, Non-Self-Sourced: Amount of ELI to be purchased</t>
  </si>
  <si>
    <t>Non-AIT, Non-Self-Sourced: Minimum Base ELI Commitment</t>
  </si>
  <si>
    <t>HIDE THESE COLUMNS PRIOR TO ISSUANCE</t>
  </si>
  <si>
    <t>Points awarded for Community Services</t>
  </si>
  <si>
    <t>Tab Pop-ups: C4, J22</t>
  </si>
  <si>
    <t>Hidden Tracking: None</t>
  </si>
  <si>
    <t>Hidden Tracking: A14:A15, A19:A23</t>
  </si>
  <si>
    <t>Hidden Tracking: A14:A23, A28:A29</t>
  </si>
  <si>
    <t>Tab Pop-Ups: D30</t>
  </si>
  <si>
    <t>Hidden Tracking: A7:A8</t>
  </si>
  <si>
    <t>Tab Pop-Ups: B41</t>
  </si>
  <si>
    <t>Hidden Tracking: A5:A11, A17:A22</t>
  </si>
  <si>
    <t>Tab Pop-Ups: C11, C22</t>
  </si>
  <si>
    <r>
      <t>White-out the input &amp; marker indicators in columns M: in</t>
    </r>
    <r>
      <rPr>
        <b/>
        <sz val="11"/>
        <color theme="1"/>
        <rFont val="Calibri"/>
        <family val="2"/>
        <scheme val="minor"/>
      </rPr>
      <t xml:space="preserve"> Local Gov't</t>
    </r>
    <r>
      <rPr>
        <sz val="11"/>
        <color theme="1"/>
        <rFont val="Calibri"/>
        <family val="2"/>
        <scheme val="minor"/>
      </rPr>
      <t xml:space="preserve"> tab:</t>
    </r>
  </si>
  <si>
    <t>Note (1):</t>
  </si>
  <si>
    <t>Note (2):</t>
  </si>
  <si>
    <t>Note (3):</t>
  </si>
  <si>
    <t>Note (4):</t>
  </si>
  <si>
    <t>Note (5):</t>
  </si>
  <si>
    <t>Note (6):</t>
  </si>
  <si>
    <t>Applicant still needs to select a Development Category at Section 4.A.4.b.(1) above.</t>
  </si>
  <si>
    <t>Words in this shade of green in Column M indicates that row will not shade out when a "0" is entered in Column K</t>
  </si>
  <si>
    <t>If indicator # does NOT have an underline, it should NOT be changed</t>
  </si>
  <si>
    <t>4.A.5.e.</t>
  </si>
  <si>
    <t>Lat/Long Error Messsages:</t>
  </si>
  <si>
    <t>Did the Applicant indicate it was a Self-Sourced Application at Section 4.A.3.a.(1)(b)?</t>
  </si>
  <si>
    <t>Maximum Self-Sourced Set-Aside Commitment Term to be entered</t>
  </si>
  <si>
    <t>Minimum Self-Sourced Set-Aside Commitment Term to be entered</t>
  </si>
  <si>
    <t>Demonstration of permanent source(s) of financing from Self-Sourced Applicants - Possible points Awarded</t>
  </si>
  <si>
    <t>Additional points for Self-Sourced Applicants contributing a higher percentage of self-sourced financing than the minimum:</t>
  </si>
  <si>
    <t>If Applicant is Self-Sourced, enter the number of years the Applicant is committing to waive the option to convert the Development to market rate.</t>
  </si>
  <si>
    <t>How many additional points are indicated to be earned with this response?</t>
  </si>
  <si>
    <t>What is the number of points indicated that will be awarded to a Self-Sourced Applicant based on the number of years it is committing to waive the option to convert as provided above?</t>
  </si>
  <si>
    <t>Per Unit - Self-Sourced Applicants**</t>
  </si>
  <si>
    <r>
      <rPr>
        <sz val="11"/>
        <color theme="0"/>
        <rFont val="Wingdings"/>
        <charset val="2"/>
      </rPr>
      <t>ß</t>
    </r>
    <r>
      <rPr>
        <sz val="11"/>
        <color theme="0"/>
        <rFont val="Calibri"/>
        <family val="2"/>
        <charset val="2"/>
        <scheme val="minor"/>
      </rPr>
      <t xml:space="preserve"> Min. Request Amount</t>
    </r>
  </si>
  <si>
    <t>Limited Dev Cat</t>
  </si>
  <si>
    <t>NC or Redev</t>
  </si>
  <si>
    <t>Limited Dev Cat Menu</t>
  </si>
  <si>
    <t>None</t>
  </si>
  <si>
    <t xml:space="preserve">Tab Pop-ups: I8, I9, I13, I22, I26, I28, E29, I30, I33, I41, I49, I58, I64, I71, I77, I86, I92, I103, I124, G142:G144, G157:G158, G164:G166, G181, E188:I189, B271:I271, </t>
  </si>
  <si>
    <t>Menu Tracking</t>
  </si>
  <si>
    <t>Applicable RFAs</t>
  </si>
  <si>
    <t>®  ®  ®  ®  ®  ®  ®  ®  ®  ®  ®</t>
  </si>
  <si>
    <t>101, 103, 205</t>
  </si>
  <si>
    <t>103, 106</t>
  </si>
  <si>
    <t>101, 103, 106, 205</t>
  </si>
  <si>
    <t>103, 106, 201</t>
  </si>
  <si>
    <t>Per Development - Duval, Pinellas</t>
  </si>
  <si>
    <t>202, 203</t>
  </si>
  <si>
    <t>Self-Sourced: Non-Bond-Financing</t>
  </si>
  <si>
    <t>Self-Sourced: Bond-Financing</t>
  </si>
  <si>
    <t>Homeless &amp; PDD or PDC Demographics</t>
  </si>
  <si>
    <t>Per Development - Edit for Specific Demographic</t>
  </si>
  <si>
    <t>2022 Metro QCT's</t>
  </si>
  <si>
    <t>Geo_Area_of_Opp_boost</t>
  </si>
  <si>
    <t>Auto White-Out?</t>
  </si>
  <si>
    <t>Will this be Very-Hidden?</t>
  </si>
  <si>
    <t>Does the proposed Development's criteria qualify it for the Development Category selected above?</t>
  </si>
  <si>
    <t>Does the above information indicate it met the criteria for this Funding Preference?</t>
  </si>
  <si>
    <t>App Status %</t>
  </si>
  <si>
    <t>App Status #</t>
  </si>
  <si>
    <t># Units Hurdle</t>
  </si>
  <si>
    <t>No scoring is programmed in this section, inclusive of Redevelopment criteria</t>
  </si>
  <si>
    <t xml:space="preserve">          AIT, Non-Self-Sourced: Minimum Base ELI Commitment</t>
  </si>
  <si>
    <t>Non-AIT,           Self-Sourced: Minimum Base ELI Commitment</t>
  </si>
  <si>
    <t>Non-AIT,           Self-Sourced: Amount of ELI to be purchased</t>
  </si>
  <si>
    <t xml:space="preserve">          AIT, Non-Self-Sourced: Amount of ELI to be purchased</t>
  </si>
  <si>
    <t xml:space="preserve">          AIT,           Self-Sourced: Minimum Base ELI Commitment</t>
  </si>
  <si>
    <t xml:space="preserve">          AIT,           Self-Sourced: Amount of ELI to be purchased</t>
  </si>
  <si>
    <t>Incorporate Verification?</t>
  </si>
  <si>
    <t>Yes, but either works</t>
  </si>
  <si>
    <t>Minimum below 50% AMI for Self-Sourced</t>
  </si>
  <si>
    <t>Chart for the Prorata Distribution of ELI units.</t>
  </si>
  <si>
    <t>Applicant's Eligible Workforce SAIL Request Amount:</t>
  </si>
  <si>
    <t>Applicant's Eligible SAIL Request Amount:</t>
  </si>
  <si>
    <t>Applicant's Eligible ELI Request Amount:</t>
  </si>
  <si>
    <t>Applicant's Eligible HOME Request Amount:</t>
  </si>
  <si>
    <t>Applicant's Eligible HOME-ARP Request Amount:</t>
  </si>
  <si>
    <t>Applicant's Eligible Grant Request Amount:</t>
  </si>
  <si>
    <t>Applicant's Eligible NHTF Request Amount:</t>
  </si>
  <si>
    <t>Applicant's Eligible TBD Request Amount:</t>
  </si>
  <si>
    <t>Applicant's Eligible Competitive Housing Credit Request Amount:</t>
  </si>
  <si>
    <t>Met Construction Financing Threshold for sources equal or exceed uses:</t>
  </si>
  <si>
    <t>Met Permanent Financing Threshold for sources equal or exceed uses:</t>
  </si>
  <si>
    <t>Tab Pop-ups: F19:I20, G21:I21, E31:I31, E33:I33, E50</t>
  </si>
  <si>
    <t>To show table, (1) select a Minimum Set-Aside Commitment and (2) have the appropriate ELI to be purchased be more than 0%.</t>
  </si>
  <si>
    <t>Tab Pop-ups: C4:K4, L19:O19, L20:L29, D34:K34, L38:O38, D51:K51, L73:L81, D89:K89, D114:K118, I121:K130, F131:K131</t>
  </si>
  <si>
    <t>Hidden Tracking: C230:C231, N274:N295</t>
  </si>
  <si>
    <t>Δ NPV</t>
  </si>
  <si>
    <t>Macro:</t>
  </si>
  <si>
    <t>Sub InsertHeaderandFooterForAllSheets()</t>
  </si>
  <si>
    <t xml:space="preserve">    LeftFooterText = Range("Data1!$A$7").Value</t>
  </si>
  <si>
    <t xml:space="preserve">        mysheet.PageSetup.LeftHeader = ""</t>
  </si>
  <si>
    <t xml:space="preserve">        mysheet.PageSetup.RightHeader = ""</t>
  </si>
  <si>
    <t xml:space="preserve">        mysheet.PageSetup.LeftFooter = LeftFooterText</t>
  </si>
  <si>
    <t xml:space="preserve">        mysheet.PageSetup.CenterFooter = ""</t>
  </si>
  <si>
    <t xml:space="preserve">        mysheet.PageSetup.RightFooter = "&amp;K000000'&amp;A' worksheet tab: Page &amp;P of &amp;N"</t>
  </si>
  <si>
    <t xml:space="preserve">        mysheet.PageSetup.LeftMargin = Application.InchesToPoints(0.7)</t>
  </si>
  <si>
    <t xml:space="preserve">        mysheet.PageSetup.RightMargin = Application.InchesToPoints(0.7)</t>
  </si>
  <si>
    <t xml:space="preserve">        mysheet.PageSetup.TopMargin = Application.InchesToPoints(0.75)</t>
  </si>
  <si>
    <t xml:space="preserve">        mysheet.PageSetup.BottomMargin = Application.InchesToPoints(0.75)</t>
  </si>
  <si>
    <t xml:space="preserve">        mysheet.PageSetup.HeaderMargin = Application.InchesToPoints(0.3)</t>
  </si>
  <si>
    <t xml:space="preserve">        mysheet.PageSetup.FooterMargin = Application.InchesToPoints(0.3)</t>
  </si>
  <si>
    <t xml:space="preserve">        mysheet.PageSetup.PrintHeadings = False</t>
  </si>
  <si>
    <t xml:space="preserve">        mysheet.PageSetup.PrintGridlines = False</t>
  </si>
  <si>
    <t xml:space="preserve">        mysheet.PageSetup.PrintComments = xlPrintSheetEnd</t>
  </si>
  <si>
    <t xml:space="preserve">        mysheet.PageSetup.PrintQuality = 600</t>
  </si>
  <si>
    <t xml:space="preserve">        mysheet.PageSetup.CenterHorizontally = False</t>
  </si>
  <si>
    <t xml:space="preserve">        mysheet.PageSetup.CenterVertically = False</t>
  </si>
  <si>
    <t xml:space="preserve">        mysheet.PageSetup.Orientation = xlPortrait</t>
  </si>
  <si>
    <t xml:space="preserve">        mysheet.PageSetup.Draft = False</t>
  </si>
  <si>
    <t xml:space="preserve">        mysheet.PageSetup.PaperSize = xlPaperLetter</t>
  </si>
  <si>
    <t xml:space="preserve">        mysheet.PageSetup.FirstPageNumber = xlAutomatic</t>
  </si>
  <si>
    <t xml:space="preserve">        mysheet.PageSetup.Order = xlDownThenOver</t>
  </si>
  <si>
    <t xml:space="preserve">        mysheet.PageSetup.BlackAndWhite = False</t>
  </si>
  <si>
    <t>Initial Date for Funding Program Requirement</t>
  </si>
  <si>
    <t>Automated County Size (1)</t>
  </si>
  <si>
    <t>Include Large?</t>
  </si>
  <si>
    <t>Include Medium?</t>
  </si>
  <si>
    <t>Include Small?</t>
  </si>
  <si>
    <t>Minimum # of Units - Persons with Developmental Disabilities</t>
  </si>
  <si>
    <t>Minimum # of Units - Persons with Disabling Condition</t>
  </si>
  <si>
    <t>Maximum # of Units - Persons with Developmental Disabilities</t>
  </si>
  <si>
    <t>Maximum # of Units - Persons with Disabling Condition</t>
  </si>
  <si>
    <t>Needs County to remove "TBD"</t>
  </si>
  <si>
    <t>(This feeds into the 4th 'Minimum IRS Set-Aside' menu option)</t>
  </si>
  <si>
    <t>Gap Loan: Max. AMI - Matched to IRC Set-Aside Selection</t>
  </si>
  <si>
    <t>Gap Loan: Max. AMI - Manually selected</t>
  </si>
  <si>
    <t>Is the ELI funding part of the SAIL Per Development Limit?</t>
  </si>
  <si>
    <t>Minimum Large County Units</t>
  </si>
  <si>
    <t>Minimum Medium County Units</t>
  </si>
  <si>
    <t>Both</t>
  </si>
  <si>
    <t>•  The Executive Director Certification of Non-Profit Entity Material Participation form (Rev. 09-22)</t>
  </si>
  <si>
    <t>A "1" here monitors if Unit Mix Chart has 100% units accounted for.</t>
  </si>
  <si>
    <t>High Efficiency HVAC with SEER of at least 16**</t>
  </si>
  <si>
    <t>How many Optional 22% Units is the Applicant requesting?</t>
  </si>
  <si>
    <t>.</t>
  </si>
  <si>
    <t>The potential funding based on the above assumptions and funding limits provided in the RFA is presented below, but it will be confirmed and determined in Credit Underwriting.</t>
  </si>
  <si>
    <t>22% Units</t>
  </si>
  <si>
    <t>Funding PU</t>
  </si>
  <si>
    <t>Total Funding</t>
  </si>
  <si>
    <t>Use only for 4%, bond transactions</t>
  </si>
  <si>
    <t>Always keep</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</si>
  <si>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</si>
  <si>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When RFA says 100% Set-Aside and no Set-Aside table is provided, select the fourth drop-down menu option for Set-Aside Commitment and enter 100% in the row for 60% AMI units in the first set-aside table (left) and the Set-Aside selection option.</t>
  </si>
  <si>
    <t>Selection Order</t>
  </si>
  <si>
    <r>
      <t xml:space="preserve">If the Applicant intends to utilize County HFA-issued Tax-Exempt Bonds for the proposed Development, provide the required documentation as </t>
    </r>
    <r>
      <rPr>
        <b/>
        <sz val="11"/>
        <color theme="1"/>
        <rFont val="Calibri"/>
        <family val="2"/>
        <scheme val="minor"/>
      </rPr>
      <t>Attachment #.</t>
    </r>
  </si>
  <si>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</si>
  <si>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</si>
  <si>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Eligible for ELI funding for any unit at ELI</t>
  </si>
  <si>
    <t>Yes, unless SS-No</t>
  </si>
  <si>
    <t>Must Applicant commit to Max Purchased ELI Units (B449)?</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</si>
  <si>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</si>
  <si>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If Applicable, review Max_Competitive_HC</t>
  </si>
  <si>
    <t>NC/Rehab letter page 19, includes Other</t>
  </si>
  <si>
    <t>Redevelopment letter page 18 10-1 draft not Other</t>
  </si>
  <si>
    <t># of developments needed with min. total # of units % criteria</t>
  </si>
  <si>
    <t>Management Experience Variables (Only menu is incorporated)</t>
  </si>
  <si>
    <t>not automated -&gt;</t>
  </si>
  <si>
    <t>incorporated</t>
  </si>
  <si>
    <t>When incorprated, best to use chart</t>
  </si>
  <si>
    <t>When incorprated, refer to chart</t>
  </si>
  <si>
    <t>Maximum # of Units - Elderly Non-ALF, Occupied Rehab (w or w/o Acq)</t>
  </si>
  <si>
    <t>Maximum # of Units - Elderly Non-ALF, All other</t>
  </si>
  <si>
    <t>Maximum # of Units - Family</t>
  </si>
  <si>
    <t>No Limit</t>
  </si>
  <si>
    <t>Exception: For Profit with a minimum of how many set-aside units</t>
  </si>
  <si>
    <t>Minimum HC or Loan Only Set-Aside Units to have less than above minimum %</t>
  </si>
  <si>
    <t>Minimum Unit Mix Variables (ignore not applicable demographics)</t>
  </si>
  <si>
    <t>Request Amount whole number limits (Ignore this)</t>
  </si>
  <si>
    <t>Qualifying Financial Assistance Funding Preference (Skip if no PSH)</t>
  </si>
  <si>
    <t>Controls to hide RFA set-up guides (E Auto White's Out/ F is for reminders)</t>
  </si>
  <si>
    <t>Minimum Overall Set-Aside in RFA (using total AIT HC Units, not just &lt;=60%)</t>
  </si>
  <si>
    <t>Always a 0</t>
  </si>
  <si>
    <t>Enter 0 to exclude, 2 to keep</t>
  </si>
  <si>
    <t>(1) LGAO as part of a LG Revitalization Plan</t>
  </si>
  <si>
    <t>(2) Multipler Years of continuous LGAO support</t>
  </si>
  <si>
    <t>(3) LGAO but does not qualify for the preferences</t>
  </si>
  <si>
    <t>Does the documentation provided as Attachment 16 demonstrate that the Application qualifies for the Local Government Areas of Opportunity Designation and the Local Government Areas of Opportunity Basis Boost, as outlined in Section Four, A.11.a. of the RFA?</t>
  </si>
  <si>
    <t>Preferences within the Goal</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</si>
  <si>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</si>
  <si>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</si>
  <si>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(2) The Application has received multiple years of continuous Local Government Area of Opportunity support and the Application Number for the Application submitted in RFA 2021-201 that qualified for the Local Government Area of Opportunity Designation is</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</si>
  <si>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</si>
  <si>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</si>
  <si>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If the Applicant selected the Development Category of New Construction or Redevelopment, with or without Acquisition (i.e., the Application is not eligible for automatic points), has a Local Government committed to provide a contribution to the proposed Development?</t>
  </si>
  <si>
    <r>
      <t xml:space="preserve">To demonstrate the Local Government Contribution, provide the applicable Local Government Verification of Contribution form(s) as </t>
    </r>
    <r>
      <rPr>
        <b/>
        <sz val="11"/>
        <color theme="1"/>
        <rFont val="Calibri"/>
        <family val="2"/>
        <scheme val="minor"/>
      </rPr>
      <t>Attachment 16</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</si>
  <si>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and the Local Government Areas of Opportunity Basis Boost, as outlined in Section Four, A.11.a. of the RFA?</t>
    </r>
  </si>
  <si>
    <t>Pre-Application Meeting or Experience (10 points)</t>
  </si>
  <si>
    <r>
      <t xml:space="preserve">To receive 10 points, submit the Corporation-approved Pre-Application Meeting or Experience for Proposed Permanent Supportive Housing Developments Form (Rev. 09-2022) as </t>
    </r>
    <r>
      <rPr>
        <b/>
        <sz val="11"/>
        <color theme="1"/>
        <rFont val="Calibri"/>
        <family val="2"/>
        <scheme val="minor"/>
      </rPr>
      <t>Attachment 2</t>
    </r>
    <r>
      <rPr>
        <sz val="11"/>
        <color theme="1"/>
        <rFont val="Calibri"/>
        <family val="2"/>
        <scheme val="minor"/>
      </rPr>
      <t>.</t>
    </r>
  </si>
  <si>
    <r>
      <t xml:space="preserve">Please enter the cumulative total values of all relative forms provided as </t>
    </r>
    <r>
      <rPr>
        <b/>
        <sz val="11"/>
        <color theme="1"/>
        <rFont val="Calibri"/>
        <family val="2"/>
        <scheme val="minor"/>
      </rPr>
      <t>Attachment 16</t>
    </r>
    <r>
      <rPr>
        <sz val="11"/>
        <color theme="1"/>
        <rFont val="Calibri"/>
        <family val="2"/>
        <scheme val="minor"/>
      </rPr>
      <t>. If more than one form of the same kind is provided, please add the amounts together and enter the total. The Value of Contribution is calculated automatically by taking the Face Amount and subtracting the Net Present Value of the repayment terms (calculated as provided in the RFA). The amounts for the Face Amount and the Net Present Value are provided on each Local Government Contribution form, as applicable.</t>
    </r>
  </si>
  <si>
    <t>Hidden Tracking: A41:A43</t>
  </si>
  <si>
    <t>Tab Pop-Ups: B34</t>
  </si>
  <si>
    <t>The Applicant understands and is in compliance with any Priority I/II Applicant Designation requirements outlined in the RFA and, if applicable, the 2022 CHIRP ITP, and will continue to comply throughout the Compliance Period. The Applicant agrees to notify the Corporation of any changes.  The Corporation will determine whether the changes cause a violation of the Priority I/II Applicant Designation requirement.</t>
  </si>
  <si>
    <t>The Applicant has read, understands, and will comply with the Capital Needs Assessment requirements outlined in Exhibit F.</t>
  </si>
  <si>
    <r>
      <t>White-out the input &amp; marker indicators in columns P: in</t>
    </r>
    <r>
      <rPr>
        <b/>
        <sz val="11"/>
        <color theme="1"/>
        <rFont val="Calibri"/>
        <family val="2"/>
        <scheme val="minor"/>
      </rPr>
      <t xml:space="preserve"> Certification</t>
    </r>
    <r>
      <rPr>
        <sz val="11"/>
        <color theme="1"/>
        <rFont val="Calibri"/>
        <family val="2"/>
        <scheme val="minor"/>
      </rPr>
      <t xml:space="preserve"> tab:</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</si>
  <si>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</si>
  <si>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</si>
  <si>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Review</t>
  </si>
  <si>
    <t>Req AIT Units</t>
  </si>
  <si>
    <t>2.a. Act %</t>
  </si>
  <si>
    <t>Max %</t>
  </si>
  <si>
    <t>Elderly ALF Multiplier (Demographic Multiplier for Eld-ALF)</t>
  </si>
  <si>
    <t>Demographic Multiplier (HH, PSN, etc.)</t>
  </si>
  <si>
    <t>Non-Competitive Only</t>
  </si>
  <si>
    <t>DON’T MESS WITH THIS SECTION</t>
  </si>
  <si>
    <t>Only 5% on select RFA's</t>
  </si>
  <si>
    <t>Only mark "No" for Qualifying Fin Assistance RFA's</t>
  </si>
  <si>
    <r>
      <t xml:space="preserve">Please do </t>
    </r>
    <r>
      <rPr>
        <u/>
        <sz val="10"/>
        <color rgb="FFC00000"/>
        <rFont val="Calibri"/>
        <family val="2"/>
        <scheme val="minor"/>
      </rPr>
      <t>NOT</t>
    </r>
    <r>
      <rPr>
        <sz val="10"/>
        <color rgb="FFC00000"/>
        <rFont val="Calibri"/>
        <family val="2"/>
        <scheme val="minor"/>
      </rPr>
      <t xml:space="preserve"> delete any formulas in column C, even if you don't want it to appear. It is all contolled by column B entries.</t>
    </r>
  </si>
  <si>
    <r>
      <t xml:space="preserve">To manually change the "1" in column B to be a "0", please do </t>
    </r>
    <r>
      <rPr>
        <u/>
        <sz val="10"/>
        <color rgb="FFC00000"/>
        <rFont val="Calibri"/>
        <family val="2"/>
        <scheme val="minor"/>
      </rPr>
      <t>NOT</t>
    </r>
    <r>
      <rPr>
        <sz val="10"/>
        <color rgb="FFC00000"/>
        <rFont val="Calibri"/>
        <family val="2"/>
        <scheme val="minor"/>
      </rPr>
      <t xml:space="preserve"> type a "0" over the formula. Edit the cell and add to the very end: "*0". If done, please change background to "Gold, Accent 4, Lighter 60%"</t>
    </r>
  </si>
  <si>
    <t>Cutler Ridge</t>
  </si>
  <si>
    <t>Tier 1</t>
  </si>
  <si>
    <t>Downtown Kendall</t>
  </si>
  <si>
    <t>Goulds</t>
  </si>
  <si>
    <t>Tier 2</t>
  </si>
  <si>
    <t>Leisure City</t>
  </si>
  <si>
    <t>Model City</t>
  </si>
  <si>
    <t>Naranja</t>
  </si>
  <si>
    <t>North Central</t>
  </si>
  <si>
    <t>Ojus</t>
  </si>
  <si>
    <t>Perrine</t>
  </si>
  <si>
    <t>Princeton</t>
  </si>
  <si>
    <t>Urban Center Designation Qualifications</t>
  </si>
  <si>
    <t>Does the Application qualify for the Urban Center Designation?</t>
  </si>
  <si>
    <t>What is the name of the Urban Center in which the entire proposed Development, including all Scattered Sites, if applicable, is located?  The entire proposed Development, including all Scattered Sites, if applicable, must be located within the Urban Center zoning designation .</t>
  </si>
  <si>
    <t>(The Tier level for Naranja is dependent upon the selected Demographic Commitment)</t>
  </si>
  <si>
    <t>Did the Applicant indicate it qualifies for the Urban Center Designation at Section 4.A.5.g.(1)?</t>
  </si>
  <si>
    <t>If "Yes", did the Applicant select the name of the applicable Urban Center at Section 4.A.5.g.(2)?</t>
  </si>
  <si>
    <t>2022 Metro QCT's
sorted by QCT</t>
  </si>
  <si>
    <t>2022 Non-Metro QCT's
sorted by QCT</t>
  </si>
  <si>
    <t>2022 ZCTAs
sorted by ZCTA</t>
  </si>
  <si>
    <t>↓</t>
  </si>
  <si>
    <t>DS_ZCTAs_2022</t>
  </si>
  <si>
    <t>Unless stated otherwise, all information requested pertains to the Development proposed in this Application upon completion.</t>
  </si>
  <si>
    <t>ALF AT 50% SET-ASIDE LIMIT FOR TABLE C MASTER &amp; 205</t>
  </si>
  <si>
    <t>Gap Loan: Min. Set-Asides (6.d.(2)(d/c))</t>
  </si>
  <si>
    <t>Gap Loan: Max. Set-Asides (6.d.(2)(d/c))</t>
  </si>
  <si>
    <t>Gap Loan: Min. ALF Set-Asides (6.d.(2)(d/c))</t>
  </si>
  <si>
    <t>Minimum SAIL Set-Asides for Elderly ALF</t>
  </si>
  <si>
    <t>If Max. AMI - Matched to IRC is Yes and AIT is selected, Gap Loan Avg AMI:</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</si>
  <si>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</si>
  <si>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</si>
  <si>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</si>
  <si>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</si>
  <si>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Only one "1" should be entered in L98, L99 and N109.</t>
  </si>
  <si>
    <t>If 'Other' is selected above, enter the name of the program here.</t>
  </si>
  <si>
    <t>If 'Other' is selected, enter the name of the program in the row below.</t>
  </si>
  <si>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</si>
  <si>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t>Assistance with Light Housekeeping, Grocery Shopping and/or Laundry</t>
  </si>
  <si>
    <t>Persons with a Disabling Condition</t>
  </si>
  <si>
    <t>2023 ZCTAs</t>
  </si>
  <si>
    <t>2023 Non-Metro DDA's</t>
  </si>
  <si>
    <t>2023 Metro QCT's</t>
  </si>
  <si>
    <t>2023 Non-Metro QCT's</t>
  </si>
  <si>
    <t>2023 ZCTAs
sorted by ZCTA</t>
  </si>
  <si>
    <t>2023 Metro QCT's
sorted by QCT</t>
  </si>
  <si>
    <t>2023 Non-Metro QCT's
sorted by QCT</t>
  </si>
  <si>
    <t>All 2023 GAOs
sorted by QCT</t>
  </si>
  <si>
    <t>All 2022 GAOs
sorted by QCT</t>
  </si>
  <si>
    <t>DS_ZCTAs_2023</t>
  </si>
  <si>
    <t>Indian</t>
  </si>
  <si>
    <t>Palm</t>
  </si>
  <si>
    <t>Santa</t>
  </si>
  <si>
    <t>St.</t>
  </si>
  <si>
    <t>GAO's effective 2/1/22</t>
  </si>
  <si>
    <t>GAO's effective 2/1/23</t>
  </si>
  <si>
    <t>Should the above include the additional reference to "at least 75%"?</t>
  </si>
  <si>
    <t>LGC Preferences within the Goal: Check Box Reference Cells</t>
  </si>
  <si>
    <t>4.A.11.b.</t>
  </si>
  <si>
    <t>DS_2023_ZCTAs_Sorted</t>
  </si>
  <si>
    <t xml:space="preserve">The Principals of the Applicant and Developer(s) Disclosure Form (Form Rev. 05-2019) (“Principals Disclosure Form”) must be uploaded with the Application, as outlined in Section Three of the RFA, and meet the requirements of Section Four of the RFA. </t>
  </si>
  <si>
    <t>Unit Characteristic Chart</t>
  </si>
  <si>
    <t>Characteristics of Development</t>
  </si>
  <si>
    <t>DS_2022_GAO_Counties</t>
  </si>
  <si>
    <t>DS_2022_ZCTAs_Sorted</t>
  </si>
  <si>
    <t>DS_2022_Metro_QCTs_Sorted</t>
  </si>
  <si>
    <t>DS_2022_NonMetro_QCTs_Sorted</t>
  </si>
  <si>
    <t>DS_2022_GAO_QCTs_Sorted</t>
  </si>
  <si>
    <t>DS_2022_NonMetro_QCT_Counties</t>
  </si>
  <si>
    <t>DS_2022_Metro_QCT_Counties</t>
  </si>
  <si>
    <t>DS_GAOs_effective2.1.22</t>
  </si>
  <si>
    <t>DS_2023_Metro_QCTs_Sorted</t>
  </si>
  <si>
    <t>DS_2023_NonMetro_QCTs_Sorted</t>
  </si>
  <si>
    <t>DS_2023_County_GAOs</t>
  </si>
  <si>
    <t>DS_2023_County_QCTs</t>
  </si>
  <si>
    <t>DS_NonMetro_QCTs_2023</t>
  </si>
  <si>
    <t>DS_Metro_QCTs_2023</t>
  </si>
  <si>
    <t>DS_NonMetro_DDAs_2023</t>
  </si>
  <si>
    <t>DS_NonMetro_DDAs_2022</t>
  </si>
  <si>
    <t>DS_Metro_QCTs_2022</t>
  </si>
  <si>
    <t>DS_NonMetro_QCTs_2022</t>
  </si>
  <si>
    <t>DS_2022_County_QCTs</t>
  </si>
  <si>
    <t>DS_2022_County_GAOs</t>
  </si>
  <si>
    <t>Minimum ELI Commitments &amp; Distribution Variables - Min Base ELI means what we don't pay for</t>
  </si>
  <si>
    <t>DS_2023_Metro_QCT_Counties</t>
  </si>
  <si>
    <t>DS_2023_NonMetro_QCT_Counties</t>
  </si>
  <si>
    <t>This amount is also used as a default high amount when PU limits are not applicable</t>
  </si>
  <si>
    <t>DS_GAOs_effective2.1.23</t>
  </si>
  <si>
    <t>DS_2023_GAO_Counties</t>
  </si>
  <si>
    <t>Row Height for 0=80; 1=65 (PSH)</t>
  </si>
  <si>
    <t>Youth Aging Out of Foster Care Goal</t>
  </si>
  <si>
    <t>Does the Application meet the eligibility described in Section Four A.2.c to qualify for the Youth Aging Out of Foster Care Goal?</t>
  </si>
  <si>
    <t>To determine the Applicant’s eligibility as a Tier 1 or Tier 2 Application, state the Percentage of Developer’s fee that will go to the Non-Profit entity:</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</si>
  <si>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</si>
  <si>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Advance Review of Principals Disclosure Form </t>
    </r>
    <r>
      <rPr>
        <b/>
        <sz val="11"/>
        <color theme="1"/>
        <rFont val="Calibri"/>
        <family val="2"/>
        <scheme val="minor"/>
      </rPr>
      <t>(5 points)</t>
    </r>
  </si>
  <si>
    <r>
      <t xml:space="preserve">Developer Experience Withdrawal Disincentive </t>
    </r>
    <r>
      <rPr>
        <b/>
        <sz val="11"/>
        <color theme="1"/>
        <rFont val="Calibri"/>
        <family val="2"/>
        <scheme val="minor"/>
      </rPr>
      <t>(5 points)</t>
    </r>
  </si>
  <si>
    <r>
      <t>Principals Disclosure for the Applicant and for each Develope</t>
    </r>
    <r>
      <rPr>
        <sz val="11"/>
        <color theme="1"/>
        <rFont val="Calibri"/>
        <family val="2"/>
        <scheme val="minor"/>
      </rPr>
      <t>r (5 points)</t>
    </r>
  </si>
  <si>
    <t>This section is for Rehab/Prez categories and checks the Development Category menu to automatically evaluate</t>
  </si>
  <si>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13</t>
    </r>
    <r>
      <rPr>
        <sz val="11"/>
        <color theme="1"/>
        <rFont val="Calibri"/>
        <family val="2"/>
        <scheme val="minor"/>
      </rPr>
      <t xml:space="preserve"> to Exhibit A.</t>
    </r>
  </si>
  <si>
    <r>
      <t xml:space="preserve">The Housing Credit equity proposal must be provided as </t>
    </r>
    <r>
      <rPr>
        <b/>
        <sz val="11"/>
        <color theme="1"/>
        <rFont val="Calibri"/>
        <family val="2"/>
        <scheme val="minor"/>
      </rPr>
      <t>Attachment 13.</t>
    </r>
  </si>
  <si>
    <t>Is permanent relocation (displacement) anticipated during or after the construction/ redevelopment period?</t>
  </si>
  <si>
    <t>Tab Pop-Ups: G5, I16:I25, H19:H25, G20:G25</t>
  </si>
  <si>
    <t>(Defaults to opposite of cell O3 input)</t>
  </si>
  <si>
    <t>Select the Development Type:</t>
  </si>
  <si>
    <t>Enhanced Structural Systems (“ESS”) Construction Qualifications are outlined in Section Four, A.4.c.(2) of RFA.</t>
  </si>
  <si>
    <t>(Self populates based on required responses to (ii) - (iv) above)</t>
  </si>
  <si>
    <t>101: NA; 201: 0/Y; 202: 0/Y; 205: 1/N; 103: NA; 106: NA</t>
  </si>
  <si>
    <t>NEW</t>
  </si>
  <si>
    <t>RFA 2023-102</t>
  </si>
  <si>
    <t>Exhibit A to RFA 2023-102 SAIL Financing For Smaller Permanent Supportive Housing Developments For Persons With Special Needs</t>
  </si>
  <si>
    <t>SAIL, HOME-ARP, NHTF</t>
  </si>
  <si>
    <t>Dev Type</t>
  </si>
  <si>
    <t>First completed multifamily rental housing development that meets the experience requirement outlined in Section Four, A.3.b.(3)(a) of the RFA:</t>
  </si>
  <si>
    <t>Developer Experience</t>
  </si>
  <si>
    <r>
      <t xml:space="preserve">All Applicants,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</si>
  <si>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  Programmable thermostat in each unit </t>
  </si>
  <si>
    <r>
      <t xml:space="preserve">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10</t>
    </r>
    <r>
      <rPr>
        <sz val="11"/>
        <color theme="1"/>
        <rFont val="Calibri"/>
        <family val="2"/>
        <scheme val="minor"/>
      </rPr>
      <t>.  This form must be signed by the Authorized Principal Representative.</t>
    </r>
  </si>
  <si>
    <t>The Applicant has reviewed section 67-48.004, F.A.C. and subsection 67-48.009 (5), F.A.C., and certifies to its eligibility to apply for the funding offered in this RFA.</t>
  </si>
  <si>
    <t>=IF(H231=0,"",IFERROR((MIN(N(Max_SAIL),N(SAIL_Request_Amount))+MIN(N(Max_ARP),N(HOME_ARP_Request_Amount)))/IF(Minimum_SetAside_per_Sec_42&lt;&gt;"Average Income Test",SUM('Units, Set-Asides, Bldgs'!F20:F28),IF(Minimum_SetAside_per_Sec_42="Average Income Test",SUM('Units, Set-Asides, Bldgs'!F39:F45),0)),"TBD"))</t>
  </si>
  <si>
    <t>PROPOSED
COSTS</t>
  </si>
  <si>
    <t>Max ODR:</t>
  </si>
  <si>
    <t>Maximum % Operating Deficit Reserves</t>
  </si>
  <si>
    <t>underwriting. Any operating deficit reserve account approved in credit underwriting will be held by the Corporation or its servicers.</t>
  </si>
  <si>
    <r>
      <t xml:space="preserve">OPERATING DEFICIT RESERVES </t>
    </r>
    <r>
      <rPr>
        <b/>
        <vertAlign val="superscript"/>
        <sz val="9"/>
        <color theme="1"/>
        <rFont val="Arial"/>
        <family val="2"/>
      </rPr>
      <t>See Note (4)</t>
    </r>
  </si>
  <si>
    <r>
      <t xml:space="preserve">TOTAL DEVELOPMENT COST </t>
    </r>
    <r>
      <rPr>
        <b/>
        <vertAlign val="superscript"/>
        <sz val="9"/>
        <rFont val="Arial"/>
        <family val="2"/>
      </rPr>
      <t>See Note (6)</t>
    </r>
  </si>
  <si>
    <r>
      <t xml:space="preserve">HARD COST CONTINGENCY </t>
    </r>
    <r>
      <rPr>
        <b/>
        <vertAlign val="superscript"/>
        <sz val="9"/>
        <color theme="1"/>
        <rFont val="Arial"/>
        <family val="2"/>
      </rPr>
      <t>See Note (3)</t>
    </r>
  </si>
  <si>
    <r>
      <t xml:space="preserve">SOFT COST CONTINGENCY </t>
    </r>
    <r>
      <rPr>
        <b/>
        <vertAlign val="superscript"/>
        <sz val="9"/>
        <color theme="1"/>
        <rFont val="Arial"/>
        <family val="2"/>
      </rPr>
      <t>See Note (3)</t>
    </r>
  </si>
  <si>
    <r>
      <t xml:space="preserve">General Contractor Fee </t>
    </r>
    <r>
      <rPr>
        <b/>
        <vertAlign val="superscript"/>
        <sz val="9"/>
        <rFont val="Arial"/>
        <family val="2"/>
      </rPr>
      <t>See Note (2)</t>
    </r>
  </si>
  <si>
    <t xml:space="preserve">FHFC Administrative Fee </t>
  </si>
  <si>
    <r>
      <t>FHFC Application Fee</t>
    </r>
    <r>
      <rPr>
        <vertAlign val="superscript"/>
        <sz val="9"/>
        <rFont val="Arial"/>
        <family val="2"/>
      </rPr>
      <t xml:space="preserve"> </t>
    </r>
  </si>
  <si>
    <t xml:space="preserve">FHFC Compliance Fee </t>
  </si>
  <si>
    <r>
      <t>FHFC PRL/Credit Underwriting Fees</t>
    </r>
    <r>
      <rPr>
        <vertAlign val="superscript"/>
        <sz val="9"/>
        <rFont val="Arial"/>
        <family val="2"/>
      </rPr>
      <t xml:space="preserve"> </t>
    </r>
  </si>
  <si>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</si>
  <si>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Under the penalties of perjury, I declare and certify that the Application for the proposed Development meets all applicable requirements of the RFA. I have read the foregoing and the information is true, correct and complete.</t>
  </si>
  <si>
    <t>&lt;updated Per Development SAIL Request Limit&gt;</t>
  </si>
  <si>
    <t>In the event the Construction Housing Inflation Response Program (CHIRP) permits Florida Housing Finance Corporation (the Corporation) to increase the Per Development SAIL Request Amount Limit prior to Application Deadline for this RFA, the Corporation will make a public announcement as a means to inform all interest parties of the updated higher Per Devleopment SAIL Request Amount Limit. If such an announcement is made, the Applicant would need to enter the new updated amount in the space above in order for this Exhibit "A" to recognize the new higher limit. Regardless of the amount entered in the cell above, the Applicant will still be held to the limits of the published RFA or as updated by the Corporation.</t>
  </si>
  <si>
    <t>Standed w/o Override</t>
  </si>
  <si>
    <t>Maximum # of Units - ALF (New Construction)</t>
  </si>
  <si>
    <t>Maximum # of Units - ALF (Not New Construction)</t>
  </si>
  <si>
    <t>NOT: New Construction / Redev / Acq &amp; Redev</t>
  </si>
  <si>
    <t>Preservation/Acquisition and Preservation</t>
  </si>
  <si>
    <r>
      <t xml:space="preserve">Elderly Non-ALF; Rehab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</si>
  <si>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r>
      <t xml:space="preserve">Elderly Non-ALF; Rehab w/ or w/o Acq; &amp; </t>
    </r>
    <r>
      <rPr>
        <b/>
        <u/>
        <sz val="11"/>
        <color theme="1"/>
        <rFont val="Calibri"/>
        <family val="2"/>
        <scheme val="minor"/>
      </rPr>
      <t>Occ Status</t>
    </r>
    <r>
      <rPr>
        <sz val="11"/>
        <color theme="1"/>
        <rFont val="Calibri"/>
        <family val="2"/>
        <scheme val="minor"/>
      </rPr>
      <t>&lt;&gt; (a) Existing Units are currently occupied, and (b) Existing Units are at least 75% occupied currently</t>
    </r>
  </si>
  <si>
    <t>DS_2023_GAO_QCTs_Sorted</t>
  </si>
  <si>
    <t>Tab Pop-Ups: G11, C33, G77:G78, G85:G86, G93:G94, E157</t>
  </si>
  <si>
    <t>Tab Pop-Ups: C4, F7:H7, C10:I10, C14:I15, C17:I18, C22:I22, G30:I30, E35:I35, F39, F43:I45, D47:I47, C76:I76</t>
  </si>
  <si>
    <t>Hidden Tracking: A59:B73</t>
  </si>
  <si>
    <r>
      <t xml:space="preserve">White-out the input &amp; marker indicators in columns K: in </t>
    </r>
    <r>
      <rPr>
        <b/>
        <sz val="11"/>
        <color theme="1"/>
        <rFont val="Calibri"/>
        <family val="2"/>
        <scheme val="minor"/>
      </rPr>
      <t>URA</t>
    </r>
    <r>
      <rPr>
        <sz val="11"/>
        <color theme="1"/>
        <rFont val="Calibri"/>
        <family val="2"/>
        <scheme val="minor"/>
      </rPr>
      <t xml:space="preserve"> tab:</t>
    </r>
  </si>
  <si>
    <r>
      <t xml:space="preserve">White-out the input &amp; marker indicators in columns O:Q in </t>
    </r>
    <r>
      <rPr>
        <b/>
        <sz val="11"/>
        <color theme="1"/>
        <rFont val="Calibri"/>
        <family val="2"/>
        <scheme val="minor"/>
      </rPr>
      <t>Narrative</t>
    </r>
    <r>
      <rPr>
        <sz val="11"/>
        <color theme="1"/>
        <rFont val="Calibri"/>
        <family val="2"/>
        <scheme val="minor"/>
      </rPr>
      <t xml:space="preserve"> tab:</t>
    </r>
  </si>
  <si>
    <t>Is there a Gap Loan in this RFA?</t>
  </si>
  <si>
    <r>
      <t xml:space="preserve">If "Yes", provide the required information for the Non-Profit entity as </t>
    </r>
    <r>
      <rPr>
        <b/>
        <sz val="11"/>
        <rFont val="Calibri"/>
        <family val="2"/>
        <scheme val="minor"/>
      </rPr>
      <t>Attachment 2</t>
    </r>
    <r>
      <rPr>
        <sz val="11"/>
        <rFont val="Calibri"/>
        <family val="2"/>
        <scheme val="minor"/>
      </rPr>
      <t>:</t>
    </r>
  </si>
  <si>
    <t>Application Issue Date</t>
  </si>
  <si>
    <t>If a Public Housing Authority has one of the above-described relationships with the Applicant, state the name of the Public Housing Authority.</t>
  </si>
  <si>
    <t>Section 4.A.11
Uniform Relocation Act (URA)</t>
  </si>
  <si>
    <t>Applicant's SAIL Request Amount:</t>
  </si>
  <si>
    <t>At least 70 percent, but less than 80 percent, of the total units will be set aside for Permanent Supportive Housing for Persons with Special Needs as defined in Section 420.0004(13), F.S.; AND at least 20 percent of the total units will consist of Permanent Supportive Housing for individuals and families that meet the definition of Homeless Households as defined in Exhibit B, (which may be the same units set aside for Persons with Special Needs).</t>
  </si>
  <si>
    <t>At least 80 percent of the total units will be set aside for Permanent Supportive Housing for Persons with Special Needs as defined in Section 420.0004(13), F.S.; AND at least 20 percent of the total units will consist of Permanent Supportive Housing for individuals and families that meet the definition of Homeless Households as defined in Exhibit B, (which may be the same units set aside for Persons with Special Needs).</t>
  </si>
  <si>
    <t>Column 3 of Item C) will be permitted in the Application. The operating deficit reserve will be verified and sized during credit</t>
  </si>
  <si>
    <t>Gap Loan: Max. AMI - Manually selected (B448)</t>
  </si>
  <si>
    <t>Operating Deficit Reserves of up to 5% of the Development Costs (stated on the Development Cost Pro Forma in</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</si>
  <si>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and the property has an existing Declaration of Trust between the Public Housing Authority and HUD?</t>
  </si>
  <si>
    <t>Does the Application qualify for the PHA Leveraging Multiplier?</t>
  </si>
  <si>
    <t>Public Housing Authority and/or an instrumentality of a Public Housing Authority</t>
  </si>
  <si>
    <t>Is the Applicant associated with a Public Housing Authority and/or an instrumentality of a Public Housing Authority in the ownership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</si>
</sst>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6" formatCode="&quot;$&quot;#,##0_);[Red]\(&quot;$&quot;#,##0\)"/>
    <numFmt numFmtId="8" formatCode="&quot;$&quot;#,##0.00_);[Red]\(&quot;$&quot;#,##0.00\)"/>
    <numFmt numFmtId="44" formatCode="_(&quot;$&quot;* #,##0.00_);_(&quot;$&quot;* \(#,##0.00\);_(&quot;$&quot;*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_(&quot;$&quot;* #,##0_);_(&quot;$&quot;* \(#,##0\);_(&quot;$&quot;* &quot;-&quot;??_);_(@_)"/>
    <numFmt numFmtId="172" formatCode="0&quot; Units&quot;"/>
    <numFmt numFmtId="173" formatCode="&quot;$&quot;#,##0"/>
    <numFmt numFmtId="174" formatCode="&quot;$&quot;#,##0.00&quot; as a % of TDC&quot;"/>
    <numFmt numFmtId="175" formatCode="&quot;$&quot;#,##0.00"/>
    <numFmt numFmtId="176" formatCode="0&quot; Points&quot;"/>
    <numFmt numFmtId="177" formatCode="&quot;Initial Entry: &quot;0"/>
    <numFmt numFmtId="178" formatCode="&quot; Enter a 0 to exclude section: &quot;0"/>
    <numFmt numFmtId="179" formatCode="#,##0.0_);[Red]\(#,##0.0\)"/>
    <numFmt numFmtId="180" formatCode="#,##0.000_);[Red]\(#,##0.000\)"/>
    <numFmt numFmtId="181" formatCode="0.0000"/>
    <numFmt numFmtId="182" formatCode="0.0000&quot;**&quot;"/>
    <numFmt numFmtId="183" formatCode="mm/dd/yyyy;@"/>
    <numFmt numFmtId="184" formatCode="0.0%"/>
    <numFmt numFmtId="185" formatCode="#,##0.00&quot;x&quot;"/>
    <numFmt numFmtId="186" formatCode="#,##0.00000_);[Red]\(#,##0.00000\)"/>
    <numFmt numFmtId="187" formatCode="0.0000%"/>
    <numFmt numFmtId="188" formatCode="&quot;$&quot;#,##0.0000"/>
    <numFmt numFmtId="189" formatCode="0_);[Red]\(0\)"/>
    <numFmt numFmtId="190" formatCode="#,##0&quot; Units&quot;"/>
    <numFmt numFmtId="191" formatCode="#,##0.000&quot; mi&quot;"/>
    <numFmt numFmtId="192" formatCode="#,##0.00&quot; mi&quot;"/>
    <numFmt numFmtId="193" formatCode="#,##0.00&quot; km&quot;"/>
    <numFmt numFmtId="194" formatCode="&quot;Code: &quot;0"/>
    <numFmt numFmtId="195" formatCode="&quot;&lt;= &quot;0.00&quot; mi&quot;"/>
    <numFmt numFmtId="196" formatCode="&quot;&gt; &quot;0.00&quot; mi&quot;"/>
    <numFmt numFmtId="197" formatCode="0.0"/>
    <numFmt numFmtId="198" formatCode="#,##0.0"/>
    <numFmt numFmtId="199" formatCode="#,##0.000"/>
    <numFmt numFmtId="200" formatCode="0.000000"/>
    <numFmt numFmtId="201" formatCode="0&quot; Years&quot;"/>
    <numFmt numFmtId="202" formatCode="0&quot; Total 3 Bedroom Units&quot;"/>
    <numFmt numFmtId="203" formatCode="0&quot; Total 0 &amp; 1 Bedroom Units&quot;"/>
    <numFmt numFmtId="204" formatCode="0&quot; Total 0 Bedroom Units&quot;"/>
    <numFmt numFmtId="205" formatCode="0&quot; Total 1 Bedroom Units&quot;"/>
    <numFmt numFmtId="206" formatCode="0&quot; Total Units over 2 Bedrooms&quot;"/>
    <numFmt numFmtId="207" formatCode="0&quot; Total Units over the Maximum Bedroom Count&quot;"/>
    <numFmt numFmtId="208" formatCode="&quot;Description of Highest Ranking [&quot;0&quot;]&quot;"/>
    <numFmt numFmtId="209" formatCode="&quot;Simple Avg: &quot;&quot;$&quot;#,##0_)"/>
    <numFmt numFmtId="210" formatCode="&quot;Weighted Avg: &quot;&quot;$&quot;#,##0_)"/>
    <numFmt numFmtId="211" formatCode="&quot;Maximum: &quot;&quot;$&quot;#,##0_)"/>
    <numFmt numFmtId="212" formatCode="&quot;&gt;= &quot;0.0%"/>
    <numFmt numFmtId="213" formatCode="&quot;&lt; &quot;0.0%"/>
    <numFmt numFmtId="214" formatCode="&quot;Level &quot;0"/>
    <numFmt numFmtId="215" formatCode="0%&quot; of Total Units&quot;"/>
    <numFmt numFmtId="216" formatCode="&quot; Enter a 0 to exclude comment: &quot;0"/>
    <numFmt numFmtId="217" formatCode="&quot; Enter a 0 to exclude question: &quot;0"/>
    <numFmt numFmtId="218" formatCode="&quot;$&quot;#,##0.000_);[Red]\(&quot;$&quot;#,##0.000\)"/>
    <numFmt numFmtId="219" formatCode="&quot; Enter a 0 to exclude ALL 3 Bds: &quot;0"/>
    <numFmt numFmtId="220" formatCode="0&quot; SAUs&quot;"/>
    <numFmt numFmtId="221" formatCode="&quot;Enter 0 or 1 for Δ wording: &quot;0"/>
    <numFmt numFmtId="222" formatCode="&quot; Enter a 0 to exclude this funding: &quot;0"/>
    <numFmt numFmtId="223" formatCode="&quot; Enter a 0 to exclude line: &quot;0"/>
    <numFmt numFmtId="224" formatCode="&quot; Enter a 0 to exclude row 29: &quot;0"/>
  </numFmts>
  <fonts count="14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sz val="11"/>
      <color rgb="FF00B050"/>
      <name val="Calibri"/>
      <family val="2"/>
      <scheme val="minor"/>
    </font>
    <font>
      <i/>
      <u/>
      <sz val="11"/>
      <color rgb="FFFF000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b/>
      <i/>
      <sz val="10"/>
      <color rgb="FFFF0000"/>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i/>
      <sz val="10"/>
      <color rgb="FFFF0000"/>
      <name val="Arial"/>
      <family val="2"/>
    </font>
    <font>
      <b/>
      <sz val="11"/>
      <name val="Arial"/>
      <family val="2"/>
    </font>
    <font>
      <b/>
      <i/>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b/>
      <sz val="8"/>
      <name val="Arial"/>
      <family val="2"/>
    </font>
    <font>
      <u/>
      <sz val="11"/>
      <color theme="10"/>
      <name val="Calibri"/>
      <family val="2"/>
      <scheme val="minor"/>
    </font>
    <font>
      <sz val="11"/>
      <color theme="1"/>
      <name val="Calibri"/>
      <family val="2"/>
    </font>
    <font>
      <b/>
      <sz val="12"/>
      <color theme="1"/>
      <name val="Calibri"/>
      <family val="2"/>
      <scheme val="minor"/>
    </font>
    <font>
      <sz val="8"/>
      <color rgb="FFC00000"/>
      <name val="Calibri"/>
      <family val="2"/>
      <scheme val="minor"/>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sz val="10"/>
      <color theme="1"/>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sz val="11"/>
      <color rgb="FF333333"/>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sz val="8"/>
      <name val="Calibri"/>
      <family val="2"/>
    </font>
    <font>
      <b/>
      <sz val="9"/>
      <name val="Calibri"/>
      <family val="2"/>
      <scheme val="minor"/>
    </font>
    <font>
      <sz val="11"/>
      <color theme="1"/>
      <name val="Calibri"/>
      <family val="2"/>
    </font>
    <font>
      <sz val="10"/>
      <name val="Calibri"/>
      <family val="2"/>
      <scheme val="minor"/>
    </font>
    <font>
      <sz val="10"/>
      <color rgb="FFC00000"/>
      <name val="Calibri"/>
      <family val="2"/>
      <scheme val="minor"/>
    </font>
    <font>
      <b/>
      <i/>
      <sz val="11"/>
      <color rgb="FFFF0000"/>
      <name val="Calibri"/>
      <family val="2"/>
      <scheme val="minor"/>
    </font>
    <font>
      <u/>
      <sz val="10"/>
      <color rgb="FFC00000"/>
      <name val="Calibri"/>
      <family val="2"/>
      <scheme val="minor"/>
    </font>
    <font>
      <b/>
      <sz val="8"/>
      <color theme="0"/>
      <name val="Arial"/>
      <family val="2"/>
    </font>
    <font>
      <i/>
      <sz val="8"/>
      <color theme="0"/>
      <name val="Arial"/>
      <family val="2"/>
    </font>
  </fonts>
  <fills count="37">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lightUp">
        <fgColor theme="0" tint="-0.24994659260841701"/>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92D050"/>
        <bgColor indexed="64"/>
      </patternFill>
    </fill>
    <fill>
      <patternFill patternType="lightUp">
        <fgColor theme="0" tint="-0.34998626667073579"/>
        <bgColor indexed="65"/>
      </patternFill>
    </fill>
    <fill>
      <patternFill patternType="solid">
        <fgColor rgb="FFF5F0FA"/>
        <bgColor indexed="64"/>
      </patternFill>
    </fill>
  </fills>
  <borders count="193">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indexed="8"/>
      </bottom>
      <diagonal/>
    </border>
    <border>
      <left/>
      <right/>
      <top/>
      <bottom style="thin">
        <color rgb="FF0000FF"/>
      </bottom>
      <diagonal/>
    </border>
    <border>
      <left/>
      <right/>
      <top style="medium">
        <color auto="1"/>
      </top>
      <bottom/>
      <diagonal/>
    </border>
    <border>
      <left/>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rgb="FF0000FF"/>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style="thin">
        <color indexed="64"/>
      </left>
      <right style="thin">
        <color indexed="64"/>
      </right>
      <top style="medium">
        <color indexed="64"/>
      </top>
      <bottom style="medium">
        <color indexed="64"/>
      </bottom>
      <diagonal/>
    </border>
    <border>
      <left/>
      <right/>
      <top style="thin">
        <color indexed="64"/>
      </top>
      <bottom style="dashed">
        <color auto="1"/>
      </bottom>
      <diagonal/>
    </border>
    <border>
      <left/>
      <right/>
      <top style="dashed">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style="dotted">
        <color auto="1"/>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right/>
      <top/>
      <bottom style="thin">
        <color indexed="64"/>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style="thin">
        <color indexed="64"/>
      </left>
      <right style="thin">
        <color indexed="64"/>
      </right>
      <top/>
      <bottom style="hair">
        <color rgb="FF0000FF"/>
      </bottom>
      <diagonal/>
    </border>
    <border>
      <left style="thin">
        <color indexed="64"/>
      </left>
      <right style="thin">
        <color indexed="64"/>
      </right>
      <top style="hair">
        <color rgb="FF0000FF"/>
      </top>
      <bottom style="hair">
        <color rgb="FF0000FF"/>
      </bottom>
      <diagonal/>
    </border>
    <border>
      <left style="thin">
        <color indexed="64"/>
      </left>
      <right style="thin">
        <color indexed="64"/>
      </right>
      <top style="hair">
        <color rgb="FF0000FF"/>
      </top>
      <bottom style="thin">
        <color rgb="FF0000FF"/>
      </bottom>
      <diagonal/>
    </border>
    <border>
      <left style="thin">
        <color indexed="64"/>
      </left>
      <right style="thin">
        <color indexed="64"/>
      </right>
      <top style="thin">
        <color rgb="FF0000FF"/>
      </top>
      <bottom style="hair">
        <color rgb="FF0000FF"/>
      </bottom>
      <diagonal/>
    </border>
    <border>
      <left/>
      <right style="thin">
        <color indexed="64"/>
      </right>
      <top style="thin">
        <color indexed="64"/>
      </top>
      <bottom style="dashed">
        <color auto="1"/>
      </bottom>
      <diagonal/>
    </border>
    <border>
      <left/>
      <right/>
      <top/>
      <bottom style="thin">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rgb="FF0000FF"/>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auto="1"/>
      </right>
      <top style="thin">
        <color rgb="FF0000FF"/>
      </top>
      <bottom style="thin">
        <color indexed="64"/>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s>
  <cellStyleXfs count="12">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94" fillId="0" borderId="0" applyNumberFormat="0" applyFill="0" applyBorder="0" applyAlignment="0" applyProtection="0"/>
    <xf numFmtId="0" fontId="127"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cellStyleXfs>
  <cellXfs count="2564">
    <xf numFmtId="0" fontId="0" fillId="0" borderId="0" xfId="0"/>
    <xf numFmtId="0" fontId="0" fillId="0" borderId="0" xfId="0" applyAlignment="1">
      <alignment horizontal="left"/>
    </xf>
    <xf numFmtId="0" fontId="6" fillId="0" borderId="0" xfId="0" applyFont="1"/>
    <xf numFmtId="0" fontId="0" fillId="0" borderId="0" xfId="0" applyFill="1" applyBorder="1" applyProtection="1"/>
    <xf numFmtId="0" fontId="0" fillId="0" borderId="0" xfId="0" applyBorder="1" applyProtection="1"/>
    <xf numFmtId="49" fontId="0" fillId="0" borderId="0" xfId="0" applyNumberFormat="1" applyAlignment="1">
      <alignment horizontal="center" vertical="center"/>
    </xf>
    <xf numFmtId="0" fontId="0" fillId="0" borderId="0" xfId="0" applyBorder="1" applyAlignment="1" applyProtection="1">
      <alignment vertical="top"/>
    </xf>
    <xf numFmtId="49" fontId="0" fillId="0" borderId="0" xfId="0" applyNumberFormat="1" applyBorder="1" applyProtection="1"/>
    <xf numFmtId="49" fontId="0" fillId="0" borderId="0" xfId="0" applyNumberFormat="1" applyBorder="1" applyAlignment="1" applyProtection="1">
      <alignment vertical="top"/>
    </xf>
    <xf numFmtId="0" fontId="13" fillId="0" borderId="0" xfId="0" applyFont="1"/>
    <xf numFmtId="0" fontId="0" fillId="0" borderId="0" xfId="0" applyNumberFormat="1"/>
    <xf numFmtId="0" fontId="0" fillId="0" borderId="0" xfId="0" applyFill="1" applyBorder="1" applyAlignment="1" applyProtection="1">
      <alignment vertical="center"/>
    </xf>
    <xf numFmtId="0" fontId="12" fillId="0" borderId="0" xfId="0" applyFont="1"/>
    <xf numFmtId="0" fontId="2" fillId="0" borderId="0" xfId="0" applyFont="1" applyBorder="1" applyAlignment="1" applyProtection="1">
      <alignment vertical="center" wrapText="1"/>
    </xf>
    <xf numFmtId="0" fontId="0" fillId="0" borderId="0" xfId="0" applyAlignment="1"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2" fillId="0" borderId="0" xfId="0" applyFont="1" applyBorder="1" applyAlignment="1" applyProtection="1">
      <alignment vertical="center"/>
    </xf>
    <xf numFmtId="0" fontId="0" fillId="0" borderId="0" xfId="0" applyFill="1" applyBorder="1" applyAlignment="1" applyProtection="1">
      <alignment vertical="top"/>
    </xf>
    <xf numFmtId="0" fontId="0" fillId="0" borderId="0" xfId="0" applyFill="1" applyAlignment="1" applyProtection="1">
      <alignment vertical="center"/>
    </xf>
    <xf numFmtId="0" fontId="2" fillId="0" borderId="0" xfId="0" applyFont="1" applyBorder="1" applyAlignment="1" applyProtection="1">
      <alignment vertical="top" wrapText="1"/>
    </xf>
    <xf numFmtId="0" fontId="9" fillId="0" borderId="0" xfId="0" applyFont="1" applyBorder="1" applyAlignment="1" applyProtection="1">
      <alignment vertical="center" wrapText="1"/>
    </xf>
    <xf numFmtId="49" fontId="0" fillId="0" borderId="0" xfId="0" applyNumberFormat="1" applyFont="1" applyBorder="1" applyAlignment="1" applyProtection="1">
      <alignment vertical="center" wrapText="1"/>
    </xf>
    <xf numFmtId="0" fontId="22" fillId="0" borderId="0" xfId="0" applyFont="1" applyBorder="1" applyAlignment="1" applyProtection="1">
      <alignment horizontal="left" vertical="center" wrapText="1"/>
    </xf>
    <xf numFmtId="0" fontId="2"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left" vertical="center" wrapText="1"/>
    </xf>
    <xf numFmtId="0" fontId="0" fillId="0" borderId="0" xfId="0" applyFont="1" applyFill="1" applyBorder="1" applyAlignment="1" applyProtection="1">
      <alignment horizontal="right" vertical="center"/>
    </xf>
    <xf numFmtId="0" fontId="0" fillId="0" borderId="0" xfId="0" applyAlignment="1" applyProtection="1">
      <alignment horizontal="left" vertical="top"/>
    </xf>
    <xf numFmtId="0" fontId="0" fillId="0" borderId="0" xfId="0" applyFill="1" applyBorder="1" applyAlignment="1" applyProtection="1">
      <alignment horizontal="left" vertical="top"/>
    </xf>
    <xf numFmtId="0" fontId="4" fillId="0" borderId="0" xfId="0" applyFont="1" applyFill="1" applyBorder="1" applyAlignment="1" applyProtection="1">
      <alignment horizontal="left" vertical="top"/>
    </xf>
    <xf numFmtId="0" fontId="0" fillId="0" borderId="0" xfId="0" applyFill="1" applyAlignment="1" applyProtection="1">
      <alignment horizontal="left" vertical="top"/>
    </xf>
    <xf numFmtId="49" fontId="0" fillId="0" borderId="0" xfId="0" applyNumberFormat="1" applyFont="1" applyBorder="1" applyAlignment="1" applyProtection="1">
      <alignment horizontal="left" vertical="top"/>
    </xf>
    <xf numFmtId="0" fontId="0" fillId="0"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0" fillId="0" borderId="0" xfId="0" applyFont="1" applyFill="1" applyAlignment="1" applyProtection="1">
      <alignment horizontal="left" vertical="top"/>
    </xf>
    <xf numFmtId="0" fontId="9"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9" fillId="0" borderId="0" xfId="0" applyFont="1" applyBorder="1" applyAlignment="1" applyProtection="1">
      <alignment horizontal="left" vertical="top"/>
    </xf>
    <xf numFmtId="0" fontId="9" fillId="0" borderId="0" xfId="0" applyFont="1" applyBorder="1" applyAlignment="1" applyProtection="1">
      <alignment horizontal="center" vertical="center" wrapText="1"/>
    </xf>
    <xf numFmtId="0" fontId="0" fillId="0" borderId="0" xfId="0" applyProtection="1"/>
    <xf numFmtId="0" fontId="4" fillId="0" borderId="0" xfId="0" applyFont="1" applyFill="1" applyBorder="1" applyProtection="1"/>
    <xf numFmtId="0" fontId="0" fillId="0" borderId="0" xfId="0" applyFill="1" applyBorder="1" applyAlignment="1" applyProtection="1">
      <alignment horizontal="left" wrapText="1"/>
    </xf>
    <xf numFmtId="0" fontId="0" fillId="0" borderId="0" xfId="0" applyFill="1" applyProtection="1"/>
    <xf numFmtId="0" fontId="2" fillId="0" borderId="0" xfId="0" applyFont="1" applyBorder="1" applyProtection="1"/>
    <xf numFmtId="0" fontId="2" fillId="0" borderId="7" xfId="0" applyFont="1" applyBorder="1" applyProtection="1"/>
    <xf numFmtId="0" fontId="2" fillId="0" borderId="7" xfId="0" applyFont="1" applyBorder="1" applyAlignment="1" applyProtection="1">
      <alignment horizontal="center"/>
    </xf>
    <xf numFmtId="0" fontId="12" fillId="2" borderId="7" xfId="0" applyFont="1" applyFill="1" applyBorder="1" applyAlignment="1" applyProtection="1">
      <alignment vertical="center" wrapText="1"/>
      <protection locked="0"/>
    </xf>
    <xf numFmtId="0" fontId="12"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0" fontId="6" fillId="0" borderId="0" xfId="0" applyFont="1" applyProtection="1"/>
    <xf numFmtId="0" fontId="0" fillId="0" borderId="0" xfId="0" applyFill="1" applyBorder="1" applyAlignment="1" applyProtection="1">
      <alignment horizontal="left"/>
    </xf>
    <xf numFmtId="49" fontId="0" fillId="0" borderId="0" xfId="0" applyNumberFormat="1" applyProtection="1"/>
    <xf numFmtId="0" fontId="11" fillId="0" borderId="0" xfId="0" applyFont="1" applyBorder="1" applyAlignment="1" applyProtection="1">
      <alignment vertical="top"/>
    </xf>
    <xf numFmtId="0" fontId="6" fillId="0" borderId="0" xfId="0" applyFont="1" applyFill="1" applyBorder="1" applyAlignment="1" applyProtection="1">
      <alignment horizontal="left" indent="1"/>
    </xf>
    <xf numFmtId="0" fontId="4" fillId="0" borderId="0" xfId="0" applyFont="1" applyFill="1" applyBorder="1" applyAlignment="1" applyProtection="1">
      <alignment horizontal="left" indent="1"/>
    </xf>
    <xf numFmtId="0" fontId="12" fillId="0" borderId="0" xfId="0" applyFont="1" applyFill="1" applyBorder="1" applyAlignment="1" applyProtection="1">
      <alignment horizontal="left" vertical="top"/>
    </xf>
    <xf numFmtId="8" fontId="12" fillId="0" borderId="0" xfId="1" applyNumberFormat="1" applyFont="1" applyFill="1" applyBorder="1" applyAlignment="1" applyProtection="1">
      <alignment horizontal="left" vertical="top"/>
    </xf>
    <xf numFmtId="0" fontId="4" fillId="0" borderId="7" xfId="0" applyFont="1" applyFill="1" applyBorder="1" applyAlignment="1" applyProtection="1">
      <alignment horizontal="center" vertical="top" wrapText="1"/>
    </xf>
    <xf numFmtId="0" fontId="4" fillId="0" borderId="0" xfId="0" applyFont="1" applyProtection="1"/>
    <xf numFmtId="0" fontId="0" fillId="2" borderId="0" xfId="0" applyFill="1" applyBorder="1" applyProtection="1"/>
    <xf numFmtId="0" fontId="6" fillId="0" borderId="0" xfId="0" applyFont="1" applyBorder="1" applyProtection="1"/>
    <xf numFmtId="0" fontId="5" fillId="0" borderId="0" xfId="0" applyFont="1" applyFill="1" applyBorder="1" applyAlignment="1" applyProtection="1">
      <alignment horizontal="left" wrapText="1"/>
    </xf>
    <xf numFmtId="49" fontId="0" fillId="0" borderId="0" xfId="0" applyNumberFormat="1" applyAlignment="1" applyProtection="1">
      <alignment vertical="top"/>
    </xf>
    <xf numFmtId="1" fontId="0" fillId="0" borderId="0" xfId="0" applyNumberFormat="1" applyFill="1" applyBorder="1" applyAlignment="1" applyProtection="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indent="2"/>
    </xf>
    <xf numFmtId="0" fontId="2" fillId="0" borderId="0" xfId="0" applyFont="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0" fillId="0" borderId="0" xfId="0" applyBorder="1" applyAlignment="1" applyProtection="1">
      <alignment horizontal="right"/>
    </xf>
    <xf numFmtId="0" fontId="19" fillId="0" borderId="7" xfId="0" applyFont="1" applyBorder="1" applyAlignment="1" applyProtection="1">
      <alignment horizontal="left" vertical="center" wrapText="1"/>
    </xf>
    <xf numFmtId="0" fontId="12" fillId="2" borderId="7"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xf>
    <xf numFmtId="0" fontId="2" fillId="0" borderId="7" xfId="0" applyFont="1" applyBorder="1" applyAlignment="1" applyProtection="1">
      <alignment horizontal="center" wrapText="1"/>
    </xf>
    <xf numFmtId="0" fontId="6" fillId="0" borderId="0" xfId="0" applyFont="1" applyFill="1" applyProtection="1"/>
    <xf numFmtId="0" fontId="0" fillId="0" borderId="0" xfId="0" applyFill="1" applyBorder="1" applyAlignment="1" applyProtection="1">
      <alignment horizontal="left" vertical="top" wrapText="1"/>
    </xf>
    <xf numFmtId="0" fontId="0" fillId="0" borderId="0" xfId="0" applyFill="1" applyBorder="1" applyAlignment="1">
      <alignment vertical="top" wrapText="1"/>
    </xf>
    <xf numFmtId="0" fontId="11" fillId="0" borderId="0" xfId="0" applyFont="1" applyFill="1" applyBorder="1" applyAlignment="1" applyProtection="1">
      <alignment vertical="top" wrapText="1"/>
    </xf>
    <xf numFmtId="0" fontId="0" fillId="0" borderId="0" xfId="0" applyAlignment="1">
      <alignment vertical="top"/>
    </xf>
    <xf numFmtId="49" fontId="0" fillId="0" borderId="0" xfId="0" applyNumberFormat="1" applyAlignment="1">
      <alignment vertical="top"/>
    </xf>
    <xf numFmtId="0" fontId="0" fillId="0" borderId="0" xfId="0" applyBorder="1" applyAlignment="1" applyProtection="1">
      <alignment vertical="center" wrapText="1"/>
    </xf>
    <xf numFmtId="0" fontId="0" fillId="0" borderId="0" xfId="0" applyAlignment="1">
      <alignment horizontal="left" vertical="center"/>
    </xf>
    <xf numFmtId="0" fontId="12" fillId="0" borderId="0"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Fill="1" applyAlignment="1" applyProtection="1">
      <alignment vertical="center"/>
    </xf>
    <xf numFmtId="0" fontId="15" fillId="0" borderId="0" xfId="0" applyFont="1" applyFill="1" applyBorder="1" applyAlignment="1" applyProtection="1">
      <alignment vertical="center"/>
    </xf>
    <xf numFmtId="0" fontId="6" fillId="0" borderId="0" xfId="0" applyFont="1" applyFill="1" applyBorder="1" applyProtection="1"/>
    <xf numFmtId="0" fontId="0" fillId="0" borderId="7" xfId="0" applyBorder="1" applyAlignment="1" applyProtection="1">
      <alignment horizontal="center" wrapText="1"/>
    </xf>
    <xf numFmtId="0" fontId="18" fillId="0" borderId="0" xfId="0" applyFont="1" applyFill="1" applyBorder="1" applyAlignment="1" applyProtection="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0" fillId="7" borderId="17" xfId="0" applyFill="1" applyBorder="1" applyAlignment="1">
      <alignment vertical="center"/>
    </xf>
    <xf numFmtId="0" fontId="0" fillId="7" borderId="17" xfId="0" applyFill="1" applyBorder="1" applyAlignment="1">
      <alignment horizontal="center" vertical="center"/>
    </xf>
    <xf numFmtId="0" fontId="0" fillId="7" borderId="18" xfId="0" applyFill="1" applyBorder="1" applyAlignment="1">
      <alignment vertical="center"/>
    </xf>
    <xf numFmtId="0" fontId="6" fillId="0" borderId="7" xfId="0" applyFont="1" applyBorder="1" applyAlignment="1">
      <alignment horizontal="center"/>
    </xf>
    <xf numFmtId="0" fontId="0" fillId="0" borderId="0" xfId="0" applyAlignment="1">
      <alignment vertical="center"/>
    </xf>
    <xf numFmtId="0" fontId="0" fillId="0" borderId="0" xfId="0" applyBorder="1" applyAlignment="1">
      <alignment vertical="center"/>
    </xf>
    <xf numFmtId="49" fontId="0" fillId="0" borderId="0" xfId="0" applyNumberFormat="1" applyBorder="1" applyAlignment="1" applyProtection="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9" xfId="0" applyBorder="1" applyAlignment="1">
      <alignment horizontal="left" vertical="center"/>
    </xf>
    <xf numFmtId="0" fontId="0" fillId="0" borderId="18" xfId="0" applyBorder="1" applyAlignment="1">
      <alignment horizontal="left" vertical="center"/>
    </xf>
    <xf numFmtId="0" fontId="2" fillId="7" borderId="17" xfId="0" applyFont="1" applyFill="1" applyBorder="1" applyAlignment="1">
      <alignment vertical="center"/>
    </xf>
    <xf numFmtId="49" fontId="2" fillId="0" borderId="0" xfId="0" applyNumberFormat="1" applyFont="1" applyBorder="1" applyAlignment="1" applyProtection="1">
      <alignment horizontal="left" vertical="top" wrapText="1"/>
    </xf>
    <xf numFmtId="0" fontId="26" fillId="0" borderId="0" xfId="0" applyFont="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xf>
    <xf numFmtId="49" fontId="2" fillId="0" borderId="0" xfId="0" applyNumberFormat="1" applyFont="1" applyFill="1" applyBorder="1" applyAlignment="1" applyProtection="1">
      <alignment horizontal="left" vertical="top" wrapText="1"/>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vertical="center"/>
    </xf>
    <xf numFmtId="0" fontId="25" fillId="0" borderId="0" xfId="0" applyFont="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wrapText="1"/>
    </xf>
    <xf numFmtId="0" fontId="2" fillId="0" borderId="0" xfId="0" quotePrefix="1" applyFont="1" applyBorder="1" applyAlignment="1" applyProtection="1">
      <alignment horizontal="left" vertical="top"/>
    </xf>
    <xf numFmtId="0" fontId="2" fillId="0" borderId="0" xfId="0" quotePrefix="1" applyFont="1" applyBorder="1" applyAlignment="1" applyProtection="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Border="1" applyAlignment="1" applyProtection="1">
      <alignment vertical="top"/>
    </xf>
    <xf numFmtId="0" fontId="2" fillId="0" borderId="0" xfId="0" quotePrefix="1" applyFont="1" applyFill="1" applyBorder="1" applyAlignment="1" applyProtection="1">
      <alignment vertical="top" wrapText="1"/>
    </xf>
    <xf numFmtId="0" fontId="2" fillId="0" borderId="0" xfId="0" quotePrefix="1" applyFont="1" applyBorder="1" applyAlignment="1" applyProtection="1">
      <alignment horizontal="left" vertical="top" wrapText="1"/>
    </xf>
    <xf numFmtId="49" fontId="2" fillId="0" borderId="0" xfId="0" applyNumberFormat="1" applyFont="1" applyBorder="1" applyAlignment="1" applyProtection="1">
      <alignment horizontal="left" vertical="center"/>
    </xf>
    <xf numFmtId="0" fontId="0" fillId="0" borderId="0" xfId="0" applyAlignment="1">
      <alignment horizontal="right" vertical="center"/>
    </xf>
    <xf numFmtId="0" fontId="0" fillId="0" borderId="0" xfId="0" applyFill="1" applyBorder="1" applyAlignment="1">
      <alignment horizontal="right" vertical="center" wrapText="1"/>
    </xf>
    <xf numFmtId="0" fontId="25" fillId="0" borderId="0" xfId="0" applyFont="1" applyBorder="1" applyAlignment="1" applyProtection="1">
      <alignment horizontal="right" vertical="center"/>
    </xf>
    <xf numFmtId="0" fontId="25" fillId="0" borderId="0" xfId="0" applyFont="1" applyBorder="1" applyAlignment="1" applyProtection="1">
      <alignment horizontal="right" vertical="center" wrapText="1"/>
    </xf>
    <xf numFmtId="0" fontId="0" fillId="0" borderId="0" xfId="0" applyFont="1" applyFill="1" applyBorder="1" applyAlignment="1" applyProtection="1">
      <alignment horizontal="left" vertical="top" wrapText="1"/>
    </xf>
    <xf numFmtId="0" fontId="0" fillId="0" borderId="0" xfId="0" applyFont="1" applyBorder="1" applyAlignment="1" applyProtection="1">
      <alignment horizontal="left" vertical="center" wrapTex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12" fillId="2" borderId="8"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wrapText="1"/>
    </xf>
    <xf numFmtId="0" fontId="0" fillId="0" borderId="0" xfId="0" applyBorder="1" applyAlignment="1" applyProtection="1">
      <alignment horizontal="left"/>
    </xf>
    <xf numFmtId="0" fontId="2" fillId="0" borderId="7" xfId="0" applyFont="1" applyBorder="1" applyAlignment="1" applyProtection="1">
      <alignment horizontal="center" vertical="center" wrapText="1"/>
    </xf>
    <xf numFmtId="0" fontId="0" fillId="0" borderId="0" xfId="0" applyBorder="1" applyAlignment="1" applyProtection="1">
      <alignment horizontal="left" vertical="center"/>
    </xf>
    <xf numFmtId="0" fontId="2" fillId="9" borderId="9" xfId="0" applyFont="1" applyFill="1" applyBorder="1"/>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horizontal="left"/>
    </xf>
    <xf numFmtId="0" fontId="0" fillId="0" borderId="0" xfId="0" applyBorder="1" applyAlignment="1" applyProtection="1"/>
    <xf numFmtId="0" fontId="0" fillId="0" borderId="0" xfId="0" applyBorder="1" applyAlignment="1" applyProtection="1">
      <alignment horizontal="left" vertical="center"/>
    </xf>
    <xf numFmtId="0" fontId="12" fillId="8" borderId="0" xfId="0" applyFont="1" applyFill="1" applyBorder="1" applyAlignment="1" applyProtection="1">
      <alignment horizontal="left" vertical="center" wrapText="1"/>
    </xf>
    <xf numFmtId="0" fontId="0" fillId="7" borderId="0" xfId="0" applyFill="1"/>
    <xf numFmtId="0" fontId="2" fillId="0" borderId="0" xfId="0" applyFont="1" applyBorder="1" applyAlignment="1" applyProtection="1">
      <alignment horizontal="right" vertical="top"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quotePrefix="1" applyFont="1" applyBorder="1" applyAlignment="1" applyProtection="1">
      <alignment vertical="top" wrapText="1"/>
    </xf>
    <xf numFmtId="49" fontId="2" fillId="0" borderId="0" xfId="0" applyNumberFormat="1" applyFont="1" applyBorder="1" applyProtection="1"/>
    <xf numFmtId="0" fontId="2" fillId="0" borderId="0" xfId="0" applyFont="1" applyBorder="1" applyAlignment="1" applyProtection="1">
      <alignment vertical="top"/>
    </xf>
    <xf numFmtId="49" fontId="2" fillId="0" borderId="0" xfId="0" applyNumberFormat="1" applyFont="1" applyBorder="1" applyAlignment="1" applyProtection="1">
      <alignment horizontal="left" vertical="top"/>
    </xf>
    <xf numFmtId="0" fontId="0" fillId="0" borderId="0" xfId="0" applyBorder="1" applyAlignment="1" applyProtection="1">
      <alignment vertical="top"/>
    </xf>
    <xf numFmtId="0" fontId="1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166" fontId="2" fillId="0" borderId="0" xfId="0" applyNumberFormat="1" applyFont="1" applyBorder="1" applyAlignment="1" applyProtection="1">
      <alignment vertical="top"/>
    </xf>
    <xf numFmtId="167" fontId="2" fillId="0" borderId="0" xfId="0" applyNumberFormat="1" applyFont="1" applyBorder="1" applyAlignment="1" applyProtection="1">
      <alignment horizontal="left" vertical="top"/>
    </xf>
    <xf numFmtId="166" fontId="2" fillId="0" borderId="0" xfId="0" applyNumberFormat="1" applyFont="1" applyBorder="1" applyAlignment="1" applyProtection="1">
      <alignment horizontal="left" vertical="top"/>
    </xf>
    <xf numFmtId="168" fontId="2" fillId="0" borderId="0" xfId="0" applyNumberFormat="1" applyFont="1" applyBorder="1" applyAlignment="1" applyProtection="1">
      <alignment horizontal="left" vertical="top"/>
    </xf>
    <xf numFmtId="166" fontId="2" fillId="0" borderId="0" xfId="0" applyNumberFormat="1" applyFont="1" applyBorder="1" applyProtection="1"/>
    <xf numFmtId="0" fontId="0" fillId="0" borderId="0" xfId="0" applyFont="1" applyBorder="1" applyAlignment="1" applyProtection="1">
      <alignment horizontal="left" vertical="center"/>
    </xf>
    <xf numFmtId="0" fontId="3" fillId="0" borderId="0"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Alignment="1" applyProtection="1">
      <alignment vertical="center" wrapText="1"/>
    </xf>
    <xf numFmtId="0" fontId="2" fillId="0" borderId="0" xfId="0" applyFont="1" applyBorder="1" applyAlignment="1" applyProtection="1">
      <alignment horizontal="left" vertical="center" wrapText="1"/>
    </xf>
    <xf numFmtId="0" fontId="0" fillId="2" borderId="0" xfId="0" applyFont="1" applyFill="1" applyBorder="1" applyAlignment="1" applyProtection="1">
      <alignment horizontal="center" vertical="center"/>
    </xf>
    <xf numFmtId="0" fontId="0" fillId="2" borderId="0" xfId="0" applyFont="1" applyFill="1" applyBorder="1" applyProtection="1"/>
    <xf numFmtId="0" fontId="2" fillId="0" borderId="0" xfId="0" applyFont="1" applyBorder="1" applyAlignment="1" applyProtection="1">
      <alignment horizontal="left" wrapText="1"/>
    </xf>
    <xf numFmtId="0" fontId="15" fillId="0" borderId="0" xfId="0" applyFont="1" applyFill="1" applyBorder="1" applyAlignment="1" applyProtection="1">
      <alignment horizontal="center" vertical="center" wrapText="1"/>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0" fontId="0" fillId="0" borderId="0" xfId="0" applyBorder="1" applyAlignment="1" applyProtection="1">
      <alignment vertical="top"/>
    </xf>
    <xf numFmtId="0" fontId="0" fillId="0" borderId="0" xfId="0" applyAlignment="1">
      <alignment horizontal="left" vertical="center" wrapText="1"/>
    </xf>
    <xf numFmtId="0" fontId="0" fillId="0" borderId="0" xfId="0" applyBorder="1" applyAlignment="1" applyProtection="1">
      <alignment horizontal="right" vertical="center"/>
    </xf>
    <xf numFmtId="0" fontId="0" fillId="0" borderId="20" xfId="0" applyBorder="1" applyAlignment="1" applyProtection="1">
      <alignment horizontal="center" vertical="center"/>
    </xf>
    <xf numFmtId="6" fontId="0" fillId="0" borderId="20" xfId="0" applyNumberFormat="1" applyBorder="1" applyAlignment="1" applyProtection="1">
      <alignment horizontal="center" vertical="center"/>
    </xf>
    <xf numFmtId="0" fontId="0" fillId="0" borderId="21" xfId="0" applyBorder="1" applyAlignment="1" applyProtection="1">
      <alignment horizontal="center" vertical="center"/>
    </xf>
    <xf numFmtId="6" fontId="0" fillId="0" borderId="21" xfId="0" applyNumberFormat="1" applyBorder="1" applyAlignment="1" applyProtection="1">
      <alignment horizontal="center" vertical="center"/>
    </xf>
    <xf numFmtId="0" fontId="0" fillId="0" borderId="21" xfId="0" applyFill="1" applyBorder="1" applyAlignment="1" applyProtection="1">
      <alignment horizontal="center" vertical="center"/>
    </xf>
    <xf numFmtId="6" fontId="0" fillId="0" borderId="20" xfId="0" applyNumberFormat="1" applyBorder="1" applyAlignment="1" applyProtection="1">
      <alignment horizontal="right" vertical="center" indent="1"/>
    </xf>
    <xf numFmtId="6" fontId="0" fillId="0" borderId="21" xfId="0" applyNumberFormat="1" applyBorder="1" applyAlignment="1" applyProtection="1">
      <alignment horizontal="right" vertical="center" indent="1"/>
    </xf>
    <xf numFmtId="6" fontId="0" fillId="0" borderId="7" xfId="0" applyNumberFormat="1" applyBorder="1" applyAlignment="1" applyProtection="1">
      <alignment horizontal="right" vertical="center" indent="1"/>
    </xf>
    <xf numFmtId="0" fontId="0" fillId="0" borderId="0" xfId="0" applyAlignment="1">
      <alignment horizontal="center"/>
    </xf>
    <xf numFmtId="0" fontId="31" fillId="10" borderId="0" xfId="0" applyFont="1" applyFill="1"/>
    <xf numFmtId="0" fontId="0" fillId="0" borderId="0" xfId="0" applyFill="1"/>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25" fillId="0" borderId="0" xfId="0" applyFont="1" applyAlignment="1">
      <alignment horizontal="left" vertical="center" wrapText="1"/>
    </xf>
    <xf numFmtId="0" fontId="6" fillId="0" borderId="0" xfId="0" applyFont="1" applyAlignment="1">
      <alignment horizontal="center" vertical="center"/>
    </xf>
    <xf numFmtId="0" fontId="59" fillId="0" borderId="0" xfId="0"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171" fontId="0" fillId="0" borderId="0" xfId="1" applyNumberFormat="1" applyFont="1" applyFill="1" applyAlignment="1">
      <alignment horizontal="center" vertical="center"/>
    </xf>
    <xf numFmtId="6" fontId="0" fillId="0" borderId="0" xfId="0" applyNumberFormat="1" applyAlignment="1">
      <alignment horizontal="center" vertical="center"/>
    </xf>
    <xf numFmtId="0" fontId="56" fillId="0" borderId="0" xfId="0" applyFont="1" applyBorder="1" applyAlignment="1">
      <alignment horizontal="center"/>
    </xf>
    <xf numFmtId="0" fontId="0" fillId="0" borderId="0" xfId="0" applyBorder="1"/>
    <xf numFmtId="0" fontId="13" fillId="0" borderId="0" xfId="0" applyFont="1" applyBorder="1" applyAlignment="1">
      <alignment horizontal="center"/>
    </xf>
    <xf numFmtId="6" fontId="0" fillId="0" borderId="0" xfId="0" applyNumberFormat="1" applyBorder="1" applyAlignment="1">
      <alignment horizontal="center" vertical="center"/>
    </xf>
    <xf numFmtId="0" fontId="0" fillId="0" borderId="0" xfId="0" applyBorder="1" applyAlignment="1">
      <alignment horizontal="center"/>
    </xf>
    <xf numFmtId="0" fontId="4" fillId="0" borderId="0" xfId="0" applyFont="1" applyFill="1" applyProtection="1"/>
    <xf numFmtId="49" fontId="4" fillId="0" borderId="0" xfId="0" applyNumberFormat="1" applyFont="1" applyFill="1" applyProtection="1"/>
    <xf numFmtId="0" fontId="60" fillId="10" borderId="0" xfId="0" applyFont="1" applyFill="1" applyBorder="1" applyAlignment="1">
      <alignment horizontal="center"/>
    </xf>
    <xf numFmtId="0" fontId="4" fillId="0" borderId="0" xfId="0" applyFont="1"/>
    <xf numFmtId="0" fontId="0" fillId="0" borderId="0" xfId="0" applyBorder="1" applyAlignment="1" applyProtection="1">
      <alignment vertical="top"/>
    </xf>
    <xf numFmtId="0" fontId="63" fillId="0" borderId="0" xfId="0" applyFont="1" applyFill="1"/>
    <xf numFmtId="0" fontId="4" fillId="0" borderId="0" xfId="0" applyFont="1" applyFill="1"/>
    <xf numFmtId="0" fontId="10" fillId="0" borderId="0" xfId="0" applyFont="1" applyFill="1" applyProtection="1"/>
    <xf numFmtId="166" fontId="10" fillId="0" borderId="0" xfId="0" applyNumberFormat="1" applyFont="1" applyFill="1" applyBorder="1" applyAlignment="1" applyProtection="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8" fillId="0" borderId="0" xfId="2" applyFont="1"/>
    <xf numFmtId="0" fontId="68"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61" fillId="0" borderId="0" xfId="2" applyFont="1"/>
    <xf numFmtId="0" fontId="71" fillId="0" borderId="0" xfId="2" applyFont="1"/>
    <xf numFmtId="0" fontId="7" fillId="0" borderId="0" xfId="2" quotePrefix="1"/>
    <xf numFmtId="0" fontId="7" fillId="0" borderId="0" xfId="2" applyAlignment="1">
      <alignment horizontal="center" vertical="center"/>
    </xf>
    <xf numFmtId="0" fontId="73" fillId="0" borderId="0" xfId="2" applyFont="1" applyAlignment="1">
      <alignment horizontal="right"/>
    </xf>
    <xf numFmtId="0" fontId="34" fillId="0" borderId="0" xfId="2" applyFont="1"/>
    <xf numFmtId="0" fontId="30" fillId="0" borderId="0" xfId="2" applyFont="1"/>
    <xf numFmtId="0" fontId="74" fillId="0" borderId="0" xfId="2" applyFont="1" applyAlignment="1">
      <alignment horizontal="right"/>
    </xf>
    <xf numFmtId="0" fontId="33" fillId="0" borderId="0" xfId="2" applyFont="1"/>
    <xf numFmtId="0" fontId="7" fillId="0" borderId="27" xfId="2" applyBorder="1"/>
    <xf numFmtId="0" fontId="61" fillId="0" borderId="0" xfId="2" applyFont="1" applyAlignment="1">
      <alignment horizontal="center" vertical="center"/>
    </xf>
    <xf numFmtId="0" fontId="7" fillId="0" borderId="0" xfId="2" applyAlignment="1">
      <alignment horizontal="center"/>
    </xf>
    <xf numFmtId="0" fontId="72" fillId="0" borderId="0" xfId="2" applyFont="1"/>
    <xf numFmtId="0" fontId="77" fillId="0" borderId="0" xfId="2" applyFont="1"/>
    <xf numFmtId="0" fontId="80" fillId="0" borderId="0" xfId="2" applyFont="1" applyAlignment="1">
      <alignment horizontal="center"/>
    </xf>
    <xf numFmtId="0" fontId="81" fillId="0" borderId="0" xfId="2" applyFont="1"/>
    <xf numFmtId="0" fontId="82" fillId="0" borderId="0" xfId="2" applyFont="1" applyAlignment="1">
      <alignment horizontal="left" vertical="center"/>
    </xf>
    <xf numFmtId="0" fontId="81" fillId="0" borderId="0" xfId="2" applyFont="1" applyAlignment="1">
      <alignment vertical="center" wrapText="1"/>
    </xf>
    <xf numFmtId="0" fontId="80" fillId="0" borderId="0" xfId="2" applyFont="1" applyAlignment="1">
      <alignment horizontal="center" vertical="center" wrapText="1"/>
    </xf>
    <xf numFmtId="0" fontId="81" fillId="0" borderId="42" xfId="2" applyFont="1" applyBorder="1" applyAlignment="1">
      <alignment vertical="center" wrapText="1"/>
    </xf>
    <xf numFmtId="0" fontId="73" fillId="0" borderId="0" xfId="2" applyFont="1" applyAlignment="1">
      <alignment horizontal="right" vertical="center"/>
    </xf>
    <xf numFmtId="0" fontId="7" fillId="0" borderId="0" xfId="2" applyAlignment="1">
      <alignment horizontal="center" vertical="center" wrapText="1"/>
    </xf>
    <xf numFmtId="0" fontId="7" fillId="0" borderId="0" xfId="2" applyAlignment="1">
      <alignment vertical="center"/>
    </xf>
    <xf numFmtId="0" fontId="34" fillId="0" borderId="0" xfId="2" applyFont="1" applyAlignment="1">
      <alignment horizontal="right" vertical="center" wrapText="1"/>
    </xf>
    <xf numFmtId="0" fontId="80" fillId="0" borderId="0" xfId="2" applyFont="1" applyAlignment="1">
      <alignment horizontal="center" vertical="center"/>
    </xf>
    <xf numFmtId="0" fontId="73" fillId="0" borderId="0" xfId="2" applyFont="1" applyAlignment="1">
      <alignment horizontal="center" vertical="center"/>
    </xf>
    <xf numFmtId="0" fontId="34" fillId="0" borderId="0" xfId="2" applyFont="1" applyAlignment="1">
      <alignment horizontal="right" vertical="center"/>
    </xf>
    <xf numFmtId="0" fontId="7" fillId="0" borderId="0" xfId="2" applyAlignment="1">
      <alignment horizontal="center" wrapText="1"/>
    </xf>
    <xf numFmtId="0" fontId="34" fillId="0" borderId="0" xfId="2" applyFont="1" applyAlignment="1">
      <alignment vertical="center" wrapText="1"/>
    </xf>
    <xf numFmtId="0" fontId="49" fillId="0" borderId="0" xfId="2" applyFont="1" applyAlignment="1">
      <alignment horizontal="center" vertical="center" wrapText="1"/>
    </xf>
    <xf numFmtId="0" fontId="83" fillId="0" borderId="42" xfId="2" applyFont="1" applyBorder="1" applyAlignment="1">
      <alignment vertical="center"/>
    </xf>
    <xf numFmtId="0" fontId="84" fillId="0" borderId="0" xfId="2" applyFont="1" applyAlignment="1">
      <alignment horizontal="center" vertical="center"/>
    </xf>
    <xf numFmtId="0" fontId="49" fillId="0" borderId="0" xfId="2" applyFont="1" applyAlignment="1">
      <alignment horizontal="center"/>
    </xf>
    <xf numFmtId="0" fontId="35" fillId="0" borderId="0" xfId="2" applyFont="1"/>
    <xf numFmtId="40" fontId="40" fillId="0" borderId="35"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6"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80" fillId="0" borderId="0" xfId="2" applyFont="1"/>
    <xf numFmtId="0" fontId="86" fillId="0" borderId="0" xfId="2" applyFont="1" applyAlignment="1">
      <alignment vertical="center" wrapText="1"/>
    </xf>
    <xf numFmtId="0" fontId="86" fillId="0" borderId="55" xfId="2" applyFont="1" applyBorder="1" applyAlignment="1">
      <alignment vertical="center" wrapText="1"/>
    </xf>
    <xf numFmtId="0" fontId="51" fillId="0" borderId="0" xfId="2" applyFont="1"/>
    <xf numFmtId="0" fontId="81" fillId="0" borderId="28" xfId="2" quotePrefix="1" applyFont="1" applyBorder="1" applyAlignment="1">
      <alignment horizontal="center"/>
    </xf>
    <xf numFmtId="6" fontId="7" fillId="0" borderId="0" xfId="2" applyNumberFormat="1" applyAlignment="1">
      <alignment horizontal="right"/>
    </xf>
    <xf numFmtId="40" fontId="40" fillId="0" borderId="25" xfId="2" applyNumberFormat="1" applyFont="1" applyBorder="1"/>
    <xf numFmtId="6" fontId="28" fillId="0" borderId="0" xfId="2" applyNumberFormat="1" applyFont="1" applyAlignment="1">
      <alignment horizontal="right"/>
    </xf>
    <xf numFmtId="0" fontId="34" fillId="0" borderId="0" xfId="2" applyFont="1" applyAlignment="1">
      <alignment horizontal="center"/>
    </xf>
    <xf numFmtId="0" fontId="28" fillId="0" borderId="0" xfId="2" applyFont="1" applyAlignment="1">
      <alignment horizontal="centerContinuous"/>
    </xf>
    <xf numFmtId="0" fontId="34" fillId="0" borderId="0" xfId="2" applyFont="1" applyAlignment="1">
      <alignment horizontal="centerContinuous"/>
    </xf>
    <xf numFmtId="0" fontId="33" fillId="0" borderId="27" xfId="2" applyFont="1" applyBorder="1"/>
    <xf numFmtId="0" fontId="28" fillId="0" borderId="27" xfId="2" applyFont="1" applyBorder="1" applyAlignment="1">
      <alignment horizontal="centerContinuous"/>
    </xf>
    <xf numFmtId="0" fontId="34" fillId="0" borderId="27" xfId="2" applyFont="1" applyBorder="1" applyAlignment="1">
      <alignment horizontal="centerContinuous"/>
    </xf>
    <xf numFmtId="0" fontId="34" fillId="0" borderId="27"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5" xfId="2" applyFont="1" applyBorder="1" applyAlignment="1">
      <alignment vertical="center" wrapText="1"/>
    </xf>
    <xf numFmtId="170" fontId="28" fillId="0" borderId="0" xfId="2" applyNumberFormat="1" applyFont="1" applyAlignment="1">
      <alignment horizontal="right"/>
    </xf>
    <xf numFmtId="0" fontId="81" fillId="0" borderId="8" xfId="2" quotePrefix="1" applyFont="1" applyBorder="1" applyAlignment="1">
      <alignment horizontal="center"/>
    </xf>
    <xf numFmtId="0" fontId="81"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4"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9" fillId="0" borderId="0" xfId="2" applyFont="1"/>
    <xf numFmtId="0" fontId="69" fillId="0" borderId="57" xfId="2" applyFont="1" applyBorder="1"/>
    <xf numFmtId="0" fontId="35" fillId="0" borderId="0" xfId="2" applyFont="1" applyAlignment="1">
      <alignment horizontal="centerContinuous"/>
    </xf>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32" fillId="0" borderId="0" xfId="2" applyNumberFormat="1" applyFont="1" applyAlignment="1">
      <alignment horizont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2"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9"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7" xfId="2" applyFont="1" applyBorder="1"/>
    <xf numFmtId="0" fontId="91" fillId="0" borderId="0" xfId="0" applyFont="1" applyFill="1" applyAlignment="1">
      <alignment horizontal="center"/>
    </xf>
    <xf numFmtId="0" fontId="92" fillId="0" borderId="0" xfId="0" applyFont="1" applyFill="1"/>
    <xf numFmtId="0" fontId="12" fillId="2" borderId="8" xfId="0" applyFont="1" applyFill="1" applyBorder="1" applyAlignment="1" applyProtection="1">
      <alignment vertical="center"/>
      <protection locked="0"/>
    </xf>
    <xf numFmtId="0" fontId="0" fillId="0" borderId="0" xfId="0" applyBorder="1" applyAlignment="1" applyProtection="1">
      <alignment horizontal="left" vertical="center"/>
    </xf>
    <xf numFmtId="40" fontId="37" fillId="0" borderId="0" xfId="2" applyNumberFormat="1" applyFont="1" applyFill="1" applyProtection="1">
      <protection locked="0"/>
    </xf>
    <xf numFmtId="40" fontId="37" fillId="0" borderId="26" xfId="2" applyNumberFormat="1" applyFont="1" applyFill="1" applyBorder="1" applyProtection="1">
      <protection locked="0"/>
    </xf>
    <xf numFmtId="0" fontId="93" fillId="0" borderId="0" xfId="2" applyFont="1" applyAlignment="1">
      <alignment horizontal="center" vertical="center" wrapText="1"/>
    </xf>
    <xf numFmtId="0" fontId="93" fillId="0" borderId="0" xfId="2" applyFont="1" applyAlignment="1">
      <alignment horizontal="center" vertical="center"/>
    </xf>
    <xf numFmtId="40" fontId="39" fillId="0" borderId="0" xfId="2" applyNumberFormat="1" applyFont="1" applyFill="1" applyProtection="1">
      <protection locked="0"/>
    </xf>
    <xf numFmtId="0" fontId="0" fillId="14" borderId="0" xfId="0" applyFill="1"/>
    <xf numFmtId="44" fontId="0" fillId="14" borderId="0" xfId="0" applyNumberFormat="1" applyFill="1"/>
    <xf numFmtId="0" fontId="0" fillId="0" borderId="0" xfId="0" applyBorder="1" applyAlignment="1" applyProtection="1">
      <alignment horizontal="left" vertical="top" wrapText="1"/>
    </xf>
    <xf numFmtId="0" fontId="0" fillId="0" borderId="0" xfId="0" applyBorder="1" applyAlignment="1" applyProtection="1">
      <alignment vertical="top"/>
    </xf>
    <xf numFmtId="0" fontId="0" fillId="0" borderId="0" xfId="0" applyBorder="1" applyAlignment="1" applyProtection="1">
      <alignment horizontal="left" vertical="center"/>
    </xf>
    <xf numFmtId="166" fontId="2" fillId="0" borderId="0" xfId="0" applyNumberFormat="1" applyFont="1" applyAlignment="1">
      <alignment horizontal="left" vertical="top"/>
    </xf>
    <xf numFmtId="0" fontId="4" fillId="0" borderId="0" xfId="0" applyFont="1" applyBorder="1" applyAlignment="1" applyProtection="1">
      <alignment vertical="center"/>
    </xf>
    <xf numFmtId="0" fontId="10" fillId="0" borderId="0" xfId="0" applyFont="1" applyBorder="1" applyAlignment="1" applyProtection="1">
      <alignment horizontal="center" vertical="center" wrapText="1"/>
    </xf>
    <xf numFmtId="0" fontId="10" fillId="0" borderId="0" xfId="0" applyFont="1" applyFill="1" applyBorder="1" applyAlignment="1" applyProtection="1">
      <alignment vertical="center"/>
    </xf>
    <xf numFmtId="38" fontId="0" fillId="0" borderId="0" xfId="0" applyNumberFormat="1" applyBorder="1" applyAlignment="1" applyProtection="1">
      <alignment horizontal="center" vertical="center"/>
    </xf>
    <xf numFmtId="38" fontId="2" fillId="0" borderId="0" xfId="0" applyNumberFormat="1" applyFont="1" applyBorder="1" applyAlignment="1" applyProtection="1">
      <alignment horizontal="center" vertical="center" wrapText="1"/>
    </xf>
    <xf numFmtId="38" fontId="0" fillId="0" borderId="0" xfId="0" applyNumberFormat="1" applyBorder="1" applyAlignment="1" applyProtection="1">
      <alignment horizontal="center" vertical="center" wrapText="1"/>
    </xf>
    <xf numFmtId="38" fontId="4" fillId="0" borderId="0" xfId="0" applyNumberFormat="1" applyFont="1" applyFill="1" applyBorder="1" applyAlignment="1" applyProtection="1">
      <alignment horizontal="center" vertical="center"/>
    </xf>
    <xf numFmtId="38" fontId="4" fillId="0" borderId="0" xfId="0" applyNumberFormat="1" applyFont="1" applyBorder="1" applyAlignment="1" applyProtection="1">
      <alignment horizontal="center" vertical="center"/>
    </xf>
    <xf numFmtId="38" fontId="4" fillId="0" borderId="0" xfId="0" applyNumberFormat="1"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Border="1" applyAlignment="1" applyProtection="1">
      <alignment horizontal="left" vertical="top"/>
    </xf>
    <xf numFmtId="0" fontId="4" fillId="0" borderId="0" xfId="0" applyFont="1" applyAlignment="1" applyProtection="1">
      <alignment horizontal="left" vertical="top"/>
    </xf>
    <xf numFmtId="0" fontId="4" fillId="0" borderId="0" xfId="0" applyFont="1" applyAlignment="1">
      <alignment vertical="top" wrapText="1"/>
    </xf>
    <xf numFmtId="0" fontId="10" fillId="0" borderId="0" xfId="0" applyFont="1" applyBorder="1" applyAlignment="1" applyProtection="1">
      <alignment horizontal="left" vertical="top"/>
    </xf>
    <xf numFmtId="0" fontId="4" fillId="7" borderId="0" xfId="0" applyFont="1" applyFill="1"/>
    <xf numFmtId="38" fontId="4" fillId="0" borderId="0" xfId="0" applyNumberFormat="1" applyFont="1" applyAlignment="1" applyProtection="1">
      <alignment horizontal="center" vertical="center"/>
    </xf>
    <xf numFmtId="38" fontId="4" fillId="0" borderId="0" xfId="0" applyNumberFormat="1" applyFont="1" applyFill="1" applyAlignment="1" applyProtection="1">
      <alignment horizontal="center" vertical="center"/>
    </xf>
    <xf numFmtId="38" fontId="10" fillId="0" borderId="0" xfId="0" applyNumberFormat="1" applyFont="1" applyAlignment="1" applyProtection="1">
      <alignment horizontal="center" vertical="center"/>
    </xf>
    <xf numFmtId="38" fontId="12" fillId="0" borderId="0" xfId="0" applyNumberFormat="1" applyFont="1" applyAlignment="1" applyProtection="1">
      <alignment horizontal="center" vertical="center"/>
    </xf>
    <xf numFmtId="38" fontId="12" fillId="0" borderId="0" xfId="0" applyNumberFormat="1" applyFont="1" applyFill="1" applyAlignment="1" applyProtection="1">
      <alignment horizontal="center" vertical="center"/>
    </xf>
    <xf numFmtId="38" fontId="18" fillId="0" borderId="0" xfId="0" applyNumberFormat="1" applyFont="1" applyAlignment="1" applyProtection="1">
      <alignment horizontal="center" vertical="center"/>
    </xf>
    <xf numFmtId="0" fontId="12" fillId="2" borderId="11" xfId="0" applyFont="1" applyFill="1" applyBorder="1" applyAlignment="1" applyProtection="1">
      <alignment horizontal="center" vertical="center" wrapText="1"/>
      <protection locked="0"/>
    </xf>
    <xf numFmtId="0" fontId="2" fillId="0" borderId="0" xfId="0" applyFont="1"/>
    <xf numFmtId="38" fontId="12" fillId="6" borderId="60" xfId="0" applyNumberFormat="1" applyFont="1" applyFill="1" applyBorder="1" applyAlignment="1">
      <alignment horizontal="center" vertical="center"/>
    </xf>
    <xf numFmtId="38" fontId="12" fillId="6" borderId="61" xfId="0" applyNumberFormat="1" applyFont="1" applyFill="1" applyBorder="1" applyAlignment="1">
      <alignment horizontal="center" vertical="center"/>
    </xf>
    <xf numFmtId="0" fontId="12" fillId="2" borderId="8" xfId="0" applyFont="1" applyFill="1" applyBorder="1" applyAlignment="1" applyProtection="1">
      <alignment horizontal="center" vertical="center"/>
      <protection locked="0"/>
    </xf>
    <xf numFmtId="0" fontId="25" fillId="0" borderId="0" xfId="0" applyFont="1" applyBorder="1" applyAlignment="1" applyProtection="1">
      <alignment horizontal="left" vertical="top" wrapText="1"/>
    </xf>
    <xf numFmtId="0" fontId="27" fillId="0" borderId="0" xfId="0" applyFont="1" applyBorder="1" applyAlignment="1" applyProtection="1">
      <alignment horizontal="left" vertical="top"/>
    </xf>
    <xf numFmtId="0" fontId="0" fillId="0" borderId="0" xfId="0" applyAlignment="1" applyProtection="1">
      <alignment vertical="top"/>
    </xf>
    <xf numFmtId="0" fontId="0" fillId="2" borderId="0" xfId="0" applyFont="1" applyFill="1" applyBorder="1" applyAlignment="1" applyProtection="1">
      <alignment horizontal="center" vertical="top"/>
    </xf>
    <xf numFmtId="0" fontId="96" fillId="0" borderId="0" xfId="0" applyFont="1"/>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0" xfId="0" applyFont="1" applyBorder="1" applyProtection="1"/>
    <xf numFmtId="0" fontId="0" fillId="0" borderId="0" xfId="0" applyFont="1" applyProtection="1"/>
    <xf numFmtId="0" fontId="0" fillId="0" borderId="16" xfId="0" applyFont="1" applyBorder="1" applyAlignment="1" applyProtection="1">
      <alignment vertical="center"/>
    </xf>
    <xf numFmtId="0" fontId="2" fillId="0" borderId="62" xfId="0" applyFont="1" applyBorder="1" applyAlignment="1" applyProtection="1">
      <alignment vertical="center"/>
    </xf>
    <xf numFmtId="0" fontId="0" fillId="0" borderId="63" xfId="0" applyFont="1" applyBorder="1" applyProtection="1"/>
    <xf numFmtId="0" fontId="0" fillId="0" borderId="65" xfId="0" applyFont="1" applyBorder="1" applyAlignment="1" applyProtection="1">
      <alignment vertical="center"/>
    </xf>
    <xf numFmtId="0" fontId="0" fillId="0" borderId="66" xfId="0" applyFont="1" applyBorder="1" applyProtection="1"/>
    <xf numFmtId="0" fontId="0" fillId="0" borderId="68" xfId="0" applyFont="1" applyBorder="1" applyAlignment="1" applyProtection="1">
      <alignment vertical="center"/>
    </xf>
    <xf numFmtId="0" fontId="0" fillId="0" borderId="18" xfId="0" applyFont="1" applyBorder="1" applyProtection="1"/>
    <xf numFmtId="0" fontId="2" fillId="0" borderId="63" xfId="0" applyFont="1" applyBorder="1" applyAlignment="1" applyProtection="1">
      <alignment horizontal="right"/>
    </xf>
    <xf numFmtId="0" fontId="2" fillId="0" borderId="64" xfId="0" applyFont="1" applyBorder="1" applyAlignment="1" applyProtection="1">
      <alignment horizontal="right"/>
    </xf>
    <xf numFmtId="8" fontId="0" fillId="0" borderId="67" xfId="0" applyNumberFormat="1" applyFont="1" applyBorder="1" applyProtection="1"/>
    <xf numFmtId="8" fontId="0" fillId="0" borderId="69" xfId="0" applyNumberFormat="1" applyFont="1" applyBorder="1" applyProtection="1"/>
    <xf numFmtId="0" fontId="0" fillId="0" borderId="71" xfId="0" applyFont="1" applyBorder="1" applyAlignment="1" applyProtection="1">
      <alignment vertical="center"/>
    </xf>
    <xf numFmtId="0" fontId="0" fillId="0" borderId="72" xfId="0" applyFont="1" applyBorder="1" applyProtection="1"/>
    <xf numFmtId="8" fontId="0" fillId="0" borderId="72" xfId="0" applyNumberFormat="1" applyFont="1" applyBorder="1" applyProtection="1"/>
    <xf numFmtId="8" fontId="0" fillId="0" borderId="73" xfId="0" applyNumberFormat="1" applyFont="1" applyBorder="1" applyProtection="1"/>
    <xf numFmtId="8" fontId="4" fillId="13" borderId="74" xfId="0" applyNumberFormat="1" applyFont="1" applyFill="1" applyBorder="1" applyProtection="1"/>
    <xf numFmtId="8" fontId="4" fillId="13" borderId="18" xfId="0" applyNumberFormat="1" applyFont="1" applyFill="1" applyBorder="1" applyProtection="1"/>
    <xf numFmtId="8" fontId="0" fillId="0" borderId="48" xfId="0" applyNumberFormat="1" applyFont="1" applyBorder="1" applyProtection="1"/>
    <xf numFmtId="0" fontId="2" fillId="0" borderId="0" xfId="0" applyFont="1" applyProtection="1"/>
    <xf numFmtId="6" fontId="58" fillId="0" borderId="0" xfId="0" applyNumberFormat="1" applyFont="1" applyAlignment="1">
      <alignment horizontal="right" vertical="center"/>
    </xf>
    <xf numFmtId="8" fontId="12" fillId="15" borderId="70" xfId="0" applyNumberFormat="1" applyFont="1" applyFill="1" applyBorder="1" applyProtection="1">
      <protection locked="0"/>
    </xf>
    <xf numFmtId="8" fontId="12" fillId="15" borderId="36" xfId="0" applyNumberFormat="1" applyFont="1" applyFill="1" applyBorder="1" applyProtection="1">
      <protection locked="0"/>
    </xf>
    <xf numFmtId="8" fontId="12" fillId="15" borderId="26" xfId="0" applyNumberFormat="1" applyFont="1" applyFill="1" applyBorder="1" applyProtection="1">
      <protection locked="0"/>
    </xf>
    <xf numFmtId="0" fontId="0" fillId="0" borderId="72" xfId="0" applyBorder="1" applyProtection="1"/>
    <xf numFmtId="0" fontId="0" fillId="0" borderId="16" xfId="0" applyBorder="1" applyProtection="1"/>
    <xf numFmtId="0" fontId="0" fillId="0" borderId="48" xfId="0" applyBorder="1" applyProtection="1"/>
    <xf numFmtId="0" fontId="0" fillId="0" borderId="71" xfId="0" applyBorder="1" applyProtection="1"/>
    <xf numFmtId="8" fontId="0" fillId="0" borderId="72" xfId="0" applyNumberFormat="1" applyBorder="1" applyProtection="1"/>
    <xf numFmtId="8" fontId="0" fillId="0" borderId="73" xfId="0" applyNumberFormat="1" applyBorder="1" applyProtection="1"/>
    <xf numFmtId="8" fontId="4" fillId="0" borderId="76" xfId="0" applyNumberFormat="1" applyFont="1" applyFill="1" applyBorder="1" applyAlignment="1" applyProtection="1">
      <alignment vertical="center"/>
    </xf>
    <xf numFmtId="8" fontId="4" fillId="0" borderId="69" xfId="0" applyNumberFormat="1" applyFont="1" applyFill="1" applyBorder="1" applyAlignment="1" applyProtection="1">
      <alignment vertical="center"/>
    </xf>
    <xf numFmtId="0" fontId="4" fillId="0" borderId="48" xfId="0" applyFont="1" applyFill="1" applyBorder="1" applyProtection="1"/>
    <xf numFmtId="8" fontId="12" fillId="15" borderId="17" xfId="0" applyNumberFormat="1" applyFont="1" applyFill="1" applyBorder="1" applyAlignment="1" applyProtection="1">
      <alignment vertical="center"/>
      <protection locked="0"/>
    </xf>
    <xf numFmtId="8" fontId="12" fillId="15" borderId="76" xfId="0" applyNumberFormat="1" applyFont="1" applyFill="1" applyBorder="1" applyAlignment="1" applyProtection="1">
      <alignment vertical="center"/>
      <protection locked="0"/>
    </xf>
    <xf numFmtId="8" fontId="12" fillId="15" borderId="18" xfId="0" applyNumberFormat="1" applyFont="1" applyFill="1" applyBorder="1" applyAlignment="1" applyProtection="1">
      <alignment vertical="center"/>
      <protection locked="0"/>
    </xf>
    <xf numFmtId="8" fontId="12" fillId="15" borderId="69" xfId="0" applyNumberFormat="1" applyFont="1" applyFill="1" applyBorder="1" applyAlignment="1" applyProtection="1">
      <alignment vertical="center"/>
      <protection locked="0"/>
    </xf>
    <xf numFmtId="0" fontId="0" fillId="0" borderId="72" xfId="0" applyFill="1" applyBorder="1" applyAlignment="1" applyProtection="1">
      <alignment horizontal="right" vertical="center"/>
    </xf>
    <xf numFmtId="176" fontId="0" fillId="0" borderId="0" xfId="0" applyNumberFormat="1" applyBorder="1" applyAlignment="1" applyProtection="1">
      <alignment vertical="top"/>
    </xf>
    <xf numFmtId="176" fontId="4" fillId="0" borderId="72" xfId="0" applyNumberFormat="1" applyFont="1" applyFill="1" applyBorder="1" applyAlignment="1" applyProtection="1">
      <alignment vertical="center"/>
    </xf>
    <xf numFmtId="0" fontId="95" fillId="0" borderId="0" xfId="0" applyFont="1" applyBorder="1" applyAlignment="1" applyProtection="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applyAlignment="1">
      <alignment horizontal="left" vertical="center"/>
    </xf>
    <xf numFmtId="0" fontId="2" fillId="9" borderId="7" xfId="0" applyFont="1" applyFill="1" applyBorder="1" applyAlignment="1">
      <alignment horizontal="center"/>
    </xf>
    <xf numFmtId="0" fontId="0" fillId="0" borderId="0" xfId="0" quotePrefix="1" applyAlignment="1">
      <alignment horizontal="left" vertical="center"/>
    </xf>
    <xf numFmtId="0" fontId="0" fillId="0" borderId="0" xfId="0" quotePrefix="1" applyBorder="1" applyProtection="1"/>
    <xf numFmtId="0" fontId="0" fillId="0" borderId="0" xfId="0" applyAlignment="1">
      <alignment horizontal="left" vertical="center"/>
    </xf>
    <xf numFmtId="0" fontId="0" fillId="0" borderId="0" xfId="0" applyBorder="1" applyAlignment="1" applyProtection="1">
      <alignment vertical="top"/>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left" vertical="center" wrapText="1"/>
    </xf>
    <xf numFmtId="166" fontId="2" fillId="0" borderId="0" xfId="0" applyNumberFormat="1" applyFont="1" applyFill="1" applyBorder="1" applyAlignment="1" applyProtection="1">
      <alignment vertical="top"/>
    </xf>
    <xf numFmtId="6" fontId="12" fillId="6" borderId="28" xfId="0" applyNumberFormat="1" applyFont="1" applyFill="1" applyBorder="1" applyAlignment="1">
      <alignment horizontal="center" vertical="center"/>
    </xf>
    <xf numFmtId="0" fontId="0" fillId="0" borderId="0" xfId="0" applyAlignment="1">
      <alignment horizontal="left" vertical="center"/>
    </xf>
    <xf numFmtId="0" fontId="0" fillId="0" borderId="0" xfId="0" applyBorder="1" applyAlignment="1" applyProtection="1">
      <alignment vertical="top"/>
    </xf>
    <xf numFmtId="8" fontId="12" fillId="6" borderId="17" xfId="0" applyNumberFormat="1" applyFont="1" applyFill="1" applyBorder="1" applyAlignment="1">
      <alignment horizontal="right" vertical="center"/>
    </xf>
    <xf numFmtId="8" fontId="4" fillId="0" borderId="17" xfId="0" applyNumberFormat="1" applyFont="1" applyFill="1" applyBorder="1" applyAlignment="1">
      <alignment horizontal="right" vertical="center"/>
    </xf>
    <xf numFmtId="0" fontId="0" fillId="0" borderId="17" xfId="0" applyBorder="1"/>
    <xf numFmtId="0" fontId="0" fillId="0" borderId="17" xfId="0" applyBorder="1" applyAlignment="1">
      <alignment horizontal="center"/>
    </xf>
    <xf numFmtId="0" fontId="13" fillId="0" borderId="0" xfId="0" applyFont="1" applyFill="1" applyBorder="1" applyAlignment="1">
      <alignment horizontal="center"/>
    </xf>
    <xf numFmtId="0" fontId="91" fillId="0" borderId="0" xfId="0" applyFont="1" applyFill="1" applyBorder="1" applyAlignment="1">
      <alignment horizontal="center"/>
    </xf>
    <xf numFmtId="6" fontId="0" fillId="0" borderId="28" xfId="0" applyNumberFormat="1" applyBorder="1" applyAlignment="1" applyProtection="1">
      <alignment horizontal="right" vertical="center" indent="1"/>
    </xf>
    <xf numFmtId="6" fontId="0" fillId="0" borderId="28" xfId="0" applyNumberFormat="1" applyBorder="1" applyAlignment="1" applyProtection="1">
      <alignment horizontal="right" vertical="center"/>
    </xf>
    <xf numFmtId="6" fontId="0" fillId="0" borderId="0" xfId="0" applyNumberFormat="1" applyBorder="1" applyProtection="1"/>
    <xf numFmtId="0" fontId="0" fillId="0" borderId="17" xfId="0" applyBorder="1" applyProtection="1"/>
    <xf numFmtId="6" fontId="0" fillId="0" borderId="17" xfId="0" applyNumberFormat="1" applyBorder="1" applyProtection="1"/>
    <xf numFmtId="0" fontId="0" fillId="0" borderId="17" xfId="0" applyBorder="1" applyAlignment="1" applyProtection="1">
      <alignment vertical="top"/>
    </xf>
    <xf numFmtId="0" fontId="0" fillId="0" borderId="18" xfId="0" applyBorder="1" applyAlignment="1" applyProtection="1">
      <alignment vertical="top"/>
    </xf>
    <xf numFmtId="0" fontId="0" fillId="0" borderId="57" xfId="0" applyBorder="1" applyProtection="1"/>
    <xf numFmtId="0" fontId="0" fillId="0" borderId="17" xfId="0" applyBorder="1" applyAlignment="1" applyProtection="1">
      <alignment vertical="center"/>
    </xf>
    <xf numFmtId="0" fontId="0" fillId="0" borderId="18" xfId="0" applyBorder="1" applyAlignment="1" applyProtection="1">
      <alignment vertical="center"/>
    </xf>
    <xf numFmtId="6" fontId="0" fillId="0" borderId="1" xfId="0" applyNumberFormat="1" applyBorder="1" applyAlignment="1" applyProtection="1">
      <alignment horizontal="right" vertical="center"/>
    </xf>
    <xf numFmtId="6" fontId="0" fillId="0" borderId="28" xfId="0" applyNumberFormat="1" applyFill="1" applyBorder="1" applyAlignment="1" applyProtection="1">
      <alignment horizontal="right" vertical="center"/>
    </xf>
    <xf numFmtId="49" fontId="2" fillId="0" borderId="0" xfId="0" applyNumberFormat="1" applyFont="1" applyBorder="1" applyAlignment="1" applyProtection="1">
      <alignment horizontal="left"/>
    </xf>
    <xf numFmtId="9" fontId="12" fillId="6" borderId="17" xfId="4" applyFont="1" applyFill="1" applyBorder="1" applyAlignment="1">
      <alignment horizontal="right" vertical="center"/>
    </xf>
    <xf numFmtId="0" fontId="0" fillId="0" borderId="57" xfId="0" applyBorder="1" applyAlignment="1" applyProtection="1">
      <alignment vertical="top"/>
    </xf>
    <xf numFmtId="0" fontId="11" fillId="0" borderId="57" xfId="0" applyFont="1" applyBorder="1" applyAlignment="1" applyProtection="1">
      <alignment vertical="top"/>
    </xf>
    <xf numFmtId="0" fontId="11" fillId="0" borderId="0" xfId="0" applyFont="1" applyBorder="1" applyAlignment="1" applyProtection="1">
      <alignment horizontal="right" vertical="center"/>
    </xf>
    <xf numFmtId="6" fontId="0" fillId="0" borderId="1" xfId="0" applyNumberFormat="1" applyBorder="1" applyAlignment="1" applyProtection="1">
      <alignment horizontal="right" vertical="top"/>
    </xf>
    <xf numFmtId="6" fontId="0" fillId="0" borderId="28" xfId="0" applyNumberFormat="1" applyBorder="1" applyAlignment="1" applyProtection="1">
      <alignment horizontal="right" vertical="top"/>
    </xf>
    <xf numFmtId="0" fontId="0" fillId="0" borderId="0" xfId="0" applyAlignment="1">
      <alignment horizontal="left"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left" vertical="top" wrapText="1"/>
    </xf>
    <xf numFmtId="0" fontId="2" fillId="0" borderId="0" xfId="0" applyFont="1" applyBorder="1" applyAlignment="1" applyProtection="1">
      <alignment horizontal="left" vertical="top"/>
    </xf>
    <xf numFmtId="0" fontId="0" fillId="0" borderId="0" xfId="0" applyBorder="1" applyAlignment="1" applyProtection="1">
      <alignment vertical="top"/>
    </xf>
    <xf numFmtId="0" fontId="2" fillId="0" borderId="0" xfId="0" applyFont="1" applyBorder="1" applyAlignment="1" applyProtection="1">
      <alignment horizontal="left" vertical="top" wrapText="1"/>
    </xf>
    <xf numFmtId="0" fontId="0" fillId="0" borderId="0" xfId="0" applyAlignment="1">
      <alignment horizontal="left" vertical="center"/>
    </xf>
    <xf numFmtId="0" fontId="0" fillId="0" borderId="0" xfId="0" applyBorder="1" applyAlignment="1" applyProtection="1">
      <alignment vertical="center"/>
    </xf>
    <xf numFmtId="0" fontId="0" fillId="0" borderId="0" xfId="0" applyBorder="1" applyAlignment="1" applyProtection="1">
      <alignment vertical="top"/>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10" fillId="0" borderId="0" xfId="0" applyFont="1" applyFill="1" applyAlignment="1">
      <alignment horizontal="center"/>
    </xf>
    <xf numFmtId="9" fontId="4" fillId="0" borderId="0" xfId="4" applyFont="1" applyAlignment="1">
      <alignment horizontal="center" vertical="center"/>
    </xf>
    <xf numFmtId="0" fontId="99" fillId="0" borderId="0" xfId="0" applyFont="1" applyFill="1" applyAlignment="1">
      <alignment horizontal="center" wrapText="1"/>
    </xf>
    <xf numFmtId="38" fontId="0" fillId="0" borderId="0" xfId="0" applyNumberFormat="1" applyAlignment="1">
      <alignment horizontal="right" vertical="center" indent="1"/>
    </xf>
    <xf numFmtId="49" fontId="0" fillId="0" borderId="68" xfId="0" applyNumberFormat="1" applyBorder="1" applyAlignment="1">
      <alignment vertical="center"/>
    </xf>
    <xf numFmtId="49" fontId="0" fillId="0" borderId="18" xfId="0" applyNumberFormat="1" applyBorder="1" applyAlignment="1">
      <alignment vertical="center"/>
    </xf>
    <xf numFmtId="0" fontId="0" fillId="0" borderId="0" xfId="0" applyBorder="1" applyAlignment="1" applyProtection="1">
      <alignment horizontal="center" vertical="center" wrapText="1"/>
    </xf>
    <xf numFmtId="9" fontId="0" fillId="0" borderId="0" xfId="4" applyFont="1" applyFill="1" applyBorder="1" applyAlignment="1" applyProtection="1">
      <alignment horizontal="center" vertical="center" wrapText="1"/>
    </xf>
    <xf numFmtId="6" fontId="0" fillId="0" borderId="0" xfId="0" applyNumberFormat="1" applyBorder="1" applyAlignment="1" applyProtection="1">
      <alignment horizontal="center" vertical="top"/>
    </xf>
    <xf numFmtId="6" fontId="0" fillId="0" borderId="18" xfId="0" applyNumberFormat="1" applyBorder="1" applyAlignment="1" applyProtection="1">
      <alignment horizontal="center" vertical="top"/>
    </xf>
    <xf numFmtId="0" fontId="0" fillId="0" borderId="1" xfId="0" applyNumberFormat="1" applyBorder="1" applyAlignment="1" applyProtection="1">
      <alignment horizontal="center" vertical="center"/>
    </xf>
    <xf numFmtId="6" fontId="0" fillId="0" borderId="69" xfId="0" applyNumberFormat="1" applyBorder="1" applyAlignment="1" applyProtection="1">
      <alignment horizontal="right" vertical="center"/>
    </xf>
    <xf numFmtId="0" fontId="0" fillId="0" borderId="6" xfId="0" applyNumberFormat="1" applyFill="1" applyBorder="1" applyAlignment="1" applyProtection="1">
      <alignment horizontal="right" vertical="center"/>
    </xf>
    <xf numFmtId="9" fontId="12" fillId="6" borderId="60" xfId="4" applyFont="1" applyFill="1" applyBorder="1" applyAlignment="1">
      <alignment horizontal="center" vertical="center"/>
    </xf>
    <xf numFmtId="9" fontId="12" fillId="6" borderId="61" xfId="4" applyFont="1" applyFill="1" applyBorder="1" applyAlignment="1">
      <alignment horizontal="center" vertical="center"/>
    </xf>
    <xf numFmtId="0" fontId="0" fillId="0" borderId="0" xfId="0" applyNumberFormat="1" applyBorder="1" applyAlignment="1" applyProtection="1">
      <alignment vertical="center"/>
    </xf>
    <xf numFmtId="0" fontId="0" fillId="0" borderId="5" xfId="0" applyNumberFormat="1" applyBorder="1" applyAlignment="1" applyProtection="1">
      <alignment horizontal="right" vertical="center" indent="1"/>
    </xf>
    <xf numFmtId="0" fontId="4" fillId="0" borderId="0" xfId="0" applyFont="1" applyBorder="1" applyAlignment="1" applyProtection="1">
      <alignment horizontal="right" vertical="center"/>
    </xf>
    <xf numFmtId="38" fontId="0" fillId="0" borderId="68" xfId="0" applyNumberFormat="1" applyBorder="1" applyAlignment="1" applyProtection="1">
      <alignment horizontal="center" vertical="center"/>
    </xf>
    <xf numFmtId="38" fontId="2" fillId="0" borderId="71" xfId="0" applyNumberFormat="1" applyFont="1" applyBorder="1" applyAlignment="1" applyProtection="1">
      <alignment horizontal="center" vertical="center"/>
    </xf>
    <xf numFmtId="6" fontId="2" fillId="0" borderId="73" xfId="0" applyNumberFormat="1" applyFont="1" applyBorder="1" applyAlignment="1" applyProtection="1">
      <alignment horizontal="right" vertical="center"/>
    </xf>
    <xf numFmtId="0" fontId="0" fillId="0" borderId="13" xfId="0" applyNumberFormat="1" applyBorder="1" applyAlignment="1" applyProtection="1">
      <alignment horizontal="right" vertical="center" indent="1"/>
    </xf>
    <xf numFmtId="0" fontId="0" fillId="0" borderId="2" xfId="0" applyNumberFormat="1" applyBorder="1" applyAlignment="1" applyProtection="1">
      <alignment horizontal="right" vertical="center"/>
    </xf>
    <xf numFmtId="0" fontId="0" fillId="0" borderId="2" xfId="0" applyNumberFormat="1" applyBorder="1" applyAlignment="1" applyProtection="1">
      <alignment horizontal="right" vertical="center" indent="1"/>
    </xf>
    <xf numFmtId="0" fontId="0" fillId="0" borderId="56" xfId="0" applyNumberFormat="1" applyFill="1" applyBorder="1" applyAlignment="1" applyProtection="1">
      <alignment horizontal="right" vertical="center"/>
    </xf>
    <xf numFmtId="38" fontId="0" fillId="0" borderId="75" xfId="0" applyNumberFormat="1" applyBorder="1" applyAlignment="1" applyProtection="1">
      <alignment horizontal="center" vertical="center"/>
    </xf>
    <xf numFmtId="6" fontId="0" fillId="0" borderId="17" xfId="0" applyNumberFormat="1" applyBorder="1" applyAlignment="1" applyProtection="1">
      <alignment horizontal="center" vertical="top"/>
    </xf>
    <xf numFmtId="6" fontId="0" fillId="0" borderId="76" xfId="0" applyNumberFormat="1" applyBorder="1" applyAlignment="1" applyProtection="1">
      <alignment horizontal="right" vertical="center"/>
    </xf>
    <xf numFmtId="0" fontId="0" fillId="0" borderId="2" xfId="0" applyNumberFormat="1" applyBorder="1" applyAlignment="1" applyProtection="1">
      <alignment horizontal="center" vertical="center"/>
    </xf>
    <xf numFmtId="38" fontId="0" fillId="0" borderId="16" xfId="0" applyNumberFormat="1" applyBorder="1" applyAlignment="1" applyProtection="1">
      <alignment horizontal="center" vertical="center"/>
    </xf>
    <xf numFmtId="6" fontId="0" fillId="0" borderId="48" xfId="0" applyNumberFormat="1" applyBorder="1" applyAlignment="1" applyProtection="1">
      <alignment horizontal="right" vertical="center"/>
    </xf>
    <xf numFmtId="0" fontId="0" fillId="0" borderId="0" xfId="0" applyBorder="1" applyAlignment="1" applyProtection="1">
      <alignment vertical="top" wrapText="1"/>
    </xf>
    <xf numFmtId="0" fontId="2" fillId="0" borderId="0" xfId="0" applyNumberFormat="1" applyFont="1" applyBorder="1" applyAlignment="1" applyProtection="1">
      <alignment horizontal="left" vertical="top"/>
    </xf>
    <xf numFmtId="0" fontId="0" fillId="0" borderId="0" xfId="0" applyNumberFormat="1" applyBorder="1" applyProtection="1"/>
    <xf numFmtId="0" fontId="0" fillId="0" borderId="17" xfId="0" applyBorder="1" applyAlignment="1">
      <alignment horizontal="left"/>
    </xf>
    <xf numFmtId="6" fontId="4" fillId="0" borderId="28" xfId="0" applyNumberFormat="1" applyFont="1" applyBorder="1" applyAlignment="1" applyProtection="1">
      <alignment horizontal="right" vertical="center"/>
    </xf>
    <xf numFmtId="6" fontId="4" fillId="0" borderId="28" xfId="0" quotePrefix="1" applyNumberFormat="1" applyFont="1" applyBorder="1" applyAlignment="1" applyProtection="1">
      <alignment horizontal="right" vertical="center"/>
    </xf>
    <xf numFmtId="0" fontId="0" fillId="0" borderId="0" xfId="0" applyAlignment="1">
      <alignment horizontal="left" vertical="center"/>
    </xf>
    <xf numFmtId="0" fontId="0" fillId="0" borderId="0" xfId="0" applyBorder="1" applyAlignment="1" applyProtection="1">
      <alignment vertical="center"/>
    </xf>
    <xf numFmtId="38" fontId="4" fillId="0" borderId="0" xfId="0" applyNumberFormat="1" applyFont="1" applyBorder="1" applyAlignment="1" applyProtection="1">
      <alignment horizontal="center" vertical="center"/>
    </xf>
    <xf numFmtId="0" fontId="0" fillId="0" borderId="17"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lignment horizontal="left" vertical="top"/>
    </xf>
    <xf numFmtId="0" fontId="12" fillId="6" borderId="17" xfId="0" applyFont="1" applyFill="1" applyBorder="1" applyAlignment="1">
      <alignment horizontal="left"/>
    </xf>
    <xf numFmtId="0" fontId="0" fillId="0" borderId="0" xfId="0" applyBorder="1" applyAlignment="1" applyProtection="1">
      <alignment horizontal="left" vertical="center"/>
    </xf>
    <xf numFmtId="0" fontId="0" fillId="0" borderId="0" xfId="0" applyAlignment="1" applyProtection="1">
      <alignment horizontal="left" vertical="center"/>
    </xf>
    <xf numFmtId="0" fontId="4" fillId="0" borderId="0" xfId="0" quotePrefix="1" applyFont="1"/>
    <xf numFmtId="6" fontId="0" fillId="0" borderId="28" xfId="0" applyNumberFormat="1" applyBorder="1" applyAlignment="1" applyProtection="1">
      <alignment vertical="center"/>
    </xf>
    <xf numFmtId="6" fontId="0" fillId="0" borderId="0" xfId="0" applyNumberFormat="1" applyBorder="1" applyAlignment="1" applyProtection="1">
      <alignment vertical="center"/>
    </xf>
    <xf numFmtId="0" fontId="3" fillId="0" borderId="0" xfId="0" applyFont="1" applyProtection="1"/>
    <xf numFmtId="178" fontId="12" fillId="6" borderId="60" xfId="0" applyNumberFormat="1" applyFont="1" applyFill="1" applyBorder="1" applyAlignment="1" applyProtection="1">
      <alignment horizontal="center" vertical="center" wrapText="1"/>
    </xf>
    <xf numFmtId="0" fontId="19" fillId="0" borderId="5" xfId="0" applyFont="1" applyBorder="1" applyAlignment="1" applyProtection="1">
      <alignment vertical="center" wrapText="1"/>
    </xf>
    <xf numFmtId="0" fontId="102" fillId="0" borderId="48" xfId="0" applyFont="1" applyBorder="1" applyAlignment="1" applyProtection="1">
      <alignment vertical="center" wrapText="1"/>
    </xf>
    <xf numFmtId="167" fontId="2" fillId="0" borderId="0" xfId="0" applyNumberFormat="1" applyFont="1"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3" fontId="12" fillId="6" borderId="60"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vertical="top"/>
    </xf>
    <xf numFmtId="38" fontId="12" fillId="6" borderId="60" xfId="0" applyNumberFormat="1" applyFont="1" applyFill="1" applyBorder="1" applyAlignment="1" applyProtection="1">
      <alignment horizontal="center" vertical="center"/>
    </xf>
    <xf numFmtId="0" fontId="0" fillId="0" borderId="0" xfId="0" applyFill="1" applyBorder="1" applyAlignment="1" applyProtection="1"/>
    <xf numFmtId="0" fontId="0" fillId="0" borderId="0" xfId="0" quotePrefix="1" applyAlignment="1" applyProtection="1">
      <alignment vertical="center"/>
    </xf>
    <xf numFmtId="0" fontId="0" fillId="0" borderId="0" xfId="0" applyFill="1" applyAlignment="1" applyProtection="1"/>
    <xf numFmtId="0" fontId="0" fillId="0" borderId="0" xfId="0" applyBorder="1" applyAlignment="1" applyProtection="1">
      <alignment horizontal="left" vertical="center" wrapText="1"/>
    </xf>
    <xf numFmtId="0" fontId="0" fillId="0" borderId="0" xfId="0" applyBorder="1" applyAlignment="1" applyProtection="1">
      <alignment vertical="center"/>
    </xf>
    <xf numFmtId="0" fontId="0" fillId="0" borderId="0" xfId="0" applyBorder="1" applyAlignment="1" applyProtection="1">
      <alignment horizontal="left" vertical="center"/>
    </xf>
    <xf numFmtId="0" fontId="0" fillId="0" borderId="0" xfId="0" applyFont="1" applyBorder="1" applyAlignment="1" applyProtection="1">
      <alignment horizontal="left" vertical="center" wrapText="1"/>
    </xf>
    <xf numFmtId="38" fontId="4" fillId="0" borderId="0" xfId="0" applyNumberFormat="1" applyFont="1" applyBorder="1" applyAlignment="1" applyProtection="1">
      <alignment horizontal="center" vertical="center"/>
    </xf>
    <xf numFmtId="0" fontId="0" fillId="7" borderId="60" xfId="0" applyFill="1" applyBorder="1"/>
    <xf numFmtId="0" fontId="2" fillId="0" borderId="17" xfId="0" applyFont="1" applyBorder="1"/>
    <xf numFmtId="0" fontId="0" fillId="0" borderId="0" xfId="0" applyAlignment="1"/>
    <xf numFmtId="0" fontId="12" fillId="6" borderId="60" xfId="0" applyFont="1" applyFill="1" applyBorder="1" applyAlignment="1">
      <alignment vertical="center"/>
    </xf>
    <xf numFmtId="179" fontId="12" fillId="6" borderId="60" xfId="0" applyNumberFormat="1" applyFont="1" applyFill="1" applyBorder="1" applyAlignment="1">
      <alignment horizontal="center" vertical="center"/>
    </xf>
    <xf numFmtId="40" fontId="12" fillId="6" borderId="60" xfId="0" applyNumberFormat="1" applyFont="1" applyFill="1" applyBorder="1" applyAlignment="1">
      <alignment horizontal="center" vertical="center"/>
    </xf>
    <xf numFmtId="180" fontId="12" fillId="6" borderId="60" xfId="0" applyNumberFormat="1" applyFont="1" applyFill="1" applyBorder="1" applyAlignment="1">
      <alignment horizontal="center" vertical="center"/>
    </xf>
    <xf numFmtId="179" fontId="4" fillId="0" borderId="60" xfId="0" applyNumberFormat="1" applyFont="1" applyFill="1" applyBorder="1" applyAlignment="1">
      <alignment horizontal="center" vertical="center"/>
    </xf>
    <xf numFmtId="6" fontId="0" fillId="0" borderId="1" xfId="0" applyNumberFormat="1" applyBorder="1" applyAlignment="1" applyProtection="1">
      <alignment vertical="center"/>
    </xf>
    <xf numFmtId="0" fontId="7" fillId="0" borderId="0" xfId="2" applyBorder="1"/>
    <xf numFmtId="0" fontId="30" fillId="0" borderId="0" xfId="2" applyFont="1" applyBorder="1" applyAlignment="1">
      <alignment horizontal="center" vertical="center" wrapText="1"/>
    </xf>
    <xf numFmtId="0" fontId="7" fillId="0" borderId="0" xfId="2" applyBorder="1" applyAlignment="1">
      <alignment horizontal="right" vertical="center" wrapText="1"/>
    </xf>
    <xf numFmtId="10" fontId="0" fillId="0" borderId="0" xfId="3" applyNumberFormat="1" applyFont="1" applyFill="1" applyBorder="1" applyAlignment="1" applyProtection="1">
      <alignment horizontal="center" vertical="center"/>
    </xf>
    <xf numFmtId="0" fontId="72" fillId="0" borderId="0" xfId="2" applyFont="1" applyBorder="1" applyAlignment="1">
      <alignment horizontal="center" vertical="center" wrapText="1"/>
    </xf>
    <xf numFmtId="0" fontId="0" fillId="0" borderId="28" xfId="0" applyBorder="1"/>
    <xf numFmtId="0" fontId="0" fillId="0" borderId="28" xfId="0" applyBorder="1" applyAlignment="1">
      <alignment horizontal="center"/>
    </xf>
    <xf numFmtId="40" fontId="12" fillId="6" borderId="28" xfId="0" applyNumberFormat="1" applyFont="1" applyFill="1" applyBorder="1" applyAlignment="1">
      <alignment horizontal="center" vertical="center"/>
    </xf>
    <xf numFmtId="0" fontId="0" fillId="0" borderId="0" xfId="0" applyAlignment="1">
      <alignment horizontal="left" vertical="center"/>
    </xf>
    <xf numFmtId="0" fontId="0" fillId="0" borderId="0" xfId="0" applyBorder="1" applyAlignment="1" applyProtection="1">
      <alignment vertical="center"/>
    </xf>
    <xf numFmtId="181" fontId="4" fillId="0" borderId="7" xfId="0" applyNumberFormat="1" applyFont="1" applyBorder="1" applyAlignment="1">
      <alignment horizontal="center" vertical="center"/>
    </xf>
    <xf numFmtId="182" fontId="4" fillId="0" borderId="59" xfId="0" applyNumberFormat="1" applyFont="1" applyBorder="1" applyAlignment="1">
      <alignment horizontal="center" vertical="center"/>
    </xf>
    <xf numFmtId="0" fontId="3" fillId="0" borderId="0" xfId="0" applyFont="1"/>
    <xf numFmtId="0" fontId="0" fillId="0" borderId="17" xfId="0" applyBorder="1" applyAlignment="1">
      <alignment vertical="center"/>
    </xf>
    <xf numFmtId="6" fontId="0" fillId="0" borderId="2" xfId="0" applyNumberFormat="1" applyBorder="1" applyAlignment="1" applyProtection="1">
      <alignment vertical="center"/>
    </xf>
    <xf numFmtId="0" fontId="0" fillId="0" borderId="57" xfId="0" applyBorder="1" applyAlignment="1">
      <alignment vertical="center"/>
    </xf>
    <xf numFmtId="0" fontId="0" fillId="0" borderId="0" xfId="0" applyBorder="1" applyAlignment="1">
      <alignment horizontal="left" vertical="center"/>
    </xf>
    <xf numFmtId="0" fontId="0" fillId="0" borderId="80" xfId="0" applyBorder="1" applyAlignment="1" applyProtection="1">
      <alignment vertical="center"/>
    </xf>
    <xf numFmtId="0" fontId="0" fillId="0" borderId="80" xfId="0" applyBorder="1" applyProtection="1"/>
    <xf numFmtId="38" fontId="4" fillId="0" borderId="0" xfId="0" applyNumberFormat="1" applyFont="1" applyAlignment="1">
      <alignment horizontal="center" vertical="center"/>
    </xf>
    <xf numFmtId="0" fontId="0" fillId="0" borderId="28" xfId="0" applyNumberFormat="1" applyBorder="1" applyAlignment="1" applyProtection="1">
      <alignment horizontal="right" vertical="center"/>
    </xf>
    <xf numFmtId="0" fontId="104" fillId="0" borderId="0" xfId="0" applyFont="1"/>
    <xf numFmtId="0" fontId="104" fillId="0" borderId="0" xfId="0" applyFont="1" applyAlignment="1">
      <alignment vertical="center"/>
    </xf>
    <xf numFmtId="0" fontId="4" fillId="0" borderId="0" xfId="0" applyFont="1" applyBorder="1" applyAlignment="1" applyProtection="1">
      <alignment horizontal="right"/>
    </xf>
    <xf numFmtId="168" fontId="2" fillId="0" borderId="0" xfId="0" applyNumberFormat="1" applyFont="1" applyBorder="1" applyAlignment="1" applyProtection="1">
      <alignment vertical="top"/>
    </xf>
    <xf numFmtId="168" fontId="2" fillId="0" borderId="0" xfId="0" applyNumberFormat="1" applyFont="1" applyBorder="1" applyAlignment="1" applyProtection="1">
      <alignment horizontal="right" vertical="top" wrapText="1"/>
    </xf>
    <xf numFmtId="0" fontId="6" fillId="0" borderId="0" xfId="0" applyFont="1" applyAlignment="1">
      <alignment horizontal="center"/>
    </xf>
    <xf numFmtId="0" fontId="7" fillId="0" borderId="0" xfId="2" applyFill="1"/>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lignment horizontal="right" vertical="top"/>
    </xf>
    <xf numFmtId="0" fontId="106" fillId="0" borderId="0" xfId="0" applyFont="1"/>
    <xf numFmtId="183" fontId="12" fillId="6" borderId="79" xfId="0" applyNumberFormat="1" applyFont="1" applyFill="1" applyBorder="1" applyAlignment="1">
      <alignment horizontal="center" vertical="center"/>
    </xf>
    <xf numFmtId="9" fontId="12" fillId="6" borderId="81" xfId="0" applyNumberFormat="1" applyFont="1" applyFill="1" applyBorder="1" applyAlignment="1">
      <alignment horizontal="center" vertical="center"/>
    </xf>
    <xf numFmtId="0" fontId="0" fillId="0" borderId="0" xfId="0" applyBorder="1" applyAlignment="1" applyProtection="1">
      <alignment horizontal="left" vertical="center"/>
    </xf>
    <xf numFmtId="0" fontId="0" fillId="14" borderId="0" xfId="0" applyFill="1" applyAlignment="1">
      <alignment vertical="center"/>
    </xf>
    <xf numFmtId="0" fontId="0" fillId="14" borderId="0" xfId="0" applyNumberFormat="1" applyFill="1" applyBorder="1" applyAlignment="1">
      <alignment horizontal="center" vertical="center"/>
    </xf>
    <xf numFmtId="0" fontId="0" fillId="14" borderId="0" xfId="0" applyFill="1" applyBorder="1" applyAlignment="1">
      <alignment vertical="center"/>
    </xf>
    <xf numFmtId="0" fontId="0" fillId="14" borderId="0" xfId="0" applyNumberFormat="1" applyFill="1" applyAlignment="1">
      <alignment vertical="center"/>
    </xf>
    <xf numFmtId="0" fontId="14" fillId="14" borderId="0" xfId="0" applyFont="1" applyFill="1" applyBorder="1" applyAlignment="1">
      <alignment vertical="center"/>
    </xf>
    <xf numFmtId="0" fontId="0" fillId="14" borderId="0" xfId="0" applyFill="1" applyAlignment="1">
      <alignment horizontal="right" vertical="center"/>
    </xf>
    <xf numFmtId="0" fontId="107" fillId="0" borderId="0" xfId="2" applyFont="1"/>
    <xf numFmtId="38" fontId="4" fillId="0" borderId="0" xfId="0" quotePrefix="1" applyNumberFormat="1" applyFont="1" applyFill="1" applyBorder="1" applyAlignment="1" applyProtection="1">
      <alignment horizontal="center" vertical="center"/>
    </xf>
    <xf numFmtId="38" fontId="12" fillId="6" borderId="61"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0" fillId="2" borderId="8" xfId="0" applyFont="1" applyFill="1" applyBorder="1" applyAlignment="1" applyProtection="1">
      <alignment horizontal="left" vertical="center"/>
      <protection locked="0"/>
    </xf>
    <xf numFmtId="44" fontId="100" fillId="0" borderId="0" xfId="1" applyFont="1" applyFill="1" applyBorder="1" applyAlignment="1" applyProtection="1">
      <alignment horizontal="right" vertical="center"/>
    </xf>
    <xf numFmtId="44" fontId="98" fillId="0" borderId="0" xfId="1" applyFont="1" applyFill="1" applyBorder="1" applyAlignment="1" applyProtection="1">
      <alignment horizontal="left" vertical="center"/>
    </xf>
    <xf numFmtId="3" fontId="12" fillId="6" borderId="60" xfId="0" applyNumberFormat="1" applyFont="1" applyFill="1" applyBorder="1" applyAlignment="1" applyProtection="1">
      <alignment horizontal="center" vertical="center"/>
    </xf>
    <xf numFmtId="38" fontId="4" fillId="0" borderId="0" xfId="0" applyNumberFormat="1" applyFont="1" applyFill="1" applyBorder="1" applyAlignment="1" applyProtection="1">
      <alignment vertical="center"/>
    </xf>
    <xf numFmtId="177" fontId="12" fillId="6" borderId="60" xfId="0" applyNumberFormat="1" applyFont="1" applyFill="1" applyBorder="1" applyAlignment="1" applyProtection="1">
      <alignment horizontal="center" vertical="center"/>
    </xf>
    <xf numFmtId="0" fontId="0" fillId="0" borderId="0" xfId="0" applyAlignment="1" applyProtection="1">
      <alignment horizontal="center" vertical="top"/>
    </xf>
    <xf numFmtId="0" fontId="0" fillId="0" borderId="0" xfId="0" applyBorder="1" applyAlignment="1" applyProtection="1">
      <alignment horizontal="left" vertical="top"/>
    </xf>
    <xf numFmtId="0" fontId="0" fillId="7" borderId="0" xfId="0" applyFill="1" applyBorder="1" applyAlignment="1">
      <alignment vertical="center"/>
    </xf>
    <xf numFmtId="38" fontId="4" fillId="0" borderId="0" xfId="0" applyNumberFormat="1" applyFont="1" applyBorder="1" applyAlignment="1" applyProtection="1">
      <alignment horizontal="center"/>
    </xf>
    <xf numFmtId="38" fontId="0" fillId="0" borderId="0" xfId="0" applyNumberFormat="1" applyBorder="1" applyAlignment="1" applyProtection="1">
      <alignment horizontal="center"/>
    </xf>
    <xf numFmtId="9" fontId="108" fillId="0" borderId="0" xfId="4" applyFont="1" applyAlignment="1">
      <alignment horizontal="center"/>
    </xf>
    <xf numFmtId="0" fontId="82" fillId="0" borderId="0" xfId="2" applyFont="1" applyAlignment="1">
      <alignment horizontal="left" vertical="center"/>
    </xf>
    <xf numFmtId="0" fontId="12" fillId="2" borderId="7" xfId="0" applyFont="1" applyFill="1" applyBorder="1" applyAlignment="1" applyProtection="1">
      <alignment horizontal="center" vertical="center" wrapText="1"/>
      <protection locked="0"/>
    </xf>
    <xf numFmtId="0" fontId="0" fillId="0" borderId="0" xfId="0" applyAlignment="1">
      <alignment horizontal="left"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left" vertical="top"/>
    </xf>
    <xf numFmtId="0" fontId="80" fillId="0" borderId="0" xfId="2" applyFont="1" applyFill="1" applyAlignment="1">
      <alignment horizontal="center"/>
    </xf>
    <xf numFmtId="0" fontId="7" fillId="0" borderId="0" xfId="2" applyFill="1" applyAlignment="1">
      <alignment horizontal="center"/>
    </xf>
    <xf numFmtId="0" fontId="75" fillId="0" borderId="0" xfId="2" applyFont="1" applyFill="1"/>
    <xf numFmtId="38" fontId="0" fillId="0" borderId="0" xfId="0" applyNumberFormat="1" applyAlignment="1">
      <alignment horizontal="left" vertical="center"/>
    </xf>
    <xf numFmtId="0" fontId="28" fillId="0" borderId="0" xfId="2" applyFont="1" applyFill="1"/>
    <xf numFmtId="0" fontId="70" fillId="0" borderId="0" xfId="2" applyFont="1" applyFill="1" applyAlignment="1">
      <alignment horizontal="right"/>
    </xf>
    <xf numFmtId="0" fontId="28" fillId="0" borderId="0" xfId="2" quotePrefix="1" applyFont="1" applyFill="1" applyBorder="1" applyAlignment="1" applyProtection="1">
      <alignment vertical="center"/>
    </xf>
    <xf numFmtId="0" fontId="28" fillId="0" borderId="0" xfId="2" applyFont="1" applyFill="1" applyBorder="1" applyAlignment="1" applyProtection="1">
      <alignment vertical="center"/>
    </xf>
    <xf numFmtId="0" fontId="82" fillId="0" borderId="0" xfId="2" applyFont="1" applyAlignment="1">
      <alignment vertical="center"/>
    </xf>
    <xf numFmtId="0" fontId="50" fillId="0" borderId="0" xfId="2" applyFont="1" applyAlignment="1">
      <alignment vertical="top" wrapText="1"/>
    </xf>
    <xf numFmtId="0" fontId="7" fillId="0" borderId="0" xfId="2" applyFill="1" applyBorder="1"/>
    <xf numFmtId="0" fontId="7" fillId="0" borderId="0" xfId="2" applyFill="1" applyBorder="1" applyAlignment="1"/>
    <xf numFmtId="0" fontId="63" fillId="0" borderId="0" xfId="0" applyFont="1" applyFill="1" applyAlignment="1">
      <alignment vertical="center"/>
    </xf>
    <xf numFmtId="0" fontId="7" fillId="0" borderId="0" xfId="2" quotePrefix="1" applyFill="1"/>
    <xf numFmtId="0" fontId="42" fillId="0" borderId="0" xfId="2" applyFont="1" applyFill="1" applyAlignment="1">
      <alignment horizontal="center"/>
    </xf>
    <xf numFmtId="0" fontId="42" fillId="0" borderId="0" xfId="2" applyFont="1" applyFill="1" applyAlignment="1"/>
    <xf numFmtId="0" fontId="36" fillId="0" borderId="0" xfId="2" applyFont="1" applyFill="1"/>
    <xf numFmtId="0" fontId="0" fillId="0" borderId="0" xfId="0" applyAlignment="1">
      <alignment horizontal="left" vertical="center"/>
    </xf>
    <xf numFmtId="0" fontId="0" fillId="0" borderId="0" xfId="0" applyBorder="1" applyAlignment="1" applyProtection="1">
      <alignment vertical="center"/>
    </xf>
    <xf numFmtId="0" fontId="2" fillId="0" borderId="0" xfId="0" applyFont="1" applyFill="1" applyBorder="1" applyAlignment="1" applyProtection="1">
      <alignment horizontal="left" vertical="top"/>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8" fontId="0" fillId="0" borderId="1" xfId="0" applyNumberFormat="1" applyBorder="1" applyAlignment="1" applyProtection="1">
      <alignment vertical="center"/>
    </xf>
    <xf numFmtId="186" fontId="0" fillId="0" borderId="28" xfId="0" applyNumberFormat="1" applyBorder="1" applyAlignment="1" applyProtection="1">
      <alignment horizontal="right" vertical="center"/>
    </xf>
    <xf numFmtId="168" fontId="0" fillId="0" borderId="0" xfId="0" applyNumberFormat="1" applyFont="1" applyBorder="1" applyAlignment="1" applyProtection="1">
      <alignment horizontal="left" vertical="top"/>
    </xf>
    <xf numFmtId="0" fontId="0" fillId="0" borderId="0" xfId="0" applyBorder="1" applyAlignment="1" applyProtection="1">
      <alignment horizontal="left" vertical="top" wrapText="1"/>
    </xf>
    <xf numFmtId="8" fontId="0" fillId="0" borderId="28" xfId="0" applyNumberFormat="1" applyBorder="1" applyAlignment="1">
      <alignment horizontal="right" vertical="center"/>
    </xf>
    <xf numFmtId="0" fontId="0" fillId="0" borderId="1" xfId="0" applyBorder="1" applyAlignment="1" applyProtection="1">
      <alignment horizontal="right" vertical="center"/>
    </xf>
    <xf numFmtId="167" fontId="2" fillId="0" borderId="0" xfId="0" applyNumberFormat="1" applyFont="1" applyAlignment="1">
      <alignment horizontal="left" vertical="top"/>
    </xf>
    <xf numFmtId="0" fontId="12" fillId="2" borderId="28" xfId="0" applyFont="1" applyFill="1" applyBorder="1" applyAlignment="1" applyProtection="1">
      <alignment horizontal="right" vertical="center"/>
      <protection locked="0"/>
    </xf>
    <xf numFmtId="168" fontId="2" fillId="0" borderId="0" xfId="0" applyNumberFormat="1" applyFont="1" applyAlignment="1">
      <alignment horizontal="left" vertical="top"/>
    </xf>
    <xf numFmtId="168" fontId="0" fillId="0" borderId="0" xfId="0" applyNumberFormat="1" applyFont="1" applyBorder="1" applyAlignment="1" applyProtection="1"/>
    <xf numFmtId="0" fontId="0" fillId="0" borderId="0" xfId="0" applyFont="1" applyFill="1" applyBorder="1" applyAlignment="1" applyProtection="1"/>
    <xf numFmtId="0" fontId="0" fillId="0" borderId="17" xfId="0" applyFill="1" applyBorder="1" applyAlignment="1">
      <alignment vertical="center"/>
    </xf>
    <xf numFmtId="9" fontId="12" fillId="6" borderId="17" xfId="4" applyFont="1" applyFill="1" applyBorder="1" applyAlignment="1">
      <alignment horizontal="center" vertical="center"/>
    </xf>
    <xf numFmtId="0" fontId="0" fillId="0" borderId="80" xfId="0" applyBorder="1"/>
    <xf numFmtId="0" fontId="7" fillId="0" borderId="24" xfId="2" applyBorder="1"/>
    <xf numFmtId="0" fontId="81" fillId="0" borderId="0" xfId="2" applyFont="1" applyAlignment="1">
      <alignment horizontal="center"/>
    </xf>
    <xf numFmtId="0" fontId="81" fillId="0" borderId="0" xfId="2" applyFont="1" applyBorder="1" applyAlignment="1">
      <alignment horizontal="center"/>
    </xf>
    <xf numFmtId="0" fontId="7" fillId="0" borderId="2" xfId="2" applyBorder="1"/>
    <xf numFmtId="0" fontId="0" fillId="0" borderId="0" xfId="0" applyBorder="1" applyAlignment="1" applyProtection="1">
      <alignment horizontal="left" vertical="top" wrapText="1"/>
    </xf>
    <xf numFmtId="0" fontId="0" fillId="0" borderId="0" xfId="0" applyFill="1" applyBorder="1"/>
    <xf numFmtId="9" fontId="12" fillId="6" borderId="18" xfId="4" applyFont="1" applyFill="1" applyBorder="1" applyAlignment="1">
      <alignment horizontal="center" vertical="center"/>
    </xf>
    <xf numFmtId="0" fontId="0" fillId="0" borderId="80" xfId="0" applyBorder="1" applyAlignment="1">
      <alignment vertical="center"/>
    </xf>
    <xf numFmtId="9" fontId="12" fillId="6" borderId="80" xfId="4" applyFont="1" applyFill="1" applyBorder="1" applyAlignment="1">
      <alignment horizontal="center" vertical="center"/>
    </xf>
    <xf numFmtId="9" fontId="0" fillId="0" borderId="17" xfId="4" applyFont="1" applyFill="1" applyBorder="1" applyAlignment="1">
      <alignment horizontal="center" vertical="center"/>
    </xf>
    <xf numFmtId="0" fontId="0" fillId="0" borderId="17" xfId="0" applyFill="1" applyBorder="1"/>
    <xf numFmtId="0" fontId="0" fillId="0" borderId="80" xfId="0" applyFill="1" applyBorder="1"/>
    <xf numFmtId="9" fontId="0" fillId="0" borderId="80" xfId="4" applyFont="1" applyFill="1" applyBorder="1" applyAlignment="1">
      <alignment horizontal="center" vertical="center"/>
    </xf>
    <xf numFmtId="0" fontId="0" fillId="0" borderId="87" xfId="0" applyFill="1" applyBorder="1"/>
    <xf numFmtId="9" fontId="12" fillId="6" borderId="87" xfId="4" applyFont="1" applyFill="1" applyBorder="1" applyAlignment="1">
      <alignment horizontal="center" vertical="center"/>
    </xf>
    <xf numFmtId="9" fontId="12" fillId="6" borderId="88" xfId="4" applyFont="1" applyFill="1" applyBorder="1" applyAlignment="1">
      <alignment horizontal="center" vertical="center"/>
    </xf>
    <xf numFmtId="38" fontId="12" fillId="6" borderId="89" xfId="0" applyNumberFormat="1" applyFont="1" applyFill="1" applyBorder="1" applyAlignment="1">
      <alignment horizontal="center" vertical="center"/>
    </xf>
    <xf numFmtId="0" fontId="0" fillId="7" borderId="17" xfId="0" applyFill="1" applyBorder="1"/>
    <xf numFmtId="0" fontId="0" fillId="7" borderId="80" xfId="0" applyFill="1" applyBorder="1"/>
    <xf numFmtId="0" fontId="0" fillId="7" borderId="89" xfId="0" applyFill="1" applyBorder="1"/>
    <xf numFmtId="0" fontId="0" fillId="7" borderId="18" xfId="0" applyFill="1" applyBorder="1"/>
    <xf numFmtId="8" fontId="0" fillId="8" borderId="28" xfId="0" applyNumberFormat="1" applyFill="1" applyBorder="1" applyAlignment="1" applyProtection="1">
      <alignment horizontal="right" vertical="center"/>
    </xf>
    <xf numFmtId="0" fontId="0" fillId="0" borderId="87" xfId="0" applyBorder="1"/>
    <xf numFmtId="0" fontId="34" fillId="0" borderId="0" xfId="2" applyFont="1" applyFill="1" applyAlignment="1">
      <alignment horizontal="right"/>
    </xf>
    <xf numFmtId="0" fontId="28" fillId="0" borderId="0" xfId="2" applyFont="1" applyFill="1" applyAlignment="1">
      <alignment horizontal="right"/>
    </xf>
    <xf numFmtId="0" fontId="33" fillId="0" borderId="0" xfId="2" applyFont="1" applyFill="1"/>
    <xf numFmtId="0" fontId="7" fillId="0" borderId="0" xfId="2" applyFill="1" applyAlignment="1">
      <alignment horizontal="right"/>
    </xf>
    <xf numFmtId="0" fontId="7" fillId="0" borderId="0" xfId="2" applyFont="1" applyFill="1" applyAlignment="1">
      <alignment horizontal="center" vertical="center"/>
    </xf>
    <xf numFmtId="172" fontId="7" fillId="0" borderId="28" xfId="2" applyNumberFormat="1" applyFont="1" applyFill="1" applyBorder="1" applyAlignment="1" applyProtection="1">
      <alignment horizontal="center" vertical="center"/>
    </xf>
    <xf numFmtId="172" fontId="7" fillId="0" borderId="0" xfId="2" applyNumberFormat="1" applyFont="1" applyFill="1" applyBorder="1" applyAlignment="1">
      <alignment horizontal="center" vertical="center"/>
    </xf>
    <xf numFmtId="187" fontId="0" fillId="0" borderId="17" xfId="4" applyNumberFormat="1" applyFont="1" applyBorder="1" applyAlignment="1">
      <alignment horizontal="center" vertical="center"/>
    </xf>
    <xf numFmtId="166" fontId="2" fillId="0" borderId="0" xfId="0" applyNumberFormat="1" applyFont="1" applyBorder="1" applyAlignment="1" applyProtection="1">
      <alignment horizontal="right" vertical="top" wrapText="1"/>
    </xf>
    <xf numFmtId="0" fontId="0" fillId="0" borderId="87" xfId="0" applyFill="1" applyBorder="1" applyAlignment="1">
      <alignment vertical="center"/>
    </xf>
    <xf numFmtId="0" fontId="0" fillId="0" borderId="80" xfId="0" applyFill="1" applyBorder="1" applyAlignment="1">
      <alignment vertical="center"/>
    </xf>
    <xf numFmtId="0" fontId="0" fillId="0" borderId="87" xfId="0" applyBorder="1" applyAlignment="1">
      <alignment vertical="center"/>
    </xf>
    <xf numFmtId="38" fontId="12" fillId="6" borderId="80" xfId="4" applyNumberFormat="1" applyFont="1" applyFill="1" applyBorder="1" applyAlignment="1">
      <alignment horizontal="center" vertical="center"/>
    </xf>
    <xf numFmtId="38" fontId="12" fillId="6" borderId="87" xfId="4" applyNumberFormat="1" applyFont="1" applyFill="1" applyBorder="1" applyAlignment="1">
      <alignment horizontal="center" vertical="center"/>
    </xf>
    <xf numFmtId="9" fontId="4" fillId="0" borderId="80" xfId="4" applyFont="1" applyFill="1" applyBorder="1" applyAlignment="1">
      <alignment horizontal="center" vertical="center"/>
    </xf>
    <xf numFmtId="0" fontId="4" fillId="0" borderId="0" xfId="0" applyFont="1" applyAlignment="1" applyProtection="1">
      <alignment vertical="top"/>
    </xf>
    <xf numFmtId="0" fontId="0" fillId="0" borderId="0" xfId="0" applyFill="1" applyBorder="1" applyAlignment="1">
      <alignment vertical="center"/>
    </xf>
    <xf numFmtId="0" fontId="0" fillId="0" borderId="17" xfId="0" applyFill="1" applyBorder="1" applyAlignment="1">
      <alignment horizontal="center" vertical="center"/>
    </xf>
    <xf numFmtId="0" fontId="0" fillId="0" borderId="87" xfId="0" applyFill="1" applyBorder="1" applyAlignment="1">
      <alignment horizontal="center" vertical="center"/>
    </xf>
    <xf numFmtId="0" fontId="0" fillId="0" borderId="80" xfId="0" applyFill="1" applyBorder="1" applyAlignment="1">
      <alignment horizontal="center" vertical="center"/>
    </xf>
    <xf numFmtId="0" fontId="0" fillId="0" borderId="0" xfId="0" applyFill="1" applyBorder="1" applyAlignment="1">
      <alignment horizontal="center" vertical="center"/>
    </xf>
    <xf numFmtId="0" fontId="0" fillId="0" borderId="87" xfId="0" applyBorder="1" applyAlignment="1">
      <alignment horizontal="center" vertical="center"/>
    </xf>
    <xf numFmtId="0" fontId="0" fillId="0" borderId="80" xfId="0" applyBorder="1" applyAlignment="1">
      <alignment horizontal="center" vertical="center"/>
    </xf>
    <xf numFmtId="0" fontId="0" fillId="0" borderId="80" xfId="0" applyBorder="1" applyAlignment="1">
      <alignment horizontal="right" vertical="center"/>
    </xf>
    <xf numFmtId="0" fontId="0" fillId="0" borderId="0" xfId="0" quotePrefix="1" applyFont="1" applyAlignment="1"/>
    <xf numFmtId="40" fontId="12" fillId="19" borderId="60" xfId="0" applyNumberFormat="1" applyFont="1" applyFill="1" applyBorder="1" applyAlignment="1">
      <alignment horizontal="center" vertical="center"/>
    </xf>
    <xf numFmtId="40" fontId="12" fillId="19" borderId="28" xfId="0" applyNumberFormat="1" applyFont="1" applyFill="1" applyBorder="1" applyAlignment="1">
      <alignment horizontal="center" vertical="center"/>
    </xf>
    <xf numFmtId="0" fontId="2" fillId="0" borderId="0" xfId="0" applyFont="1" applyAlignment="1">
      <alignment horizontal="center"/>
    </xf>
    <xf numFmtId="0" fontId="2" fillId="18" borderId="0" xfId="0" applyFont="1" applyFill="1" applyAlignment="1">
      <alignment horizontal="center"/>
    </xf>
    <xf numFmtId="0" fontId="0" fillId="20" borderId="87" xfId="0" applyFill="1" applyBorder="1" applyAlignment="1">
      <alignment horizontal="center" vertical="center"/>
    </xf>
    <xf numFmtId="0" fontId="90" fillId="20" borderId="87" xfId="0" applyFont="1" applyFill="1" applyBorder="1" applyAlignment="1">
      <alignment horizontal="left" vertical="center"/>
    </xf>
    <xf numFmtId="0" fontId="4" fillId="0" borderId="0" xfId="0" applyFont="1" applyAlignment="1">
      <alignment horizontal="left" vertical="center"/>
    </xf>
    <xf numFmtId="9" fontId="12" fillId="6" borderId="17" xfId="4" applyFont="1" applyFill="1" applyBorder="1" applyAlignment="1">
      <alignment horizontal="center" vertical="center"/>
    </xf>
    <xf numFmtId="0" fontId="0" fillId="0" borderId="0" xfId="0" applyAlignment="1">
      <alignment horizontal="left" vertical="center"/>
    </xf>
    <xf numFmtId="0" fontId="0" fillId="0" borderId="0" xfId="0" applyBorder="1" applyAlignment="1" applyProtection="1">
      <alignment horizontal="left" vertical="top" wrapText="1"/>
    </xf>
    <xf numFmtId="0" fontId="0" fillId="0" borderId="0" xfId="0" applyBorder="1" applyAlignment="1" applyProtection="1">
      <alignment vertical="top"/>
    </xf>
    <xf numFmtId="38" fontId="4" fillId="0" borderId="0" xfId="0" applyNumberFormat="1" applyFont="1" applyBorder="1" applyAlignment="1" applyProtection="1">
      <alignment horizontal="center" vertical="center"/>
    </xf>
    <xf numFmtId="9" fontId="12" fillId="6" borderId="17" xfId="4" applyFont="1" applyFill="1" applyBorder="1" applyAlignment="1">
      <alignment horizontal="center" vertical="center"/>
    </xf>
    <xf numFmtId="0" fontId="0" fillId="0" borderId="0" xfId="0" applyBorder="1" applyAlignment="1" applyProtection="1">
      <alignment horizontal="left" vertical="center"/>
    </xf>
    <xf numFmtId="0" fontId="6" fillId="0" borderId="0" xfId="0" applyFont="1" applyFill="1"/>
    <xf numFmtId="0" fontId="112" fillId="0" borderId="0" xfId="2" applyFont="1"/>
    <xf numFmtId="0" fontId="0" fillId="7" borderId="80" xfId="0" applyFill="1" applyBorder="1" applyAlignment="1">
      <alignment vertical="center"/>
    </xf>
    <xf numFmtId="0" fontId="0" fillId="7" borderId="89" xfId="0" applyFill="1" applyBorder="1" applyAlignment="1">
      <alignment vertical="center"/>
    </xf>
    <xf numFmtId="0" fontId="0" fillId="7" borderId="60" xfId="0" applyFill="1" applyBorder="1" applyAlignment="1">
      <alignment vertical="center"/>
    </xf>
    <xf numFmtId="0" fontId="0" fillId="0" borderId="7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88" xfId="0" applyBorder="1" applyAlignment="1">
      <alignment vertical="center"/>
    </xf>
    <xf numFmtId="0" fontId="0" fillId="0" borderId="18" xfId="0" applyBorder="1" applyAlignment="1">
      <alignment vertical="center"/>
    </xf>
    <xf numFmtId="0" fontId="5" fillId="0" borderId="89" xfId="0" applyFont="1" applyBorder="1" applyAlignment="1">
      <alignment vertical="center"/>
    </xf>
    <xf numFmtId="0" fontId="3" fillId="0" borderId="89" xfId="0" applyFont="1" applyBorder="1" applyAlignment="1">
      <alignment vertical="center"/>
    </xf>
    <xf numFmtId="0" fontId="0" fillId="0" borderId="89" xfId="0" applyBorder="1" applyAlignment="1">
      <alignment vertical="center"/>
    </xf>
    <xf numFmtId="0" fontId="0" fillId="0" borderId="89" xfId="0" applyFill="1" applyBorder="1" applyAlignment="1">
      <alignment horizontal="center" vertical="center"/>
    </xf>
    <xf numFmtId="0" fontId="0" fillId="0" borderId="60" xfId="0" applyFill="1" applyBorder="1" applyAlignment="1">
      <alignment horizontal="center" vertical="center"/>
    </xf>
    <xf numFmtId="0" fontId="0" fillId="0" borderId="18" xfId="0" applyFill="1" applyBorder="1" applyAlignment="1">
      <alignment horizontal="center" vertical="center"/>
    </xf>
    <xf numFmtId="0" fontId="0" fillId="21" borderId="0" xfId="0" applyFill="1" applyAlignment="1">
      <alignment vertical="center"/>
    </xf>
    <xf numFmtId="0" fontId="0" fillId="21" borderId="17" xfId="0" applyFill="1" applyBorder="1" applyAlignment="1">
      <alignment vertical="center"/>
    </xf>
    <xf numFmtId="0" fontId="0" fillId="21" borderId="87" xfId="0" applyFill="1" applyBorder="1" applyAlignment="1">
      <alignment vertical="center"/>
    </xf>
    <xf numFmtId="0" fontId="0" fillId="21" borderId="81" xfId="0" applyFill="1" applyBorder="1" applyAlignment="1">
      <alignment vertical="center"/>
    </xf>
    <xf numFmtId="0" fontId="0" fillId="21" borderId="90" xfId="0" applyFill="1" applyBorder="1" applyAlignment="1">
      <alignment vertical="center"/>
    </xf>
    <xf numFmtId="0" fontId="5" fillId="0" borderId="0" xfId="0" applyFont="1" applyBorder="1" applyAlignment="1">
      <alignment vertical="center"/>
    </xf>
    <xf numFmtId="38" fontId="12" fillId="6" borderId="0" xfId="0" applyNumberFormat="1" applyFont="1" applyFill="1" applyBorder="1" applyAlignment="1">
      <alignment horizontal="center" vertical="center"/>
    </xf>
    <xf numFmtId="0" fontId="3" fillId="0" borderId="0" xfId="0" applyFont="1" applyBorder="1" applyAlignment="1">
      <alignment vertical="center"/>
    </xf>
    <xf numFmtId="0" fontId="7" fillId="0" borderId="0" xfId="2" applyFont="1"/>
    <xf numFmtId="0" fontId="48" fillId="0" borderId="0" xfId="2" applyFont="1" applyAlignment="1">
      <alignment horizontal="right"/>
    </xf>
    <xf numFmtId="0" fontId="7" fillId="0" borderId="0" xfId="2" applyFont="1" applyBorder="1"/>
    <xf numFmtId="0" fontId="7" fillId="0" borderId="0" xfId="2" applyFont="1" applyBorder="1" applyAlignment="1">
      <alignment horizontal="center" wrapText="1"/>
    </xf>
    <xf numFmtId="0" fontId="7" fillId="0" borderId="0" xfId="2" applyFont="1" applyBorder="1" applyAlignment="1">
      <alignment horizontal="center" vertical="center"/>
    </xf>
    <xf numFmtId="0" fontId="7" fillId="0" borderId="0" xfId="2" applyFont="1" applyBorder="1" applyAlignment="1">
      <alignment horizontal="right" vertical="center"/>
    </xf>
    <xf numFmtId="0" fontId="7" fillId="0" borderId="0" xfId="2" applyFont="1" applyBorder="1" applyAlignment="1">
      <alignment horizontal="left" vertical="center"/>
    </xf>
    <xf numFmtId="9" fontId="7" fillId="0" borderId="0" xfId="2" applyNumberFormat="1" applyFont="1" applyBorder="1" applyAlignment="1">
      <alignment horizontal="center" vertical="center"/>
    </xf>
    <xf numFmtId="10" fontId="7" fillId="0" borderId="0" xfId="2" applyNumberFormat="1" applyFont="1" applyBorder="1" applyAlignment="1">
      <alignment horizontal="center" vertical="center"/>
    </xf>
    <xf numFmtId="0" fontId="7" fillId="0" borderId="0" xfId="2" applyFont="1" applyBorder="1" applyAlignment="1">
      <alignment horizontal="center" vertical="center" wrapText="1"/>
    </xf>
    <xf numFmtId="0" fontId="79" fillId="0" borderId="0" xfId="2" applyFont="1" applyBorder="1" applyAlignment="1">
      <alignment horizontal="right" vertical="center"/>
    </xf>
    <xf numFmtId="0" fontId="113" fillId="0" borderId="0" xfId="2" applyFont="1" applyBorder="1" applyAlignment="1">
      <alignment horizontal="left" vertical="center" wrapText="1"/>
    </xf>
    <xf numFmtId="0" fontId="79" fillId="0" borderId="0" xfId="2" applyFont="1" applyBorder="1" applyAlignment="1">
      <alignment horizontal="right" wrapText="1"/>
    </xf>
    <xf numFmtId="0" fontId="79" fillId="0" borderId="0" xfId="2" applyFont="1" applyBorder="1" applyAlignment="1">
      <alignment horizontal="left" vertical="center" wrapText="1"/>
    </xf>
    <xf numFmtId="0" fontId="79" fillId="0" borderId="0" xfId="2" quotePrefix="1" applyFont="1" applyBorder="1" applyAlignment="1">
      <alignment horizontal="left" vertical="center" wrapText="1"/>
    </xf>
    <xf numFmtId="0" fontId="7" fillId="0" borderId="0" xfId="2" applyFont="1" applyBorder="1" applyAlignment="1">
      <alignment horizontal="left" vertical="center" wrapText="1"/>
    </xf>
    <xf numFmtId="0" fontId="81" fillId="0" borderId="0" xfId="2" applyFont="1" applyBorder="1" applyAlignment="1">
      <alignment horizontal="center" wrapText="1"/>
    </xf>
    <xf numFmtId="0" fontId="81" fillId="0" borderId="0" xfId="2" applyFont="1" applyAlignment="1">
      <alignment horizontal="left"/>
    </xf>
    <xf numFmtId="0" fontId="107" fillId="0" borderId="0" xfId="2" applyFont="1" applyBorder="1"/>
    <xf numFmtId="175" fontId="7" fillId="0" borderId="0" xfId="2" applyNumberFormat="1"/>
    <xf numFmtId="0" fontId="5" fillId="0" borderId="0" xfId="0" applyFont="1"/>
    <xf numFmtId="0" fontId="61" fillId="0" borderId="0" xfId="2" applyFont="1" applyFill="1" applyAlignment="1">
      <alignment horizontal="center" vertical="center"/>
    </xf>
    <xf numFmtId="38" fontId="2" fillId="0" borderId="72" xfId="0" applyNumberFormat="1" applyFont="1" applyBorder="1" applyAlignment="1" applyProtection="1">
      <alignment horizontal="center" vertical="center"/>
    </xf>
    <xf numFmtId="38" fontId="0" fillId="0" borderId="17" xfId="0" applyNumberFormat="1" applyBorder="1" applyAlignment="1" applyProtection="1">
      <alignment horizontal="center" vertical="center"/>
    </xf>
    <xf numFmtId="38" fontId="0" fillId="0" borderId="18" xfId="0" applyNumberFormat="1" applyBorder="1" applyAlignment="1" applyProtection="1">
      <alignment horizontal="center" vertical="center"/>
    </xf>
    <xf numFmtId="0" fontId="40" fillId="0" borderId="0" xfId="2" applyFont="1" applyFill="1" applyAlignment="1">
      <alignment horizontal="left" indent="1"/>
    </xf>
    <xf numFmtId="0" fontId="35" fillId="0" borderId="0" xfId="2" applyFont="1" applyFill="1"/>
    <xf numFmtId="0" fontId="7" fillId="0" borderId="0" xfId="2" quotePrefix="1" applyFont="1"/>
    <xf numFmtId="44" fontId="7" fillId="0" borderId="0" xfId="1" applyFont="1"/>
    <xf numFmtId="0" fontId="114" fillId="0" borderId="0" xfId="2" applyFont="1"/>
    <xf numFmtId="0" fontId="85" fillId="0" borderId="0" xfId="2" quotePrefix="1" applyFont="1" applyAlignment="1"/>
    <xf numFmtId="174" fontId="78" fillId="0" borderId="0" xfId="2" applyNumberFormat="1" applyFont="1" applyAlignment="1"/>
    <xf numFmtId="40" fontId="39" fillId="0" borderId="26" xfId="2" applyNumberFormat="1" applyFont="1" applyFill="1" applyBorder="1" applyProtection="1">
      <protection locked="0"/>
    </xf>
    <xf numFmtId="0" fontId="52" fillId="0" borderId="0" xfId="2" applyFont="1" applyBorder="1"/>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9" fontId="12" fillId="6" borderId="17" xfId="4" applyFont="1" applyFill="1" applyBorder="1" applyAlignment="1">
      <alignment horizontal="center" vertical="center"/>
    </xf>
    <xf numFmtId="0" fontId="0" fillId="0" borderId="0" xfId="0" applyBorder="1" applyAlignment="1" applyProtection="1">
      <alignment horizontal="left" vertical="center"/>
    </xf>
    <xf numFmtId="0" fontId="0" fillId="3" borderId="15" xfId="0" applyFill="1" applyBorder="1" applyAlignment="1">
      <alignment horizontal="left" vertical="center"/>
    </xf>
    <xf numFmtId="0" fontId="0" fillId="3" borderId="15" xfId="0" applyFill="1" applyBorder="1" applyAlignment="1" applyProtection="1">
      <alignment horizontal="left" vertical="center"/>
    </xf>
    <xf numFmtId="0" fontId="0" fillId="3" borderId="12" xfId="0" applyFill="1" applyBorder="1" applyAlignment="1" applyProtection="1">
      <alignment vertical="center"/>
    </xf>
    <xf numFmtId="0" fontId="0" fillId="3" borderId="50" xfId="0" applyFill="1" applyBorder="1" applyAlignment="1" applyProtection="1">
      <alignment horizontal="left" vertical="center"/>
    </xf>
    <xf numFmtId="0" fontId="0" fillId="3" borderId="28" xfId="0" applyFill="1" applyBorder="1" applyAlignment="1" applyProtection="1">
      <alignment horizontal="left" vertical="center"/>
    </xf>
    <xf numFmtId="164" fontId="0" fillId="0" borderId="50" xfId="4" applyNumberFormat="1" applyFont="1" applyFill="1" applyBorder="1" applyAlignment="1" applyProtection="1">
      <alignment horizontal="center" vertical="center"/>
    </xf>
    <xf numFmtId="0" fontId="0" fillId="0" borderId="12" xfId="0" applyBorder="1" applyAlignment="1" applyProtection="1">
      <alignment horizontal="center" vertical="center" wrapText="1"/>
    </xf>
    <xf numFmtId="9" fontId="0" fillId="0" borderId="95" xfId="4" applyFont="1" applyBorder="1" applyAlignment="1" applyProtection="1">
      <alignment horizontal="center" vertical="center" wrapText="1"/>
    </xf>
    <xf numFmtId="1" fontId="0" fillId="0" borderId="23" xfId="0" applyNumberFormat="1" applyFill="1" applyBorder="1" applyAlignment="1" applyProtection="1">
      <alignment horizontal="center" vertical="center"/>
    </xf>
    <xf numFmtId="0" fontId="0" fillId="0" borderId="42" xfId="0" applyBorder="1" applyAlignment="1" applyProtection="1">
      <alignment horizontal="center" vertical="center" wrapText="1"/>
    </xf>
    <xf numFmtId="1" fontId="0" fillId="0" borderId="96" xfId="0" applyNumberFormat="1" applyFill="1" applyBorder="1" applyAlignment="1" applyProtection="1">
      <alignment horizontal="center" vertical="center"/>
    </xf>
    <xf numFmtId="0" fontId="0" fillId="0" borderId="97" xfId="0" applyBorder="1" applyAlignment="1" applyProtection="1">
      <alignment horizontal="center" vertical="center" wrapText="1"/>
    </xf>
    <xf numFmtId="0" fontId="0" fillId="0" borderId="100" xfId="0" applyBorder="1" applyAlignment="1" applyProtection="1">
      <alignment horizontal="center" wrapText="1"/>
    </xf>
    <xf numFmtId="9" fontId="0" fillId="0" borderId="20" xfId="4" applyFont="1" applyBorder="1" applyAlignment="1" applyProtection="1">
      <alignment horizontal="center" vertical="center"/>
    </xf>
    <xf numFmtId="9" fontId="0" fillId="0" borderId="21" xfId="4" applyFont="1" applyBorder="1" applyAlignment="1" applyProtection="1">
      <alignment horizontal="center" vertical="center"/>
    </xf>
    <xf numFmtId="9" fontId="0" fillId="0" borderId="105" xfId="4" applyFont="1" applyBorder="1" applyAlignment="1" applyProtection="1">
      <alignment horizontal="center" vertical="center"/>
    </xf>
    <xf numFmtId="9" fontId="0" fillId="0" borderId="39" xfId="4" applyFont="1" applyBorder="1" applyAlignment="1" applyProtection="1">
      <alignment horizontal="center" vertical="center" wrapText="1"/>
    </xf>
    <xf numFmtId="9" fontId="0" fillId="0" borderId="109" xfId="4" applyFont="1" applyBorder="1" applyAlignment="1" applyProtection="1">
      <alignment horizontal="center" vertical="center"/>
    </xf>
    <xf numFmtId="1" fontId="0" fillId="0" borderId="110" xfId="0" applyNumberFormat="1" applyFill="1" applyBorder="1" applyAlignment="1" applyProtection="1">
      <alignment horizontal="center" vertical="center"/>
    </xf>
    <xf numFmtId="0" fontId="0" fillId="3" borderId="93" xfId="0" applyFill="1" applyBorder="1" applyAlignment="1" applyProtection="1">
      <alignment horizontal="left" vertical="center"/>
    </xf>
    <xf numFmtId="9" fontId="0" fillId="0" borderId="97" xfId="4" applyFont="1" applyBorder="1" applyAlignment="1" applyProtection="1">
      <alignment horizontal="center" vertical="center"/>
    </xf>
    <xf numFmtId="1" fontId="0" fillId="0" borderId="111" xfId="0" applyNumberFormat="1" applyFont="1" applyFill="1" applyBorder="1" applyAlignment="1" applyProtection="1">
      <alignment horizontal="center" vertical="center"/>
    </xf>
    <xf numFmtId="0" fontId="0" fillId="3" borderId="114" xfId="0" applyFill="1" applyBorder="1" applyAlignment="1" applyProtection="1">
      <alignment horizontal="left" vertical="center"/>
    </xf>
    <xf numFmtId="9" fontId="0" fillId="0" borderId="115" xfId="4" applyFont="1" applyBorder="1" applyAlignment="1" applyProtection="1">
      <alignment horizontal="center" vertical="center" wrapText="1"/>
    </xf>
    <xf numFmtId="0" fontId="0" fillId="0" borderId="116" xfId="0" applyBorder="1" applyAlignment="1" applyProtection="1">
      <alignment horizontal="center" wrapText="1"/>
    </xf>
    <xf numFmtId="1" fontId="0" fillId="0" borderId="102" xfId="0" applyNumberFormat="1" applyFont="1" applyFill="1" applyBorder="1" applyAlignment="1" applyProtection="1">
      <alignment horizontal="center" vertical="center"/>
    </xf>
    <xf numFmtId="1" fontId="0" fillId="0" borderId="103" xfId="0" applyNumberFormat="1" applyFont="1" applyFill="1" applyBorder="1" applyAlignment="1" applyProtection="1">
      <alignment horizontal="center" vertical="center"/>
    </xf>
    <xf numFmtId="1" fontId="0" fillId="17" borderId="102" xfId="0" applyNumberFormat="1" applyFont="1" applyFill="1" applyBorder="1" applyAlignment="1" applyProtection="1">
      <alignment horizontal="center" vertical="center"/>
    </xf>
    <xf numFmtId="9" fontId="111" fillId="0" borderId="20" xfId="4" applyFont="1" applyBorder="1" applyAlignment="1" applyProtection="1">
      <alignment horizontal="center" vertical="center"/>
    </xf>
    <xf numFmtId="1" fontId="0" fillId="17" borderId="103" xfId="0" applyNumberFormat="1" applyFont="1" applyFill="1" applyBorder="1" applyAlignment="1" applyProtection="1">
      <alignment horizontal="center" vertical="center"/>
    </xf>
    <xf numFmtId="9" fontId="111" fillId="0" borderId="21" xfId="4" applyFont="1" applyBorder="1" applyAlignment="1" applyProtection="1">
      <alignment horizontal="center" vertical="center"/>
    </xf>
    <xf numFmtId="38" fontId="0" fillId="0" borderId="10" xfId="4" applyNumberFormat="1" applyFont="1" applyBorder="1" applyAlignment="1">
      <alignment horizontal="center" vertical="center" wrapText="1"/>
    </xf>
    <xf numFmtId="1" fontId="0" fillId="0" borderId="118" xfId="0" applyNumberFormat="1" applyFont="1" applyFill="1" applyBorder="1" applyAlignment="1" applyProtection="1">
      <alignment horizontal="center" vertical="center"/>
    </xf>
    <xf numFmtId="38" fontId="0" fillId="0" borderId="42" xfId="4" applyNumberFormat="1" applyFont="1" applyBorder="1" applyAlignment="1" applyProtection="1">
      <alignment horizontal="center" vertical="center" wrapText="1"/>
    </xf>
    <xf numFmtId="0" fontId="0" fillId="3" borderId="117" xfId="0" applyFill="1" applyBorder="1" applyAlignment="1">
      <alignment horizontal="left" vertical="center"/>
    </xf>
    <xf numFmtId="9" fontId="0" fillId="0" borderId="21"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57" xfId="0" applyBorder="1"/>
    <xf numFmtId="0" fontId="29" fillId="0" borderId="0" xfId="2" applyFont="1" applyFill="1" applyAlignment="1">
      <alignment horizontal="left" vertical="center" wrapText="1"/>
    </xf>
    <xf numFmtId="0" fontId="0" fillId="0" borderId="0" xfId="4" applyNumberFormat="1" applyFont="1" applyAlignment="1">
      <alignment vertical="top" wrapText="1"/>
    </xf>
    <xf numFmtId="0" fontId="4" fillId="0" borderId="17" xfId="0" applyFont="1" applyBorder="1"/>
    <xf numFmtId="0" fontId="4" fillId="0" borderId="18" xfId="0" applyFont="1" applyBorder="1"/>
    <xf numFmtId="0" fontId="0" fillId="0" borderId="18" xfId="0" applyFill="1" applyBorder="1" applyAlignment="1">
      <alignment vertical="center"/>
    </xf>
    <xf numFmtId="0" fontId="0" fillId="0" borderId="18" xfId="0" applyFill="1" applyBorder="1"/>
    <xf numFmtId="0" fontId="0" fillId="0" borderId="18" xfId="0" applyBorder="1"/>
    <xf numFmtId="9" fontId="12" fillId="6" borderId="0" xfId="4" applyFont="1" applyFill="1" applyBorder="1" applyAlignment="1">
      <alignment horizontal="center" vertical="center"/>
    </xf>
    <xf numFmtId="0" fontId="58" fillId="0" borderId="17" xfId="0" applyFont="1" applyBorder="1" applyAlignment="1">
      <alignment vertical="center"/>
    </xf>
    <xf numFmtId="9" fontId="12" fillId="6" borderId="89" xfId="4" applyFont="1" applyFill="1" applyBorder="1" applyAlignment="1">
      <alignment horizontal="center" vertical="center"/>
    </xf>
    <xf numFmtId="0" fontId="58" fillId="0" borderId="87" xfId="0" applyFont="1" applyFill="1" applyBorder="1"/>
    <xf numFmtId="0" fontId="58" fillId="0" borderId="18" xfId="0" applyFont="1" applyBorder="1" applyAlignment="1">
      <alignment vertical="center"/>
    </xf>
    <xf numFmtId="0" fontId="58" fillId="0" borderId="18" xfId="0" applyFont="1" applyFill="1" applyBorder="1"/>
    <xf numFmtId="9" fontId="12" fillId="6" borderId="57" xfId="4" applyFont="1" applyFill="1" applyBorder="1" applyAlignment="1">
      <alignment horizontal="center" vertical="center"/>
    </xf>
    <xf numFmtId="0" fontId="0" fillId="0" borderId="88" xfId="0" applyBorder="1"/>
    <xf numFmtId="0" fontId="58" fillId="0" borderId="17" xfId="0" applyFont="1" applyFill="1" applyBorder="1"/>
    <xf numFmtId="0" fontId="0" fillId="0" borderId="89" xfId="0" applyBorder="1"/>
    <xf numFmtId="0" fontId="4" fillId="0" borderId="0" xfId="0" applyFont="1" applyBorder="1" applyAlignment="1" applyProtection="1">
      <alignment vertical="top"/>
    </xf>
    <xf numFmtId="0" fontId="0" fillId="0" borderId="0" xfId="0" applyFill="1" applyAlignment="1">
      <alignment vertical="top" wrapText="1"/>
    </xf>
    <xf numFmtId="0" fontId="0" fillId="0" borderId="99" xfId="0" applyBorder="1" applyAlignment="1" applyProtection="1">
      <alignment horizontal="center" wrapText="1"/>
    </xf>
    <xf numFmtId="0" fontId="0" fillId="0" borderId="94" xfId="0" applyBorder="1" applyAlignment="1" applyProtection="1">
      <alignment horizontal="center" wrapText="1"/>
    </xf>
    <xf numFmtId="0" fontId="0" fillId="0" borderId="94" xfId="0" applyBorder="1" applyAlignment="1" applyProtection="1">
      <alignment horizontal="center"/>
    </xf>
    <xf numFmtId="0" fontId="116" fillId="0" borderId="0" xfId="0" applyFont="1"/>
    <xf numFmtId="0" fontId="42" fillId="0" borderId="0" xfId="2" applyFont="1" applyFill="1" applyAlignment="1">
      <alignment horizontal="right"/>
    </xf>
    <xf numFmtId="0" fontId="42" fillId="0" borderId="0" xfId="2" applyFont="1" applyFill="1"/>
    <xf numFmtId="0" fontId="0" fillId="8" borderId="0" xfId="0" applyFill="1" applyBorder="1" applyProtection="1"/>
    <xf numFmtId="9" fontId="0" fillId="0" borderId="42" xfId="4" applyFont="1" applyBorder="1" applyAlignment="1" applyProtection="1">
      <alignment horizontal="center" vertical="center" wrapText="1"/>
    </xf>
    <xf numFmtId="172" fontId="12" fillId="2" borderId="8" xfId="0" applyNumberFormat="1" applyFont="1" applyFill="1" applyBorder="1" applyAlignment="1" applyProtection="1">
      <alignment vertical="center"/>
      <protection locked="0"/>
    </xf>
    <xf numFmtId="172" fontId="12" fillId="2" borderId="1" xfId="0" applyNumberFormat="1" applyFont="1" applyFill="1" applyBorder="1" applyAlignment="1" applyProtection="1">
      <alignment vertical="center"/>
      <protection locked="0"/>
    </xf>
    <xf numFmtId="0" fontId="12" fillId="0" borderId="0" xfId="0" applyFont="1" applyFill="1" applyBorder="1" applyAlignment="1">
      <alignment horizontal="center" vertical="center"/>
    </xf>
    <xf numFmtId="0" fontId="4" fillId="0" borderId="0" xfId="0" applyFont="1" applyFill="1" applyBorder="1" applyAlignment="1">
      <alignment horizontal="center" vertical="center"/>
    </xf>
    <xf numFmtId="184" fontId="4" fillId="0" borderId="0" xfId="4" applyNumberFormat="1" applyFont="1" applyFill="1" applyBorder="1" applyAlignment="1">
      <alignment horizontal="center" vertical="center"/>
    </xf>
    <xf numFmtId="0" fontId="0" fillId="0" borderId="0" xfId="0" applyFill="1" applyAlignment="1">
      <alignment horizontal="right" vertical="center"/>
    </xf>
    <xf numFmtId="0" fontId="0" fillId="0" borderId="0" xfId="0" applyFont="1" applyFill="1" applyAlignment="1">
      <alignment horizontal="right" vertical="center"/>
    </xf>
    <xf numFmtId="40" fontId="40" fillId="0" borderId="0" xfId="2" applyNumberFormat="1" applyFont="1" applyFill="1" applyAlignment="1">
      <alignment horizontal="right"/>
    </xf>
    <xf numFmtId="0" fontId="7" fillId="0" borderId="0" xfId="2" applyFont="1" applyFill="1" applyBorder="1"/>
    <xf numFmtId="0" fontId="7" fillId="0" borderId="0" xfId="2" applyFont="1" applyFill="1" applyBorder="1" applyAlignment="1">
      <alignment horizontal="center" vertical="center" wrapText="1"/>
    </xf>
    <xf numFmtId="0" fontId="7" fillId="0" borderId="0" xfId="2" applyFont="1" applyFill="1"/>
    <xf numFmtId="0" fontId="34" fillId="0" borderId="0" xfId="2" applyFont="1" applyFill="1"/>
    <xf numFmtId="40" fontId="40" fillId="0" borderId="0" xfId="2" applyNumberFormat="1" applyFont="1" applyFill="1"/>
    <xf numFmtId="40" fontId="28" fillId="0" borderId="2" xfId="2" applyNumberFormat="1" applyFont="1" applyFill="1" applyBorder="1"/>
    <xf numFmtId="40" fontId="40" fillId="0" borderId="28" xfId="2" applyNumberFormat="1" applyFont="1" applyFill="1" applyBorder="1"/>
    <xf numFmtId="40" fontId="28" fillId="0" borderId="0" xfId="2" applyNumberFormat="1" applyFont="1" applyFill="1"/>
    <xf numFmtId="40" fontId="40" fillId="0" borderId="25" xfId="2" applyNumberFormat="1" applyFont="1" applyFill="1" applyBorder="1"/>
    <xf numFmtId="40" fontId="38" fillId="0" borderId="0" xfId="2" applyNumberFormat="1" applyFont="1" applyFill="1"/>
    <xf numFmtId="40" fontId="7" fillId="0" borderId="0" xfId="2" applyNumberFormat="1" applyFill="1"/>
    <xf numFmtId="40" fontId="7" fillId="0" borderId="24" xfId="2" applyNumberFormat="1" applyFill="1" applyBorder="1"/>
    <xf numFmtId="40" fontId="35" fillId="0" borderId="0" xfId="2" applyNumberFormat="1" applyFont="1" applyFill="1"/>
    <xf numFmtId="0" fontId="28" fillId="0" borderId="2" xfId="2" applyFont="1" applyFill="1" applyBorder="1"/>
    <xf numFmtId="40" fontId="32" fillId="0" borderId="0" xfId="2" applyNumberFormat="1" applyFont="1" applyFill="1" applyAlignment="1">
      <alignment horizontal="center"/>
    </xf>
    <xf numFmtId="40" fontId="44" fillId="0" borderId="0" xfId="2" applyNumberFormat="1" applyFont="1" applyFill="1"/>
    <xf numFmtId="40" fontId="44" fillId="0" borderId="2" xfId="2" applyNumberFormat="1" applyFont="1" applyFill="1" applyBorder="1"/>
    <xf numFmtId="40" fontId="45" fillId="0" borderId="0" xfId="2" applyNumberFormat="1" applyFont="1" applyFill="1"/>
    <xf numFmtId="40" fontId="43" fillId="0" borderId="0" xfId="2" applyNumberFormat="1" applyFont="1" applyFill="1"/>
    <xf numFmtId="40" fontId="46" fillId="0" borderId="0" xfId="2" applyNumberFormat="1" applyFont="1" applyFill="1"/>
    <xf numFmtId="40" fontId="40" fillId="0" borderId="2" xfId="2" applyNumberFormat="1" applyFont="1" applyFill="1" applyBorder="1"/>
    <xf numFmtId="40" fontId="39" fillId="0" borderId="0" xfId="2" applyNumberFormat="1" applyFont="1" applyFill="1"/>
    <xf numFmtId="40" fontId="34" fillId="0" borderId="0" xfId="2" applyNumberFormat="1" applyFont="1" applyFill="1"/>
    <xf numFmtId="0" fontId="40" fillId="0" borderId="0" xfId="2" applyFont="1" applyFill="1" applyAlignment="1">
      <alignment horizontal="right"/>
    </xf>
    <xf numFmtId="0" fontId="2" fillId="8" borderId="0" xfId="0" applyFont="1" applyFill="1" applyBorder="1" applyAlignment="1" applyProtection="1">
      <alignment vertical="top"/>
    </xf>
    <xf numFmtId="0" fontId="2" fillId="8" borderId="0" xfId="0" applyFont="1" applyFill="1" applyBorder="1" applyAlignment="1" applyProtection="1">
      <alignment horizontal="right" vertical="center"/>
    </xf>
    <xf numFmtId="0" fontId="0" fillId="0" borderId="17" xfId="0" applyBorder="1" applyAlignment="1">
      <alignment horizontal="right" vertical="center"/>
    </xf>
    <xf numFmtId="0" fontId="0" fillId="0" borderId="17" xfId="0" applyNumberFormat="1" applyFill="1" applyBorder="1" applyAlignment="1">
      <alignment horizontal="right" vertical="center"/>
    </xf>
    <xf numFmtId="0" fontId="0" fillId="0" borderId="17" xfId="0" quotePrefix="1" applyFill="1" applyBorder="1" applyAlignment="1">
      <alignment horizontal="center" vertical="center"/>
    </xf>
    <xf numFmtId="187" fontId="0" fillId="0" borderId="18" xfId="4" applyNumberFormat="1" applyFont="1" applyBorder="1" applyAlignment="1">
      <alignment horizontal="center" vertical="center"/>
    </xf>
    <xf numFmtId="1" fontId="0" fillId="0" borderId="18" xfId="0" applyNumberFormat="1" applyFill="1" applyBorder="1" applyAlignment="1">
      <alignment horizontal="center" vertical="center"/>
    </xf>
    <xf numFmtId="1" fontId="0" fillId="0" borderId="80" xfId="0" applyNumberFormat="1" applyFill="1" applyBorder="1" applyAlignment="1">
      <alignment horizontal="center" vertical="center"/>
    </xf>
    <xf numFmtId="1" fontId="0" fillId="0" borderId="17" xfId="0" applyNumberFormat="1" applyFill="1" applyBorder="1" applyAlignment="1">
      <alignment horizontal="center" vertical="center"/>
    </xf>
    <xf numFmtId="0" fontId="0" fillId="0" borderId="0" xfId="0" applyFill="1" applyAlignment="1">
      <alignment wrapText="1"/>
    </xf>
    <xf numFmtId="0" fontId="7" fillId="0" borderId="24" xfId="2" applyFill="1" applyBorder="1" applyAlignment="1"/>
    <xf numFmtId="0" fontId="7" fillId="0" borderId="0" xfId="2" applyFill="1" applyAlignment="1"/>
    <xf numFmtId="0" fontId="0" fillId="10" borderId="0" xfId="0" applyFill="1"/>
    <xf numFmtId="0" fontId="73" fillId="0" borderId="0" xfId="2" applyFont="1" applyFill="1"/>
    <xf numFmtId="0" fontId="0" fillId="0" borderId="0" xfId="0" applyAlignment="1">
      <alignment vertical="top" wrapText="1"/>
    </xf>
    <xf numFmtId="0" fontId="0" fillId="0" borderId="0" xfId="0" applyFill="1" applyAlignment="1">
      <alignment horizontal="left" vertical="center"/>
    </xf>
    <xf numFmtId="1" fontId="0" fillId="0" borderId="104" xfId="0" applyNumberFormat="1" applyBorder="1" applyAlignment="1">
      <alignment horizontal="center" vertical="center"/>
    </xf>
    <xf numFmtId="1" fontId="0" fillId="0" borderId="120" xfId="0" applyNumberFormat="1" applyFont="1" applyFill="1" applyBorder="1" applyAlignment="1" applyProtection="1">
      <alignment horizontal="center" vertical="center"/>
    </xf>
    <xf numFmtId="1" fontId="0" fillId="0" borderId="104" xfId="0" applyNumberFormat="1" applyFont="1" applyFill="1" applyBorder="1" applyAlignment="1" applyProtection="1">
      <alignment horizontal="center" vertical="center"/>
    </xf>
    <xf numFmtId="1" fontId="0" fillId="0" borderId="120" xfId="0" applyNumberFormat="1" applyFill="1" applyBorder="1" applyAlignment="1" applyProtection="1">
      <alignment horizontal="center" vertical="center"/>
    </xf>
    <xf numFmtId="9" fontId="0" fillId="0" borderId="10" xfId="4" applyFont="1" applyBorder="1" applyAlignment="1" applyProtection="1">
      <alignment horizontal="center" vertical="center"/>
    </xf>
    <xf numFmtId="9" fontId="0" fillId="0" borderId="42" xfId="4" applyFont="1" applyBorder="1" applyAlignment="1" applyProtection="1">
      <alignment horizontal="center" vertical="center"/>
    </xf>
    <xf numFmtId="9" fontId="0" fillId="0" borderId="73" xfId="4" applyFont="1" applyBorder="1" applyAlignment="1" applyProtection="1">
      <alignment horizontal="center" vertical="center"/>
    </xf>
    <xf numFmtId="1" fontId="0" fillId="0" borderId="71" xfId="0" applyNumberFormat="1" applyFill="1" applyBorder="1" applyAlignment="1" applyProtection="1">
      <alignment horizontal="center" vertical="center"/>
    </xf>
    <xf numFmtId="0" fontId="0" fillId="3" borderId="116" xfId="0" applyFill="1" applyBorder="1" applyAlignment="1" applyProtection="1">
      <alignment horizontal="left" vertical="center"/>
    </xf>
    <xf numFmtId="0" fontId="0" fillId="3" borderId="59" xfId="0" applyFill="1" applyBorder="1" applyAlignment="1" applyProtection="1">
      <alignment horizontal="left" vertical="center"/>
    </xf>
    <xf numFmtId="0" fontId="0" fillId="3" borderId="113" xfId="0" applyFill="1" applyBorder="1" applyAlignment="1" applyProtection="1">
      <alignment horizontal="left" vertical="center"/>
    </xf>
    <xf numFmtId="0" fontId="38" fillId="0" borderId="0" xfId="2" applyFont="1" applyFill="1" applyBorder="1" applyAlignment="1">
      <alignment horizontal="center"/>
    </xf>
    <xf numFmtId="40" fontId="42" fillId="0" borderId="28" xfId="2" applyNumberFormat="1" applyFont="1" applyFill="1" applyBorder="1"/>
    <xf numFmtId="1" fontId="0" fillId="0" borderId="103" xfId="0" applyNumberFormat="1" applyBorder="1" applyAlignment="1">
      <alignment horizontal="center" vertical="center"/>
    </xf>
    <xf numFmtId="9" fontId="0" fillId="0" borderId="122" xfId="4" applyFont="1" applyBorder="1" applyAlignment="1" applyProtection="1">
      <alignment horizontal="center" vertical="center" wrapText="1"/>
    </xf>
    <xf numFmtId="3" fontId="12" fillId="6" borderId="123" xfId="0" applyNumberFormat="1" applyFont="1" applyFill="1" applyBorder="1" applyAlignment="1" applyProtection="1">
      <alignment horizontal="center" vertical="center" wrapText="1"/>
    </xf>
    <xf numFmtId="38" fontId="4" fillId="0" borderId="0" xfId="0" applyNumberFormat="1" applyFont="1" applyBorder="1" applyAlignment="1" applyProtection="1">
      <alignment horizontal="center" vertical="center"/>
    </xf>
    <xf numFmtId="38" fontId="4" fillId="0" borderId="0" xfId="0" applyNumberFormat="1" applyFont="1" applyFill="1" applyBorder="1" applyAlignment="1" applyProtection="1">
      <alignment horizontal="center" vertical="center"/>
    </xf>
    <xf numFmtId="0" fontId="0" fillId="0" borderId="0" xfId="0" applyBorder="1" applyAlignment="1" applyProtection="1">
      <alignment horizontal="left" vertical="center"/>
    </xf>
    <xf numFmtId="9" fontId="87" fillId="0" borderId="0" xfId="4" quotePrefix="1" applyFont="1" applyAlignment="1">
      <alignment horizontal="right"/>
    </xf>
    <xf numFmtId="175" fontId="87" fillId="0" borderId="0" xfId="2" applyNumberFormat="1" applyFont="1"/>
    <xf numFmtId="0" fontId="2" fillId="0" borderId="7" xfId="0" applyFont="1" applyBorder="1" applyAlignment="1">
      <alignment horizontal="center" wrapText="1"/>
    </xf>
    <xf numFmtId="0" fontId="12" fillId="2" borderId="7" xfId="0" applyFont="1" applyFill="1" applyBorder="1" applyAlignment="1" applyProtection="1">
      <alignment horizontal="center" vertical="center"/>
      <protection locked="0"/>
    </xf>
    <xf numFmtId="0" fontId="2" fillId="0" borderId="0" xfId="0" applyFont="1" applyFill="1" applyBorder="1" applyAlignment="1">
      <alignment horizontal="center" wrapText="1"/>
    </xf>
    <xf numFmtId="175" fontId="87" fillId="0" borderId="0" xfId="2" quotePrefix="1" applyNumberFormat="1" applyFont="1"/>
    <xf numFmtId="0" fontId="4" fillId="0" borderId="0" xfId="0" applyFont="1" applyFill="1" applyBorder="1" applyAlignment="1" applyProtection="1">
      <alignment horizontal="right"/>
    </xf>
    <xf numFmtId="0" fontId="67" fillId="0" borderId="0" xfId="2" applyFont="1" applyFill="1" applyBorder="1"/>
    <xf numFmtId="0" fontId="90" fillId="0" borderId="17" xfId="0" applyFont="1" applyBorder="1" applyAlignment="1">
      <alignment vertical="center"/>
    </xf>
    <xf numFmtId="0" fontId="7" fillId="0" borderId="17" xfId="2" applyFill="1" applyBorder="1"/>
    <xf numFmtId="0" fontId="7" fillId="0" borderId="17" xfId="2" applyBorder="1"/>
    <xf numFmtId="8" fontId="7" fillId="0" borderId="17" xfId="2" applyNumberFormat="1" applyFill="1" applyBorder="1"/>
    <xf numFmtId="0" fontId="7" fillId="0" borderId="17" xfId="2" quotePrefix="1" applyBorder="1"/>
    <xf numFmtId="1" fontId="0" fillId="0" borderId="0" xfId="0" applyNumberFormat="1" applyBorder="1" applyProtection="1"/>
    <xf numFmtId="0" fontId="0" fillId="0" borderId="0" xfId="4" applyNumberFormat="1" applyFont="1" applyAlignment="1">
      <alignment vertical="top"/>
    </xf>
    <xf numFmtId="0" fontId="0" fillId="0" borderId="0" xfId="4" applyNumberFormat="1" applyFont="1" applyAlignment="1"/>
    <xf numFmtId="0" fontId="8" fillId="0" borderId="0" xfId="0" applyFont="1" applyAlignment="1"/>
    <xf numFmtId="0" fontId="0" fillId="0" borderId="0" xfId="0" applyFont="1"/>
    <xf numFmtId="40" fontId="117" fillId="17" borderId="60" xfId="0" applyNumberFormat="1" applyFont="1" applyFill="1" applyBorder="1" applyAlignment="1">
      <alignment horizontal="center" vertical="center"/>
    </xf>
    <xf numFmtId="40" fontId="117" fillId="17" borderId="124" xfId="0" applyNumberFormat="1" applyFont="1" applyFill="1" applyBorder="1" applyAlignment="1">
      <alignment horizontal="center" vertical="center"/>
    </xf>
    <xf numFmtId="0" fontId="58" fillId="0" borderId="17" xfId="0" applyFont="1" applyFill="1" applyBorder="1" applyAlignment="1">
      <alignment vertical="center"/>
    </xf>
    <xf numFmtId="0" fontId="58" fillId="0" borderId="80" xfId="0" applyFont="1" applyFill="1" applyBorder="1" applyAlignment="1">
      <alignment vertical="center"/>
    </xf>
    <xf numFmtId="0" fontId="58" fillId="0" borderId="89" xfId="0" applyFont="1" applyFill="1" applyBorder="1" applyAlignment="1">
      <alignment vertical="center"/>
    </xf>
    <xf numFmtId="0" fontId="58" fillId="0" borderId="0" xfId="0" applyFont="1" applyFill="1" applyBorder="1" applyAlignment="1">
      <alignment vertical="center"/>
    </xf>
    <xf numFmtId="0" fontId="0" fillId="0" borderId="0" xfId="0" applyAlignment="1">
      <alignment horizontal="left" vertical="center"/>
    </xf>
    <xf numFmtId="0" fontId="0" fillId="0" borderId="0" xfId="0" applyBorder="1" applyAlignment="1" applyProtection="1">
      <alignment vertical="top"/>
    </xf>
    <xf numFmtId="0" fontId="0" fillId="0" borderId="60" xfId="0" applyBorder="1"/>
    <xf numFmtId="0" fontId="0" fillId="0" borderId="0" xfId="0" applyAlignment="1">
      <alignment wrapText="1"/>
    </xf>
    <xf numFmtId="0" fontId="0" fillId="0" borderId="0" xfId="0" applyFill="1" applyBorder="1" applyAlignment="1" applyProtection="1">
      <alignment horizontal="right" vertical="center"/>
    </xf>
    <xf numFmtId="0" fontId="0" fillId="0" borderId="109" xfId="0" applyFill="1" applyBorder="1" applyAlignment="1" applyProtection="1">
      <alignment horizontal="center" vertical="center"/>
    </xf>
    <xf numFmtId="6" fontId="0" fillId="0" borderId="109" xfId="0" applyNumberFormat="1" applyBorder="1" applyAlignment="1" applyProtection="1">
      <alignment horizontal="center" vertical="center"/>
    </xf>
    <xf numFmtId="6" fontId="0" fillId="0" borderId="109" xfId="0" applyNumberFormat="1" applyBorder="1" applyAlignment="1" applyProtection="1">
      <alignment horizontal="right" vertical="center" indent="1"/>
    </xf>
    <xf numFmtId="0" fontId="109" fillId="0" borderId="0" xfId="0" applyFont="1" applyFill="1"/>
    <xf numFmtId="0" fontId="4" fillId="0" borderId="0" xfId="4" applyNumberFormat="1" applyFont="1" applyFill="1" applyBorder="1" applyAlignment="1">
      <alignment horizontal="center" vertical="center"/>
    </xf>
    <xf numFmtId="0" fontId="0" fillId="0" borderId="79" xfId="0" applyBorder="1"/>
    <xf numFmtId="0" fontId="4" fillId="0" borderId="0" xfId="0" applyFont="1" applyFill="1" applyAlignment="1">
      <alignment vertical="center"/>
    </xf>
    <xf numFmtId="0" fontId="9" fillId="22" borderId="7" xfId="0" applyFont="1" applyFill="1" applyBorder="1"/>
    <xf numFmtId="0" fontId="6" fillId="0" borderId="6" xfId="0" applyFont="1" applyBorder="1" applyAlignment="1">
      <alignment horizontal="center"/>
    </xf>
    <xf numFmtId="0" fontId="0" fillId="22" borderId="1" xfId="0" applyFill="1" applyBorder="1"/>
    <xf numFmtId="0" fontId="0" fillId="22" borderId="6" xfId="0" applyFill="1" applyBorder="1" applyAlignment="1">
      <alignment horizontal="center"/>
    </xf>
    <xf numFmtId="0" fontId="7" fillId="7" borderId="0" xfId="2" applyFill="1"/>
    <xf numFmtId="0" fontId="0" fillId="0" borderId="0" xfId="0" applyFill="1" applyBorder="1" applyAlignment="1">
      <alignment horizontal="center"/>
    </xf>
    <xf numFmtId="0" fontId="106" fillId="0" borderId="0" xfId="0" applyFont="1" applyAlignment="1">
      <alignment vertical="center"/>
    </xf>
    <xf numFmtId="0" fontId="85" fillId="0" borderId="0" xfId="2" applyFont="1" applyFill="1"/>
    <xf numFmtId="0" fontId="0" fillId="0" borderId="0" xfId="0" applyAlignment="1" applyProtection="1">
      <alignment wrapText="1"/>
    </xf>
    <xf numFmtId="0" fontId="118" fillId="0" borderId="0" xfId="2" applyFont="1" applyAlignment="1">
      <alignment horizontal="center"/>
    </xf>
    <xf numFmtId="0" fontId="34" fillId="0" borderId="0" xfId="2" applyFont="1" applyAlignment="1">
      <alignment horizontal="center" vertical="center"/>
    </xf>
    <xf numFmtId="0" fontId="75" fillId="0" borderId="0" xfId="2" applyFont="1" applyBorder="1" applyAlignment="1">
      <alignment vertical="center" wrapText="1"/>
    </xf>
    <xf numFmtId="8" fontId="7" fillId="0" borderId="0" xfId="2" quotePrefix="1" applyNumberFormat="1" applyBorder="1" applyAlignment="1">
      <alignment horizontal="center"/>
    </xf>
    <xf numFmtId="0" fontId="7" fillId="0" borderId="0" xfId="2" quotePrefix="1" applyBorder="1"/>
    <xf numFmtId="0" fontId="7" fillId="0" borderId="48" xfId="2" applyBorder="1"/>
    <xf numFmtId="0" fontId="7" fillId="0" borderId="0" xfId="2" quotePrefix="1" applyFill="1" applyBorder="1"/>
    <xf numFmtId="0" fontId="51" fillId="0" borderId="0" xfId="2" quotePrefix="1" applyFont="1" applyAlignment="1"/>
    <xf numFmtId="174" fontId="35" fillId="0" borderId="0" xfId="2" applyNumberFormat="1" applyFont="1" applyAlignment="1"/>
    <xf numFmtId="0" fontId="33" fillId="0" borderId="0" xfId="2" applyFont="1" applyBorder="1"/>
    <xf numFmtId="40" fontId="35" fillId="0" borderId="28" xfId="2" applyNumberFormat="1" applyFont="1" applyFill="1" applyBorder="1" applyProtection="1"/>
    <xf numFmtId="0" fontId="119" fillId="0" borderId="0" xfId="0" applyFont="1" applyBorder="1"/>
    <xf numFmtId="0" fontId="120" fillId="0" borderId="0" xfId="0" applyFont="1" applyFill="1" applyBorder="1"/>
    <xf numFmtId="9" fontId="4" fillId="0" borderId="0" xfId="4" applyFont="1" applyFill="1" applyBorder="1" applyAlignment="1">
      <alignment horizontal="center" vertical="center"/>
    </xf>
    <xf numFmtId="0" fontId="0" fillId="0" borderId="18" xfId="0" quotePrefix="1" applyFill="1" applyBorder="1" applyAlignment="1">
      <alignment horizontal="center" vertical="center"/>
    </xf>
    <xf numFmtId="187" fontId="0" fillId="0" borderId="80" xfId="4" applyNumberFormat="1" applyFont="1" applyFill="1" applyBorder="1" applyAlignment="1">
      <alignment horizontal="center" vertical="center"/>
    </xf>
    <xf numFmtId="0" fontId="0" fillId="0" borderId="0" xfId="0" applyFill="1" applyBorder="1" applyAlignment="1" applyProtection="1">
      <alignment horizontal="right"/>
    </xf>
    <xf numFmtId="0" fontId="58" fillId="0" borderId="57" xfId="0" applyFont="1" applyFill="1" applyBorder="1" applyAlignment="1">
      <alignment vertical="center"/>
    </xf>
    <xf numFmtId="0" fontId="58" fillId="0" borderId="57" xfId="0" applyFont="1" applyFill="1" applyBorder="1"/>
    <xf numFmtId="0" fontId="0" fillId="0" borderId="57" xfId="0" applyFill="1" applyBorder="1" applyAlignment="1">
      <alignment horizontal="center" vertical="center"/>
    </xf>
    <xf numFmtId="0" fontId="58" fillId="0" borderId="80" xfId="0" applyFont="1" applyBorder="1"/>
    <xf numFmtId="0" fontId="0" fillId="0" borderId="0" xfId="0" quotePrefix="1" applyFill="1" applyBorder="1"/>
    <xf numFmtId="0" fontId="0" fillId="0" borderId="0" xfId="0" applyBorder="1" applyAlignment="1">
      <alignment horizontal="center" vertical="center"/>
    </xf>
    <xf numFmtId="9" fontId="0" fillId="0" borderId="0" xfId="0" applyNumberFormat="1" applyBorder="1" applyAlignment="1">
      <alignment horizontal="center" vertical="center"/>
    </xf>
    <xf numFmtId="187" fontId="0" fillId="0" borderId="0" xfId="4" applyNumberFormat="1" applyFont="1" applyFill="1" applyBorder="1" applyAlignment="1">
      <alignment horizontal="center" vertical="center"/>
    </xf>
    <xf numFmtId="0" fontId="0" fillId="0" borderId="80" xfId="0" quotePrefix="1" applyFill="1" applyBorder="1"/>
    <xf numFmtId="9" fontId="0" fillId="0" borderId="80" xfId="0" applyNumberFormat="1" applyBorder="1" applyAlignment="1">
      <alignment horizontal="center" vertical="center"/>
    </xf>
    <xf numFmtId="183" fontId="12" fillId="6" borderId="87" xfId="0" applyNumberFormat="1" applyFont="1" applyFill="1" applyBorder="1" applyAlignment="1">
      <alignment horizontal="center" vertical="center"/>
    </xf>
    <xf numFmtId="0" fontId="12" fillId="6" borderId="0" xfId="0" applyFont="1" applyFill="1" applyBorder="1" applyAlignment="1">
      <alignment horizontal="center" vertical="center"/>
    </xf>
    <xf numFmtId="9" fontId="12" fillId="6" borderId="87" xfId="0" applyNumberFormat="1" applyFont="1" applyFill="1" applyBorder="1" applyAlignment="1">
      <alignment horizontal="center" vertical="center"/>
    </xf>
    <xf numFmtId="0" fontId="12" fillId="6" borderId="80" xfId="0" applyFont="1" applyFill="1" applyBorder="1" applyAlignment="1">
      <alignment horizontal="center" vertical="center"/>
    </xf>
    <xf numFmtId="0" fontId="4" fillId="0" borderId="0" xfId="0" applyFont="1" applyAlignment="1">
      <alignment vertical="center"/>
    </xf>
    <xf numFmtId="38" fontId="12"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0" fillId="0" borderId="0" xfId="0" applyFill="1" applyAlignment="1">
      <alignment vertical="center"/>
    </xf>
    <xf numFmtId="0" fontId="0" fillId="0" borderId="0" xfId="0" applyAlignment="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horizontal="left" vertical="top"/>
    </xf>
    <xf numFmtId="0" fontId="2" fillId="0" borderId="7" xfId="0" applyFont="1" applyBorder="1" applyAlignment="1" applyProtection="1">
      <alignment horizontal="left" vertical="center" wrapText="1"/>
    </xf>
    <xf numFmtId="0" fontId="12" fillId="2" borderId="7" xfId="0" applyFont="1" applyFill="1" applyBorder="1" applyAlignment="1" applyProtection="1">
      <alignment horizontal="center" vertical="center" wrapText="1"/>
      <protection locked="0"/>
    </xf>
    <xf numFmtId="38" fontId="0" fillId="0" borderId="0" xfId="0" applyNumberFormat="1" applyAlignment="1">
      <alignment horizontal="center" vertical="center"/>
    </xf>
    <xf numFmtId="0" fontId="121" fillId="0" borderId="0"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vertical="center"/>
    </xf>
    <xf numFmtId="0" fontId="0" fillId="0" borderId="17" xfId="0" applyBorder="1" applyAlignment="1" applyProtection="1">
      <alignment horizontal="left" vertical="center"/>
    </xf>
    <xf numFmtId="8" fontId="12" fillId="6" borderId="0" xfId="0" applyNumberFormat="1" applyFont="1" applyFill="1" applyBorder="1" applyAlignment="1">
      <alignment horizontal="right" vertical="center"/>
    </xf>
    <xf numFmtId="0" fontId="0" fillId="0" borderId="8" xfId="0" applyBorder="1"/>
    <xf numFmtId="8" fontId="12" fillId="6" borderId="8" xfId="0" applyNumberFormat="1" applyFont="1" applyFill="1" applyBorder="1" applyAlignment="1">
      <alignment horizontal="right" vertical="center"/>
    </xf>
    <xf numFmtId="0" fontId="0" fillId="0" borderId="8" xfId="0" applyBorder="1" applyAlignment="1">
      <alignment horizontal="center"/>
    </xf>
    <xf numFmtId="0" fontId="5" fillId="0" borderId="0" xfId="0" applyFont="1" applyAlignment="1">
      <alignment horizontal="right"/>
    </xf>
    <xf numFmtId="0" fontId="12" fillId="6" borderId="17" xfId="0" applyFont="1" applyFill="1" applyBorder="1"/>
    <xf numFmtId="0" fontId="121" fillId="8" borderId="0" xfId="0" quotePrefix="1" applyFont="1" applyFill="1" applyBorder="1" applyAlignment="1" applyProtection="1">
      <alignment vertical="center"/>
    </xf>
    <xf numFmtId="8" fontId="4" fillId="0" borderId="17" xfId="0" applyNumberFormat="1" applyFont="1" applyBorder="1" applyAlignment="1">
      <alignment horizontal="right" vertical="center"/>
    </xf>
    <xf numFmtId="38" fontId="0" fillId="0" borderId="0" xfId="0" applyNumberFormat="1"/>
    <xf numFmtId="0" fontId="4" fillId="0" borderId="0" xfId="0" applyFont="1" applyFill="1" applyAlignment="1" applyProtection="1">
      <alignment vertical="center"/>
    </xf>
    <xf numFmtId="0" fontId="6" fillId="0" borderId="0" xfId="0" applyFont="1" applyAlignment="1">
      <alignment horizontal="left" vertical="top"/>
    </xf>
    <xf numFmtId="8" fontId="0" fillId="0" borderId="0" xfId="0" applyNumberFormat="1" applyAlignment="1" applyProtection="1">
      <alignment horizontal="left" vertical="top"/>
    </xf>
    <xf numFmtId="8" fontId="4" fillId="0" borderId="0" xfId="0" applyNumberFormat="1" applyFont="1" applyBorder="1" applyAlignment="1">
      <alignment horizontal="right" vertical="center"/>
    </xf>
    <xf numFmtId="8" fontId="4" fillId="0" borderId="0" xfId="0" applyNumberFormat="1" applyFont="1" applyFill="1" applyBorder="1" applyAlignment="1">
      <alignment horizontal="right" vertical="center"/>
    </xf>
    <xf numFmtId="0" fontId="0" fillId="7" borderId="48" xfId="0" applyFill="1" applyBorder="1" applyAlignment="1">
      <alignment horizontal="center" vertical="center"/>
    </xf>
    <xf numFmtId="0" fontId="0" fillId="7" borderId="14" xfId="0" applyFill="1" applyBorder="1" applyAlignment="1">
      <alignment horizontal="center" vertical="center"/>
    </xf>
    <xf numFmtId="0" fontId="0" fillId="0" borderId="0" xfId="0" applyAlignment="1">
      <alignment horizontal="right"/>
    </xf>
    <xf numFmtId="0" fontId="0" fillId="0" borderId="17" xfId="0" applyBorder="1" applyAlignment="1">
      <alignment horizontal="left" vertical="center"/>
    </xf>
    <xf numFmtId="190" fontId="0" fillId="0" borderId="1" xfId="0" applyNumberFormat="1" applyBorder="1" applyAlignment="1" applyProtection="1">
      <alignment vertical="center"/>
    </xf>
    <xf numFmtId="49" fontId="0" fillId="0" borderId="0" xfId="0" applyNumberFormat="1"/>
    <xf numFmtId="49" fontId="2" fillId="0" borderId="0" xfId="0" applyNumberFormat="1" applyFont="1" applyAlignment="1">
      <alignment horizontal="left" vertical="top"/>
    </xf>
    <xf numFmtId="6" fontId="0" fillId="0" borderId="28" xfId="0" applyNumberFormat="1" applyBorder="1" applyAlignment="1">
      <alignment vertical="center"/>
    </xf>
    <xf numFmtId="190" fontId="0" fillId="0" borderId="1" xfId="0" applyNumberFormat="1" applyBorder="1" applyAlignment="1">
      <alignment vertical="center"/>
    </xf>
    <xf numFmtId="0" fontId="0" fillId="7" borderId="12" xfId="0" applyFill="1" applyBorder="1" applyAlignment="1">
      <alignment horizontal="center" vertical="center"/>
    </xf>
    <xf numFmtId="0" fontId="0" fillId="0" borderId="18" xfId="0" applyBorder="1" applyAlignment="1" applyProtection="1">
      <alignment horizontal="left" vertical="center"/>
    </xf>
    <xf numFmtId="0" fontId="0" fillId="0" borderId="57" xfId="0" applyBorder="1" applyAlignment="1" applyProtection="1">
      <alignment horizontal="left" vertical="center"/>
    </xf>
    <xf numFmtId="0" fontId="0" fillId="0" borderId="57" xfId="0" applyBorder="1" applyAlignment="1" applyProtection="1">
      <alignment vertical="center"/>
    </xf>
    <xf numFmtId="172" fontId="0" fillId="0" borderId="2" xfId="0" applyNumberFormat="1" applyBorder="1" applyAlignment="1" applyProtection="1">
      <alignment vertical="center"/>
    </xf>
    <xf numFmtId="0" fontId="12" fillId="6" borderId="56" xfId="0" applyFont="1" applyFill="1" applyBorder="1" applyAlignment="1">
      <alignment horizontal="center" vertical="center"/>
    </xf>
    <xf numFmtId="0" fontId="12" fillId="6" borderId="76" xfId="0" applyFont="1" applyFill="1" applyBorder="1" applyAlignment="1">
      <alignment horizontal="center" vertical="center"/>
    </xf>
    <xf numFmtId="168" fontId="2" fillId="0" borderId="0" xfId="0" applyNumberFormat="1" applyFont="1" applyFill="1" applyBorder="1" applyAlignment="1" applyProtection="1">
      <alignment horizontal="right" vertical="top" wrapText="1"/>
    </xf>
    <xf numFmtId="0" fontId="2" fillId="0" borderId="0" xfId="0" applyFont="1" applyBorder="1" applyAlignment="1" applyProtection="1">
      <alignment horizontal="right" vertical="center"/>
    </xf>
    <xf numFmtId="0" fontId="2" fillId="0" borderId="0" xfId="0" applyFont="1" applyBorder="1" applyAlignment="1" applyProtection="1">
      <alignment horizontal="right" vertical="top"/>
    </xf>
    <xf numFmtId="168" fontId="2" fillId="0" borderId="0" xfId="0" applyNumberFormat="1" applyFont="1" applyBorder="1" applyAlignment="1" applyProtection="1">
      <alignment horizontal="right" vertical="top"/>
    </xf>
    <xf numFmtId="168" fontId="2" fillId="0" borderId="0" xfId="0" applyNumberFormat="1" applyFont="1" applyBorder="1" applyAlignment="1" applyProtection="1">
      <alignment horizontal="right"/>
    </xf>
    <xf numFmtId="168" fontId="2" fillId="0" borderId="0" xfId="0" applyNumberFormat="1" applyFont="1" applyBorder="1" applyAlignment="1" applyProtection="1">
      <alignment horizontal="right" vertical="center"/>
    </xf>
    <xf numFmtId="0" fontId="0" fillId="14" borderId="0" xfId="0" quotePrefix="1" applyFill="1"/>
    <xf numFmtId="0" fontId="0" fillId="0" borderId="13" xfId="0" applyBorder="1"/>
    <xf numFmtId="0" fontId="0" fillId="0" borderId="50" xfId="0" applyBorder="1"/>
    <xf numFmtId="192" fontId="0" fillId="0" borderId="0" xfId="0" applyNumberFormat="1" applyAlignment="1">
      <alignment vertical="center"/>
    </xf>
    <xf numFmtId="0" fontId="2" fillId="24" borderId="7" xfId="0" applyFont="1" applyFill="1" applyBorder="1" applyAlignment="1">
      <alignment horizontal="center"/>
    </xf>
    <xf numFmtId="175" fontId="38" fillId="0" borderId="11" xfId="2" quotePrefix="1" applyNumberFormat="1" applyFont="1" applyFill="1" applyBorder="1"/>
    <xf numFmtId="175" fontId="38" fillId="0" borderId="15" xfId="2" applyNumberFormat="1" applyFont="1" applyFill="1" applyBorder="1"/>
    <xf numFmtId="175" fontId="38" fillId="0" borderId="15" xfId="2" quotePrefix="1" applyNumberFormat="1" applyFont="1" applyFill="1" applyBorder="1"/>
    <xf numFmtId="175" fontId="118" fillId="0" borderId="15" xfId="2" applyNumberFormat="1" applyFont="1" applyFill="1" applyBorder="1" applyAlignment="1"/>
    <xf numFmtId="0" fontId="38" fillId="0" borderId="15" xfId="2" quotePrefix="1" applyFont="1" applyFill="1" applyBorder="1"/>
    <xf numFmtId="175" fontId="38" fillId="0" borderId="12" xfId="2" applyNumberFormat="1" applyFont="1" applyFill="1" applyBorder="1"/>
    <xf numFmtId="3" fontId="0" fillId="0" borderId="0" xfId="0" quotePrefix="1" applyNumberFormat="1"/>
    <xf numFmtId="172"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xf>
    <xf numFmtId="8" fontId="12" fillId="0" borderId="0" xfId="0" applyNumberFormat="1" applyFont="1" applyBorder="1" applyProtection="1"/>
    <xf numFmtId="181" fontId="4" fillId="0" borderId="11" xfId="0" applyNumberFormat="1" applyFont="1" applyBorder="1" applyAlignment="1">
      <alignment horizontal="center" vertical="center"/>
    </xf>
    <xf numFmtId="0" fontId="0" fillId="0" borderId="0" xfId="0" applyAlignment="1">
      <alignment horizontal="left" vertical="center"/>
    </xf>
    <xf numFmtId="0" fontId="12" fillId="2" borderId="8" xfId="0" applyFont="1" applyFill="1" applyBorder="1" applyAlignment="1" applyProtection="1">
      <alignment horizontal="center" vertical="center"/>
      <protection locked="0"/>
    </xf>
    <xf numFmtId="173" fontId="7" fillId="0" borderId="0" xfId="1" applyNumberFormat="1" applyFont="1" applyFill="1" applyAlignment="1">
      <alignment horizontal="center"/>
    </xf>
    <xf numFmtId="0" fontId="4" fillId="8" borderId="0" xfId="0" applyFont="1" applyFill="1" applyBorder="1" applyAlignment="1" applyProtection="1">
      <alignment horizontal="left" vertical="top"/>
    </xf>
    <xf numFmtId="0" fontId="4" fillId="8" borderId="0" xfId="0" applyFont="1" applyFill="1" applyBorder="1" applyAlignment="1" applyProtection="1">
      <alignment horizontal="left" vertical="top" wrapText="1"/>
    </xf>
    <xf numFmtId="168" fontId="10" fillId="0" borderId="0" xfId="0" applyNumberFormat="1" applyFont="1" applyBorder="1" applyAlignment="1" applyProtection="1">
      <alignment horizontal="right" vertical="top"/>
    </xf>
    <xf numFmtId="0" fontId="0" fillId="8" borderId="0" xfId="0" applyFill="1" applyAlignment="1">
      <alignment vertical="center"/>
    </xf>
    <xf numFmtId="9" fontId="108" fillId="0" borderId="0" xfId="4" applyFont="1" applyFill="1" applyAlignment="1">
      <alignment horizontal="center"/>
    </xf>
    <xf numFmtId="0" fontId="35" fillId="0" borderId="0" xfId="2" applyFont="1" applyFill="1" applyAlignment="1">
      <alignment horizontal="left"/>
    </xf>
    <xf numFmtId="0" fontId="12" fillId="0" borderId="0" xfId="0" applyFont="1" applyFill="1" applyAlignment="1">
      <alignment vertical="center"/>
    </xf>
    <xf numFmtId="0" fontId="12" fillId="2" borderId="8" xfId="0" applyFont="1" applyFill="1" applyBorder="1" applyAlignment="1" applyProtection="1">
      <alignment horizontal="right" vertical="center"/>
      <protection locked="0"/>
    </xf>
    <xf numFmtId="181" fontId="0" fillId="0" borderId="0" xfId="0" applyNumberFormat="1"/>
    <xf numFmtId="0" fontId="0" fillId="0" borderId="125" xfId="0" applyBorder="1" applyAlignment="1">
      <alignment horizontal="right"/>
    </xf>
    <xf numFmtId="0" fontId="0" fillId="0" borderId="126" xfId="0" applyBorder="1"/>
    <xf numFmtId="0" fontId="0" fillId="0" borderId="127" xfId="0" applyBorder="1" applyAlignment="1">
      <alignment horizontal="right"/>
    </xf>
    <xf numFmtId="0" fontId="0" fillId="0" borderId="128" xfId="0" applyBorder="1"/>
    <xf numFmtId="0" fontId="0" fillId="0" borderId="129" xfId="0" applyBorder="1" applyAlignment="1">
      <alignment horizontal="right"/>
    </xf>
    <xf numFmtId="0" fontId="0" fillId="0" borderId="130" xfId="0" applyBorder="1"/>
    <xf numFmtId="0" fontId="0" fillId="0" borderId="131" xfId="0" applyBorder="1" applyAlignment="1">
      <alignment horizontal="right"/>
    </xf>
    <xf numFmtId="0" fontId="0" fillId="0" borderId="90" xfId="0" applyBorder="1"/>
    <xf numFmtId="193" fontId="0" fillId="10" borderId="0" xfId="0" applyNumberFormat="1" applyFill="1" applyAlignment="1">
      <alignment vertical="center"/>
    </xf>
    <xf numFmtId="0" fontId="2" fillId="0" borderId="0" xfId="0" applyFont="1" applyAlignment="1">
      <alignment vertical="top"/>
    </xf>
    <xf numFmtId="178" fontId="12" fillId="6" borderId="60" xfId="0" applyNumberFormat="1" applyFont="1" applyFill="1" applyBorder="1" applyAlignment="1">
      <alignment horizontal="center" vertical="center" wrapText="1"/>
    </xf>
    <xf numFmtId="0" fontId="0" fillId="0" borderId="0" xfId="0" applyAlignment="1">
      <alignment horizontal="left" vertical="center"/>
    </xf>
    <xf numFmtId="0" fontId="123" fillId="0" borderId="0" xfId="0" applyFont="1" applyBorder="1" applyProtection="1"/>
    <xf numFmtId="0" fontId="123" fillId="0" borderId="0" xfId="0" applyFont="1" applyAlignment="1" applyProtection="1">
      <alignment vertical="center"/>
    </xf>
    <xf numFmtId="0" fontId="123" fillId="0" borderId="0" xfId="0" applyFont="1" applyBorder="1" applyAlignment="1" applyProtection="1">
      <alignment vertical="center"/>
    </xf>
    <xf numFmtId="6" fontId="0" fillId="0" borderId="28" xfId="0" applyNumberFormat="1" applyFill="1" applyBorder="1" applyAlignment="1" applyProtection="1">
      <alignment vertical="center"/>
    </xf>
    <xf numFmtId="167" fontId="2" fillId="0" borderId="0" xfId="0" applyNumberFormat="1" applyFont="1" applyAlignment="1">
      <alignment horizontal="left" vertical="center"/>
    </xf>
    <xf numFmtId="6" fontId="0" fillId="0" borderId="1" xfId="0" applyNumberFormat="1" applyBorder="1" applyAlignment="1">
      <alignment vertical="center"/>
    </xf>
    <xf numFmtId="0" fontId="0" fillId="0" borderId="1" xfId="0" applyNumberFormat="1" applyBorder="1" applyAlignment="1" applyProtection="1">
      <alignment horizontal="right" vertical="center"/>
    </xf>
    <xf numFmtId="0" fontId="0" fillId="8" borderId="1" xfId="0" applyNumberFormat="1" applyFill="1" applyBorder="1" applyAlignment="1">
      <alignment horizontal="right" vertical="center"/>
    </xf>
    <xf numFmtId="6" fontId="0" fillId="0" borderId="8" xfId="0" applyNumberFormat="1" applyBorder="1" applyAlignment="1" applyProtection="1">
      <alignment vertical="center"/>
    </xf>
    <xf numFmtId="0" fontId="0" fillId="0" borderId="1" xfId="0" applyBorder="1" applyAlignment="1">
      <alignment horizontal="right" vertical="center"/>
    </xf>
    <xf numFmtId="0" fontId="2" fillId="9" borderId="0" xfId="0" applyFont="1" applyFill="1" applyBorder="1" applyAlignment="1">
      <alignment horizontal="left"/>
    </xf>
    <xf numFmtId="49" fontId="0" fillId="0" borderId="17" xfId="0" applyNumberFormat="1" applyBorder="1" applyAlignment="1">
      <alignment vertical="center"/>
    </xf>
    <xf numFmtId="0" fontId="2" fillId="0" borderId="7" xfId="0" applyFont="1" applyBorder="1" applyAlignment="1">
      <alignment horizontal="center"/>
    </xf>
    <xf numFmtId="6" fontId="100" fillId="0" borderId="0" xfId="0" applyNumberFormat="1" applyFont="1" applyBorder="1" applyAlignment="1" applyProtection="1">
      <alignment horizontal="right" vertical="center"/>
    </xf>
    <xf numFmtId="0" fontId="0" fillId="0" borderId="0" xfId="0" quotePrefix="1" applyProtection="1"/>
    <xf numFmtId="194" fontId="0" fillId="0" borderId="0" xfId="0" applyNumberFormat="1" applyAlignment="1">
      <alignment horizontal="center" vertical="center"/>
    </xf>
    <xf numFmtId="0" fontId="58" fillId="0" borderId="87" xfId="0" applyFont="1" applyFill="1" applyBorder="1" applyAlignment="1">
      <alignment vertical="center"/>
    </xf>
    <xf numFmtId="0" fontId="0" fillId="0" borderId="88" xfId="0" applyFill="1" applyBorder="1" applyAlignment="1">
      <alignment vertical="center"/>
    </xf>
    <xf numFmtId="0" fontId="0" fillId="0" borderId="0" xfId="0" applyBorder="1" applyAlignment="1">
      <alignment horizontal="right" vertical="center"/>
    </xf>
    <xf numFmtId="187" fontId="0" fillId="0" borderId="0" xfId="4" applyNumberFormat="1" applyFont="1" applyBorder="1" applyAlignment="1">
      <alignment horizontal="center" vertical="center"/>
    </xf>
    <xf numFmtId="0" fontId="5" fillId="0" borderId="0" xfId="0" applyFont="1" applyAlignment="1">
      <alignment horizontal="center"/>
    </xf>
    <xf numFmtId="0" fontId="0" fillId="0" borderId="17" xfId="0" applyBorder="1" applyAlignment="1">
      <alignment horizontal="center" vertical="center"/>
    </xf>
    <xf numFmtId="0" fontId="0" fillId="0" borderId="79" xfId="0" applyFill="1" applyBorder="1"/>
    <xf numFmtId="9" fontId="0" fillId="0" borderId="79" xfId="4" applyFont="1" applyFill="1" applyBorder="1" applyAlignment="1">
      <alignment horizontal="center" vertical="center"/>
    </xf>
    <xf numFmtId="0" fontId="0" fillId="0" borderId="79" xfId="0" applyBorder="1" applyAlignment="1">
      <alignment horizontal="right" vertical="center"/>
    </xf>
    <xf numFmtId="187" fontId="0" fillId="0" borderId="79" xfId="4" applyNumberFormat="1" applyFont="1" applyBorder="1" applyAlignment="1">
      <alignment horizontal="center" vertical="center"/>
    </xf>
    <xf numFmtId="0" fontId="0" fillId="0" borderId="79"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9" xfId="0" applyFont="1" applyFill="1" applyBorder="1" applyAlignment="1">
      <alignment horizontal="center" vertical="center"/>
    </xf>
    <xf numFmtId="0" fontId="106" fillId="0" borderId="0" xfId="0" applyFont="1" applyBorder="1" applyAlignment="1">
      <alignment vertical="center"/>
    </xf>
    <xf numFmtId="0" fontId="0" fillId="0" borderId="0" xfId="0" applyFont="1" applyAlignment="1">
      <alignment vertical="center"/>
    </xf>
    <xf numFmtId="0" fontId="106" fillId="0" borderId="0" xfId="0" applyFont="1" applyFill="1" applyAlignment="1">
      <alignment vertical="center"/>
    </xf>
    <xf numFmtId="0" fontId="106" fillId="0" borderId="0" xfId="0" applyFont="1" applyAlignment="1">
      <alignment horizontal="right" vertical="center"/>
    </xf>
    <xf numFmtId="0" fontId="0" fillId="0" borderId="0" xfId="0" applyBorder="1" applyAlignment="1" applyProtection="1">
      <alignment horizontal="left" vertical="center"/>
    </xf>
    <xf numFmtId="38" fontId="4"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0" fillId="0" borderId="0" xfId="0" applyBorder="1" applyAlignment="1" applyProtection="1">
      <alignment vertical="center"/>
    </xf>
    <xf numFmtId="0" fontId="0" fillId="0" borderId="0" xfId="0" applyBorder="1" applyAlignment="1" applyProtection="1">
      <alignment vertical="top"/>
    </xf>
    <xf numFmtId="195" fontId="12" fillId="6" borderId="60" xfId="0" applyNumberFormat="1" applyFont="1" applyFill="1" applyBorder="1" applyAlignment="1">
      <alignment horizontal="center" vertical="center"/>
    </xf>
    <xf numFmtId="195" fontId="12" fillId="6" borderId="61" xfId="0" applyNumberFormat="1" applyFont="1" applyFill="1" applyBorder="1" applyAlignment="1">
      <alignment horizontal="center" vertical="center"/>
    </xf>
    <xf numFmtId="197" fontId="0" fillId="0" borderId="17" xfId="0" applyNumberFormat="1" applyBorder="1" applyAlignment="1">
      <alignment horizontal="center" vertical="center"/>
    </xf>
    <xf numFmtId="197" fontId="0" fillId="0" borderId="18" xfId="0" applyNumberFormat="1" applyBorder="1" applyAlignment="1">
      <alignment horizontal="center" vertical="center"/>
    </xf>
    <xf numFmtId="193" fontId="0" fillId="0" borderId="0" xfId="0" applyNumberFormat="1" applyAlignment="1">
      <alignment horizontal="right" vertical="center"/>
    </xf>
    <xf numFmtId="193" fontId="0" fillId="0" borderId="8" xfId="0" applyNumberFormat="1" applyBorder="1" applyAlignment="1">
      <alignment horizontal="right" vertical="center"/>
    </xf>
    <xf numFmtId="196" fontId="4" fillId="0" borderId="124" xfId="0" applyNumberFormat="1" applyFont="1" applyFill="1" applyBorder="1" applyAlignment="1">
      <alignment horizontal="center" vertical="center"/>
    </xf>
    <xf numFmtId="197" fontId="0" fillId="0" borderId="58" xfId="0" applyNumberFormat="1" applyBorder="1" applyAlignment="1">
      <alignment horizontal="center" vertical="center"/>
    </xf>
    <xf numFmtId="193" fontId="0" fillId="0" borderId="0" xfId="0" applyNumberFormat="1" applyFill="1" applyBorder="1" applyAlignment="1">
      <alignment horizontal="right" vertical="center"/>
    </xf>
    <xf numFmtId="193" fontId="0" fillId="0" borderId="2" xfId="0" applyNumberFormat="1" applyFill="1" applyBorder="1" applyAlignment="1">
      <alignment horizontal="right" vertical="center"/>
    </xf>
    <xf numFmtId="193" fontId="0" fillId="0" borderId="8" xfId="0" applyNumberFormat="1" applyFill="1" applyBorder="1" applyAlignment="1">
      <alignment horizontal="right" vertical="center"/>
    </xf>
    <xf numFmtId="199" fontId="0" fillId="0" borderId="0" xfId="0" quotePrefix="1" applyNumberFormat="1"/>
    <xf numFmtId="192" fontId="0" fillId="0" borderId="0" xfId="0" applyNumberFormat="1" applyAlignment="1">
      <alignment horizontal="center" vertical="center"/>
    </xf>
    <xf numFmtId="179" fontId="0" fillId="0" borderId="0" xfId="0" applyNumberFormat="1" applyAlignment="1">
      <alignment horizontal="center" vertical="center"/>
    </xf>
    <xf numFmtId="192" fontId="0" fillId="0" borderId="0" xfId="0" applyNumberFormat="1" applyBorder="1" applyAlignment="1">
      <alignment vertical="center"/>
    </xf>
    <xf numFmtId="192" fontId="0" fillId="0" borderId="8" xfId="0" applyNumberFormat="1" applyBorder="1" applyAlignment="1">
      <alignment vertical="center"/>
    </xf>
    <xf numFmtId="179" fontId="0" fillId="0" borderId="8" xfId="0" applyNumberFormat="1" applyBorder="1" applyAlignment="1">
      <alignment horizontal="center" vertical="center"/>
    </xf>
    <xf numFmtId="179" fontId="0" fillId="0" borderId="7" xfId="0" applyNumberFormat="1" applyFont="1" applyBorder="1" applyAlignment="1">
      <alignment horizontal="center" vertical="center"/>
    </xf>
    <xf numFmtId="0" fontId="4" fillId="0" borderId="0" xfId="0" applyFont="1" applyAlignment="1">
      <alignment horizontal="left" vertical="center" wrapText="1"/>
    </xf>
    <xf numFmtId="0" fontId="94" fillId="0" borderId="0" xfId="5"/>
    <xf numFmtId="179" fontId="0" fillId="0" borderId="7" xfId="0" applyNumberFormat="1" applyFill="1" applyBorder="1" applyAlignment="1">
      <alignment horizontal="center" vertical="center"/>
    </xf>
    <xf numFmtId="192" fontId="0" fillId="0" borderId="60" xfId="0" applyNumberFormat="1" applyBorder="1" applyAlignment="1">
      <alignment vertical="center"/>
    </xf>
    <xf numFmtId="179" fontId="0" fillId="0" borderId="60" xfId="0" applyNumberFormat="1" applyBorder="1" applyAlignment="1">
      <alignment horizontal="center" vertical="center"/>
    </xf>
    <xf numFmtId="179" fontId="0" fillId="0" borderId="7" xfId="0" applyNumberFormat="1" applyBorder="1" applyAlignment="1">
      <alignment horizontal="center" vertical="center"/>
    </xf>
    <xf numFmtId="179" fontId="0" fillId="0" borderId="11" xfId="0" applyNumberFormat="1" applyBorder="1" applyAlignment="1">
      <alignment horizontal="center" vertical="center"/>
    </xf>
    <xf numFmtId="193" fontId="5" fillId="0" borderId="0" xfId="0" applyNumberFormat="1" applyFont="1" applyAlignment="1">
      <alignment horizontal="right"/>
    </xf>
    <xf numFmtId="192" fontId="0" fillId="0" borderId="0" xfId="0" applyNumberFormat="1" applyFill="1" applyAlignment="1">
      <alignment horizontal="center" vertical="center"/>
    </xf>
    <xf numFmtId="0" fontId="0" fillId="0" borderId="8" xfId="0" applyBorder="1" applyAlignment="1">
      <alignment horizontal="center" vertical="center"/>
    </xf>
    <xf numFmtId="179" fontId="2" fillId="0" borderId="7" xfId="0" applyNumberFormat="1" applyFont="1" applyBorder="1" applyAlignment="1">
      <alignment horizontal="center" vertical="center"/>
    </xf>
    <xf numFmtId="0" fontId="104" fillId="0" borderId="0" xfId="0" applyFont="1" applyBorder="1" applyAlignment="1" applyProtection="1">
      <alignment vertical="top"/>
    </xf>
    <xf numFmtId="0" fontId="4" fillId="0" borderId="0" xfId="0" applyFont="1" applyBorder="1" applyAlignment="1" applyProtection="1">
      <alignment horizontal="left" vertical="center"/>
    </xf>
    <xf numFmtId="0" fontId="11" fillId="0" borderId="0" xfId="0" applyFont="1" applyAlignment="1">
      <alignment horizontal="left" vertical="center" wrapText="1"/>
    </xf>
    <xf numFmtId="196" fontId="4" fillId="0" borderId="124" xfId="0" applyNumberFormat="1" applyFont="1" applyBorder="1" applyAlignment="1">
      <alignment horizontal="center" vertical="center"/>
    </xf>
    <xf numFmtId="195" fontId="12" fillId="6" borderId="121" xfId="0" applyNumberFormat="1" applyFont="1" applyFill="1" applyBorder="1" applyAlignment="1">
      <alignment horizontal="center" vertical="center"/>
    </xf>
    <xf numFmtId="197" fontId="0" fillId="0" borderId="57" xfId="0" applyNumberFormat="1" applyBorder="1" applyAlignment="1">
      <alignment horizontal="center" vertical="center"/>
    </xf>
    <xf numFmtId="196" fontId="4" fillId="0" borderId="8" xfId="0" applyNumberFormat="1" applyFont="1" applyBorder="1" applyAlignment="1">
      <alignment horizontal="center" vertical="center"/>
    </xf>
    <xf numFmtId="197" fontId="0" fillId="0" borderId="8" xfId="0" applyNumberFormat="1" applyBorder="1" applyAlignment="1">
      <alignment horizontal="center" vertical="center"/>
    </xf>
    <xf numFmtId="193" fontId="0" fillId="0" borderId="0" xfId="0" applyNumberFormat="1" applyBorder="1" applyAlignment="1">
      <alignment horizontal="right" vertical="center"/>
    </xf>
    <xf numFmtId="196" fontId="4" fillId="0" borderId="88" xfId="0" applyNumberFormat="1" applyFont="1" applyFill="1" applyBorder="1" applyAlignment="1">
      <alignment horizontal="center" vertical="center"/>
    </xf>
    <xf numFmtId="197" fontId="0" fillId="25" borderId="57" xfId="0" applyNumberFormat="1" applyFill="1" applyBorder="1" applyAlignment="1">
      <alignment horizontal="center" vertical="center"/>
    </xf>
    <xf numFmtId="197" fontId="0" fillId="25" borderId="18" xfId="0" applyNumberFormat="1" applyFill="1" applyBorder="1" applyAlignment="1">
      <alignment horizontal="center" vertical="center"/>
    </xf>
    <xf numFmtId="0" fontId="3" fillId="25" borderId="0" xfId="0" applyFont="1" applyFill="1" applyAlignment="1">
      <alignment horizontal="center"/>
    </xf>
    <xf numFmtId="0" fontId="4" fillId="0" borderId="0" xfId="0" applyFont="1" applyBorder="1" applyProtection="1"/>
    <xf numFmtId="0" fontId="0" fillId="2" borderId="0" xfId="0" applyFill="1"/>
    <xf numFmtId="192" fontId="0" fillId="0" borderId="8" xfId="0" applyNumberFormat="1" applyBorder="1" applyAlignment="1">
      <alignment horizontal="center" vertical="center"/>
    </xf>
    <xf numFmtId="193" fontId="0" fillId="0" borderId="13" xfId="0" applyNumberFormat="1" applyBorder="1" applyAlignment="1">
      <alignment vertical="center"/>
    </xf>
    <xf numFmtId="193" fontId="0" fillId="0" borderId="16" xfId="0" applyNumberFormat="1" applyBorder="1" applyAlignment="1">
      <alignment vertical="center"/>
    </xf>
    <xf numFmtId="193" fontId="0" fillId="0" borderId="50" xfId="0" applyNumberFormat="1" applyBorder="1" applyAlignment="1">
      <alignment vertical="center"/>
    </xf>
    <xf numFmtId="192" fontId="0" fillId="0" borderId="2" xfId="0" applyNumberFormat="1" applyBorder="1" applyAlignment="1">
      <alignment vertical="center"/>
    </xf>
    <xf numFmtId="192" fontId="0" fillId="0" borderId="13" xfId="0" applyNumberFormat="1" applyBorder="1" applyAlignment="1">
      <alignment horizontal="center" vertical="center"/>
    </xf>
    <xf numFmtId="192" fontId="0" fillId="0" borderId="56" xfId="0" applyNumberFormat="1" applyBorder="1" applyAlignment="1">
      <alignment horizontal="center" vertical="center"/>
    </xf>
    <xf numFmtId="192" fontId="0" fillId="0" borderId="16" xfId="0" applyNumberFormat="1" applyBorder="1" applyAlignment="1">
      <alignment horizontal="center" vertical="center"/>
    </xf>
    <xf numFmtId="192" fontId="0" fillId="0" borderId="48" xfId="0" applyNumberFormat="1" applyBorder="1" applyAlignment="1">
      <alignment horizontal="center" vertical="center"/>
    </xf>
    <xf numFmtId="192" fontId="0" fillId="0" borderId="50" xfId="0" applyNumberFormat="1" applyBorder="1" applyAlignment="1">
      <alignment horizontal="center" vertical="center"/>
    </xf>
    <xf numFmtId="192" fontId="0" fillId="0" borderId="14" xfId="0" applyNumberFormat="1" applyBorder="1" applyAlignment="1">
      <alignment horizontal="center" vertical="center"/>
    </xf>
    <xf numFmtId="0" fontId="0" fillId="9" borderId="7" xfId="0" applyFont="1" applyFill="1" applyBorder="1" applyAlignment="1">
      <alignment horizontal="center" wrapText="1"/>
    </xf>
    <xf numFmtId="0" fontId="0" fillId="0" borderId="0" xfId="0" quotePrefix="1" applyAlignment="1">
      <alignment horizontal="center"/>
    </xf>
    <xf numFmtId="0" fontId="25" fillId="0" borderId="0" xfId="0" applyFont="1" applyBorder="1" applyAlignment="1" applyProtection="1">
      <alignment horizontal="left" wrapText="1"/>
    </xf>
    <xf numFmtId="0" fontId="25" fillId="0" borderId="0" xfId="0" applyFont="1" applyAlignment="1">
      <alignment horizontal="left" wrapText="1"/>
    </xf>
    <xf numFmtId="0" fontId="0" fillId="0" borderId="0" xfId="0" applyAlignment="1">
      <alignment horizontal="center" vertical="top" wrapText="1"/>
    </xf>
    <xf numFmtId="0" fontId="4" fillId="0" borderId="28"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0" borderId="0" xfId="0" applyFont="1" applyFill="1" applyBorder="1" applyAlignment="1">
      <alignment horizontal="center"/>
    </xf>
    <xf numFmtId="0" fontId="12" fillId="6" borderId="18"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xf>
    <xf numFmtId="0" fontId="8" fillId="14" borderId="0" xfId="7" applyFont="1" applyFill="1" applyBorder="1" applyAlignment="1" applyProtection="1">
      <alignment horizontal="left" vertical="center" wrapText="1"/>
    </xf>
    <xf numFmtId="0" fontId="8" fillId="14" borderId="0" xfId="6" applyFont="1" applyFill="1" applyBorder="1" applyAlignment="1" applyProtection="1">
      <alignment horizontal="left" vertical="center" wrapText="1"/>
    </xf>
    <xf numFmtId="0" fontId="8" fillId="14" borderId="0" xfId="9" applyFont="1" applyFill="1" applyBorder="1" applyAlignment="1" applyProtection="1">
      <alignment horizontal="center" vertical="center" wrapText="1"/>
    </xf>
    <xf numFmtId="0" fontId="8" fillId="14" borderId="0" xfId="6" applyFont="1" applyFill="1" applyBorder="1" applyAlignment="1" applyProtection="1">
      <alignment horizontal="center" vertical="center" wrapText="1"/>
    </xf>
    <xf numFmtId="0" fontId="8" fillId="14" borderId="0" xfId="7" applyFont="1" applyFill="1" applyBorder="1" applyAlignment="1" applyProtection="1">
      <alignment horizontal="center" vertical="center" wrapText="1"/>
    </xf>
    <xf numFmtId="0" fontId="8" fillId="14" borderId="0" xfId="7" applyFont="1" applyFill="1" applyBorder="1" applyAlignment="1" applyProtection="1">
      <alignment horizontal="left" vertical="center"/>
    </xf>
    <xf numFmtId="0" fontId="8" fillId="14" borderId="0" xfId="7" applyFont="1" applyFill="1" applyBorder="1" applyAlignment="1" applyProtection="1">
      <alignment horizontal="center" vertical="center"/>
    </xf>
    <xf numFmtId="200" fontId="8" fillId="14" borderId="0" xfId="8" applyNumberFormat="1" applyFont="1" applyFill="1" applyBorder="1" applyAlignment="1" applyProtection="1">
      <alignment horizontal="left" vertical="center" wrapText="1"/>
    </xf>
    <xf numFmtId="0" fontId="8" fillId="14" borderId="0" xfId="8" applyFont="1" applyFill="1" applyBorder="1" applyAlignment="1" applyProtection="1">
      <alignment horizontal="left" vertical="center" wrapText="1"/>
    </xf>
    <xf numFmtId="200" fontId="8" fillId="14" borderId="0" xfId="7" applyNumberFormat="1" applyFont="1" applyFill="1" applyBorder="1" applyAlignment="1" applyProtection="1">
      <alignment horizontal="left" vertical="center" wrapText="1"/>
    </xf>
    <xf numFmtId="200" fontId="128" fillId="14" borderId="0" xfId="8" applyNumberFormat="1" applyFont="1" applyFill="1" applyBorder="1" applyAlignment="1" applyProtection="1">
      <alignment horizontal="left" vertical="center" wrapText="1" readingOrder="1"/>
    </xf>
    <xf numFmtId="0" fontId="128" fillId="14" borderId="0" xfId="8" applyFont="1" applyFill="1" applyBorder="1" applyAlignment="1" applyProtection="1">
      <alignment horizontal="left" vertical="center" wrapText="1" readingOrder="1"/>
    </xf>
    <xf numFmtId="0" fontId="129" fillId="14" borderId="0" xfId="6" applyFont="1" applyFill="1" applyBorder="1" applyAlignment="1" applyProtection="1">
      <alignment horizontal="left" vertical="center" wrapText="1"/>
    </xf>
    <xf numFmtId="0" fontId="129" fillId="14" borderId="0" xfId="9" applyFont="1" applyFill="1" applyBorder="1" applyAlignment="1" applyProtection="1">
      <alignment horizontal="center" vertical="center" wrapText="1"/>
    </xf>
    <xf numFmtId="0" fontId="8" fillId="14" borderId="0" xfId="10" applyFont="1" applyFill="1" applyBorder="1" applyAlignment="1" applyProtection="1">
      <alignment horizontal="center" vertical="center" wrapText="1"/>
    </xf>
    <xf numFmtId="0" fontId="129" fillId="14" borderId="0" xfId="7" applyFont="1" applyFill="1" applyBorder="1" applyAlignment="1" applyProtection="1">
      <alignment horizontal="left" vertical="center"/>
    </xf>
    <xf numFmtId="0" fontId="129" fillId="14" borderId="0" xfId="7" applyFont="1" applyFill="1" applyBorder="1" applyAlignment="1" applyProtection="1">
      <alignment horizontal="left" vertical="center" wrapText="1"/>
    </xf>
    <xf numFmtId="0" fontId="129" fillId="14" borderId="0" xfId="7" applyFont="1" applyFill="1" applyBorder="1" applyAlignment="1" applyProtection="1">
      <alignment horizontal="center" vertical="center" wrapText="1"/>
    </xf>
    <xf numFmtId="0" fontId="129" fillId="14" borderId="0" xfId="7" applyFont="1" applyFill="1" applyBorder="1" applyAlignment="1" applyProtection="1">
      <alignment horizontal="center" vertical="center"/>
    </xf>
    <xf numFmtId="0" fontId="8" fillId="14" borderId="0" xfId="11" applyFont="1" applyFill="1" applyBorder="1" applyAlignment="1" applyProtection="1">
      <alignment horizontal="left" vertical="center" wrapText="1"/>
    </xf>
    <xf numFmtId="49" fontId="8" fillId="14" borderId="0" xfId="7" applyNumberFormat="1" applyFont="1" applyFill="1" applyBorder="1" applyAlignment="1" applyProtection="1">
      <alignment horizontal="left" vertical="center" wrapText="1"/>
    </xf>
    <xf numFmtId="9" fontId="12" fillId="6" borderId="17" xfId="4" applyFont="1" applyFill="1" applyBorder="1" applyAlignment="1" applyProtection="1">
      <alignment horizontal="right" vertical="center"/>
    </xf>
    <xf numFmtId="2" fontId="4" fillId="0" borderId="1" xfId="0" applyNumberFormat="1" applyFont="1" applyFill="1" applyBorder="1" applyAlignment="1" applyProtection="1">
      <alignment horizontal="center" vertical="center"/>
    </xf>
    <xf numFmtId="38" fontId="12" fillId="2" borderId="20" xfId="0" applyNumberFormat="1" applyFont="1" applyFill="1" applyBorder="1" applyAlignment="1" applyProtection="1">
      <alignment horizontal="center" vertical="center"/>
      <protection locked="0"/>
    </xf>
    <xf numFmtId="38" fontId="12" fillId="2" borderId="21" xfId="0" applyNumberFormat="1" applyFont="1" applyFill="1" applyBorder="1" applyAlignment="1" applyProtection="1">
      <alignment horizontal="center" vertical="center"/>
      <protection locked="0"/>
    </xf>
    <xf numFmtId="38" fontId="12" fillId="2" borderId="109" xfId="0" applyNumberFormat="1" applyFont="1" applyFill="1" applyBorder="1" applyAlignment="1" applyProtection="1">
      <alignment horizontal="center" vertical="center"/>
      <protection locked="0"/>
    </xf>
    <xf numFmtId="38" fontId="4" fillId="0" borderId="12" xfId="0" applyNumberFormat="1" applyFont="1" applyFill="1" applyBorder="1" applyAlignment="1" applyProtection="1">
      <alignment horizontal="right" vertical="center" indent="1"/>
    </xf>
    <xf numFmtId="49" fontId="0" fillId="0" borderId="75" xfId="0" applyNumberFormat="1" applyFill="1" applyBorder="1" applyAlignment="1">
      <alignment vertical="center"/>
    </xf>
    <xf numFmtId="49" fontId="0" fillId="0" borderId="68" xfId="0" applyNumberFormat="1" applyFill="1" applyBorder="1" applyAlignment="1">
      <alignment vertical="center"/>
    </xf>
    <xf numFmtId="0" fontId="0" fillId="0" borderId="0" xfId="0" applyFill="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49" fontId="2" fillId="0" borderId="0" xfId="0" applyNumberFormat="1" applyFont="1" applyFill="1" applyBorder="1" applyAlignment="1" applyProtection="1">
      <alignment horizontal="left" vertical="top"/>
    </xf>
    <xf numFmtId="0" fontId="0" fillId="0" borderId="18" xfId="0" applyFill="1" applyBorder="1" applyAlignment="1" applyProtection="1">
      <alignment vertical="top"/>
    </xf>
    <xf numFmtId="6" fontId="0" fillId="0" borderId="1" xfId="0" applyNumberFormat="1" applyFill="1" applyBorder="1" applyAlignment="1" applyProtection="1">
      <alignment horizontal="right" vertical="top"/>
    </xf>
    <xf numFmtId="0" fontId="4" fillId="8" borderId="0" xfId="0" applyFont="1" applyFill="1" applyProtection="1"/>
    <xf numFmtId="0" fontId="0" fillId="8" borderId="0" xfId="0" applyFill="1" applyProtection="1"/>
    <xf numFmtId="6" fontId="0" fillId="8" borderId="28" xfId="0" applyNumberFormat="1" applyFill="1" applyBorder="1" applyAlignment="1">
      <alignment vertical="center"/>
    </xf>
    <xf numFmtId="0" fontId="0" fillId="8" borderId="0" xfId="0" applyFill="1" applyBorder="1" applyAlignment="1" applyProtection="1">
      <alignment horizontal="left" vertical="center"/>
    </xf>
    <xf numFmtId="0" fontId="4" fillId="8" borderId="28" xfId="0" applyFont="1" applyFill="1" applyBorder="1" applyAlignment="1">
      <alignment horizontal="center" vertical="center"/>
    </xf>
    <xf numFmtId="0" fontId="0" fillId="0" borderId="0" xfId="0"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vertical="center"/>
    </xf>
    <xf numFmtId="0" fontId="4" fillId="8" borderId="0" xfId="0" applyFont="1" applyFill="1" applyBorder="1" applyAlignment="1" applyProtection="1">
      <alignment vertical="center"/>
    </xf>
    <xf numFmtId="49" fontId="0" fillId="0" borderId="0" xfId="0" applyNumberFormat="1" applyAlignment="1">
      <alignment horizontal="center" vertical="top"/>
    </xf>
    <xf numFmtId="0" fontId="12" fillId="2" borderId="0" xfId="0" applyFont="1" applyFill="1" applyBorder="1" applyAlignment="1" applyProtection="1">
      <alignment vertical="center"/>
    </xf>
    <xf numFmtId="0" fontId="12" fillId="2" borderId="0" xfId="0" applyFont="1" applyFill="1" applyAlignment="1">
      <alignment vertical="center"/>
    </xf>
    <xf numFmtId="0" fontId="15" fillId="0" borderId="0" xfId="0" applyFont="1" applyBorder="1" applyAlignment="1" applyProtection="1">
      <alignment vertical="center"/>
    </xf>
    <xf numFmtId="167" fontId="2" fillId="0" borderId="0" xfId="0" applyNumberFormat="1" applyFont="1" applyBorder="1" applyAlignment="1" applyProtection="1">
      <alignment horizontal="left" vertical="top" wrapText="1"/>
    </xf>
    <xf numFmtId="0" fontId="121" fillId="0" borderId="0" xfId="0" applyFont="1" applyBorder="1" applyAlignment="1" applyProtection="1">
      <alignment vertical="top" wrapText="1"/>
    </xf>
    <xf numFmtId="0" fontId="0" fillId="8" borderId="0" xfId="0" applyFont="1" applyFill="1" applyBorder="1" applyAlignment="1" applyProtection="1">
      <alignment horizontal="left" vertical="center" wrapText="1"/>
    </xf>
    <xf numFmtId="0" fontId="0" fillId="0" borderId="0" xfId="0"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0" borderId="0" xfId="0" applyAlignment="1">
      <alignment horizontal="left" vertical="center" wrapText="1"/>
    </xf>
    <xf numFmtId="0" fontId="0" fillId="0" borderId="0" xfId="0" applyAlignment="1">
      <alignment horizontal="left" vertical="center"/>
    </xf>
    <xf numFmtId="38" fontId="4"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0" fillId="0" borderId="0" xfId="0" applyAlignment="1">
      <alignment vertical="top"/>
    </xf>
    <xf numFmtId="0" fontId="0" fillId="0" borderId="0" xfId="0" applyAlignment="1">
      <alignment horizontal="left" vertical="center"/>
    </xf>
    <xf numFmtId="0" fontId="12" fillId="6" borderId="26" xfId="0" applyFont="1" applyFill="1" applyBorder="1" applyAlignment="1" applyProtection="1">
      <alignment horizontal="center" vertical="center"/>
    </xf>
    <xf numFmtId="0" fontId="12" fillId="6" borderId="36"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vertical="top"/>
    </xf>
    <xf numFmtId="0" fontId="2" fillId="0" borderId="0" xfId="0" applyFont="1" applyAlignment="1">
      <alignment vertical="center" wrapText="1"/>
    </xf>
    <xf numFmtId="0" fontId="4" fillId="8" borderId="0" xfId="0" applyFont="1" applyFill="1" applyAlignment="1">
      <alignment vertical="center"/>
    </xf>
    <xf numFmtId="0" fontId="9" fillId="0" borderId="0" xfId="0" applyFont="1" applyAlignment="1">
      <alignment vertical="center" wrapText="1"/>
    </xf>
    <xf numFmtId="0" fontId="4" fillId="8" borderId="0" xfId="0" applyFont="1" applyFill="1" applyAlignment="1">
      <alignment horizontal="left" vertical="center"/>
    </xf>
    <xf numFmtId="0" fontId="4" fillId="8" borderId="0" xfId="0" applyFont="1" applyFill="1" applyAlignment="1">
      <alignment horizontal="left"/>
    </xf>
    <xf numFmtId="0" fontId="95" fillId="0" borderId="0" xfId="0" applyFont="1" applyAlignment="1">
      <alignment horizontal="left" vertical="center"/>
    </xf>
    <xf numFmtId="167" fontId="2" fillId="0" borderId="0" xfId="0" applyNumberFormat="1" applyFont="1" applyAlignment="1">
      <alignment horizontal="left" vertical="top" wrapText="1"/>
    </xf>
    <xf numFmtId="0" fontId="25" fillId="0" borderId="0" xfId="0" applyFont="1" applyAlignment="1">
      <alignment horizontal="right" vertical="center"/>
    </xf>
    <xf numFmtId="0" fontId="26" fillId="0" borderId="0" xfId="0" applyFont="1" applyAlignment="1">
      <alignment horizontal="left" vertical="center"/>
    </xf>
    <xf numFmtId="0" fontId="15" fillId="0" borderId="0" xfId="0" applyFont="1" applyAlignment="1">
      <alignment vertical="center"/>
    </xf>
    <xf numFmtId="168" fontId="2" fillId="0" borderId="0" xfId="0" applyNumberFormat="1" applyFont="1" applyAlignment="1">
      <alignment horizontal="right" vertical="top" wrapText="1"/>
    </xf>
    <xf numFmtId="0" fontId="2" fillId="0" borderId="0" xfId="0" applyFont="1" applyAlignment="1">
      <alignment vertical="center"/>
    </xf>
    <xf numFmtId="0" fontId="11" fillId="0" borderId="0" xfId="0" applyFont="1" applyAlignment="1">
      <alignment horizontal="right" vertical="center" wrapText="1"/>
    </xf>
    <xf numFmtId="0" fontId="2" fillId="0" borderId="0" xfId="0" applyFont="1" applyAlignment="1">
      <alignment horizontal="left" vertical="center" wrapText="1"/>
    </xf>
    <xf numFmtId="0" fontId="0" fillId="0" borderId="0" xfId="0" applyAlignment="1">
      <alignment vertical="center" wrapText="1"/>
    </xf>
    <xf numFmtId="168" fontId="2" fillId="0" borderId="0" xfId="0" applyNumberFormat="1" applyFont="1" applyAlignment="1">
      <alignment horizontal="right"/>
    </xf>
    <xf numFmtId="0" fontId="4" fillId="0" borderId="0" xfId="0" applyFont="1" applyAlignment="1">
      <alignment horizontal="right"/>
    </xf>
    <xf numFmtId="0" fontId="0" fillId="0" borderId="0" xfId="0" applyBorder="1" applyAlignment="1" applyProtection="1">
      <alignment vertical="top" wrapText="1"/>
    </xf>
    <xf numFmtId="0" fontId="12" fillId="6" borderId="26" xfId="0" applyFont="1" applyFill="1" applyBorder="1" applyAlignment="1">
      <alignment horizontal="center" vertical="center"/>
    </xf>
    <xf numFmtId="0" fontId="12" fillId="6" borderId="36" xfId="0" applyFont="1" applyFill="1" applyBorder="1" applyAlignment="1">
      <alignment horizontal="center" vertical="center"/>
    </xf>
    <xf numFmtId="0" fontId="0" fillId="17" borderId="0" xfId="0" applyFill="1"/>
    <xf numFmtId="0" fontId="13" fillId="0" borderId="0" xfId="0" applyFont="1" applyAlignment="1">
      <alignment horizontal="center" vertical="center"/>
    </xf>
    <xf numFmtId="0" fontId="104" fillId="0" borderId="0" xfId="0" applyFont="1" applyAlignment="1">
      <alignment horizontal="center" vertical="center"/>
    </xf>
    <xf numFmtId="0" fontId="0" fillId="0" borderId="134" xfId="0" applyBorder="1" applyAlignment="1">
      <alignment horizontal="center" vertical="center"/>
    </xf>
    <xf numFmtId="0" fontId="4" fillId="0" borderId="0" xfId="0" applyFont="1" applyBorder="1" applyAlignment="1" applyProtection="1">
      <alignment vertical="center"/>
      <protection locked="0"/>
    </xf>
    <xf numFmtId="0" fontId="0" fillId="0" borderId="121" xfId="0" applyBorder="1" applyAlignment="1">
      <alignment horizontal="left" vertical="top"/>
    </xf>
    <xf numFmtId="179" fontId="4" fillId="8" borderId="7" xfId="0" applyNumberFormat="1" applyFont="1" applyFill="1" applyBorder="1" applyAlignment="1" applyProtection="1">
      <alignment horizontal="center" vertical="center"/>
    </xf>
    <xf numFmtId="0" fontId="0" fillId="0" borderId="0" xfId="0" applyProtection="1">
      <protection locked="0"/>
    </xf>
    <xf numFmtId="49" fontId="5" fillId="0" borderId="0" xfId="0" applyNumberFormat="1" applyFont="1"/>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xf>
    <xf numFmtId="6" fontId="12" fillId="6" borderId="8" xfId="0" applyNumberFormat="1" applyFont="1" applyFill="1" applyBorder="1" applyAlignment="1">
      <alignment horizontal="center" vertical="center"/>
    </xf>
    <xf numFmtId="0" fontId="104" fillId="0" borderId="0" xfId="0" applyFont="1" applyAlignment="1">
      <alignment horizontal="right" vertical="center"/>
    </xf>
    <xf numFmtId="0" fontId="0" fillId="0" borderId="0" xfId="0" applyAlignment="1" applyProtection="1">
      <alignment horizontal="right" vertical="center"/>
    </xf>
    <xf numFmtId="0" fontId="0" fillId="0" borderId="0" xfId="0" applyBorder="1" applyAlignment="1" applyProtection="1">
      <alignment vertical="center"/>
    </xf>
    <xf numFmtId="49" fontId="0" fillId="0" borderId="17" xfId="0" applyNumberFormat="1" applyBorder="1"/>
    <xf numFmtId="0" fontId="0" fillId="0" borderId="17" xfId="0" applyBorder="1" applyAlignment="1" applyProtection="1">
      <alignment horizontal="center" vertical="top"/>
      <protection locked="0"/>
    </xf>
    <xf numFmtId="49" fontId="0" fillId="0" borderId="18" xfId="0" applyNumberFormat="1" applyBorder="1"/>
    <xf numFmtId="0" fontId="0" fillId="0" borderId="18" xfId="0" applyBorder="1" applyAlignment="1" applyProtection="1">
      <alignment horizontal="center" vertical="top"/>
      <protection locked="0"/>
    </xf>
    <xf numFmtId="49" fontId="0" fillId="0" borderId="80" xfId="0" applyNumberFormat="1" applyBorder="1"/>
    <xf numFmtId="0" fontId="0" fillId="0" borderId="80" xfId="0" applyBorder="1" applyAlignment="1" applyProtection="1">
      <alignment horizontal="center" vertical="top"/>
      <protection locked="0"/>
    </xf>
    <xf numFmtId="0" fontId="4" fillId="0" borderId="17"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0" fillId="8" borderId="0" xfId="0" applyFill="1"/>
    <xf numFmtId="0" fontId="0" fillId="2" borderId="0" xfId="0" applyFill="1" applyAlignment="1">
      <alignment horizontal="center" vertical="center"/>
    </xf>
    <xf numFmtId="0" fontId="15"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horizontal="right" vertical="center"/>
    </xf>
    <xf numFmtId="38" fontId="12" fillId="2" borderId="26" xfId="0" applyNumberFormat="1" applyFont="1" applyFill="1" applyBorder="1" applyAlignment="1" applyProtection="1">
      <alignment horizontal="left" vertical="center" wrapText="1"/>
      <protection locked="0"/>
    </xf>
    <xf numFmtId="38" fontId="4" fillId="0" borderId="8" xfId="0" applyNumberFormat="1" applyFont="1" applyBorder="1" applyAlignment="1">
      <alignment horizontal="center" vertical="center" wrapText="1"/>
    </xf>
    <xf numFmtId="38" fontId="4" fillId="0" borderId="0" xfId="0" applyNumberFormat="1" applyFont="1" applyAlignment="1">
      <alignment vertical="center" wrapText="1"/>
    </xf>
    <xf numFmtId="0" fontId="6" fillId="0" borderId="0" xfId="0" applyFont="1" applyBorder="1" applyAlignment="1" applyProtection="1">
      <alignment vertical="center"/>
    </xf>
    <xf numFmtId="0" fontId="6" fillId="0" borderId="0" xfId="0" applyFont="1" applyAlignment="1">
      <alignment vertical="center"/>
    </xf>
    <xf numFmtId="202" fontId="0" fillId="0" borderId="18" xfId="0" applyNumberFormat="1" applyBorder="1" applyAlignment="1">
      <alignment vertical="center"/>
    </xf>
    <xf numFmtId="203" fontId="0" fillId="0" borderId="88" xfId="0" applyNumberFormat="1" applyBorder="1" applyAlignment="1">
      <alignment vertical="center"/>
    </xf>
    <xf numFmtId="203" fontId="0" fillId="0" borderId="17" xfId="0" applyNumberFormat="1" applyBorder="1" applyAlignment="1">
      <alignment vertical="center"/>
    </xf>
    <xf numFmtId="203" fontId="0" fillId="0" borderId="61" xfId="0" applyNumberFormat="1" applyBorder="1" applyAlignment="1">
      <alignment vertical="center"/>
    </xf>
    <xf numFmtId="204" fontId="0" fillId="0" borderId="61" xfId="0" applyNumberFormat="1" applyBorder="1" applyAlignment="1">
      <alignment vertical="center"/>
    </xf>
    <xf numFmtId="204" fontId="0" fillId="0" borderId="88" xfId="0" applyNumberFormat="1" applyBorder="1" applyAlignment="1">
      <alignment vertical="center"/>
    </xf>
    <xf numFmtId="205" fontId="0" fillId="0" borderId="18" xfId="0" applyNumberFormat="1" applyBorder="1" applyAlignment="1">
      <alignment vertical="center"/>
    </xf>
    <xf numFmtId="206" fontId="0" fillId="0" borderId="79" xfId="0" applyNumberFormat="1" applyBorder="1" applyAlignment="1">
      <alignment vertical="center"/>
    </xf>
    <xf numFmtId="206" fontId="0" fillId="0" borderId="60" xfId="0" applyNumberFormat="1" applyBorder="1" applyAlignment="1">
      <alignment vertical="center"/>
    </xf>
    <xf numFmtId="0" fontId="104" fillId="0" borderId="0" xfId="0" applyFont="1" applyBorder="1" applyProtection="1"/>
    <xf numFmtId="0" fontId="2" fillId="8" borderId="0" xfId="0" applyFont="1" applyFill="1" applyAlignment="1">
      <alignment horizontal="right" vertical="center"/>
    </xf>
    <xf numFmtId="0" fontId="0" fillId="8" borderId="0" xfId="0" applyFill="1" applyAlignment="1">
      <alignment horizontal="lef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Fill="1" applyBorder="1" applyAlignment="1" applyProtection="1">
      <alignment horizontal="left" vertical="center"/>
    </xf>
    <xf numFmtId="0" fontId="1" fillId="0" borderId="0" xfId="7" applyFont="1" applyFill="1" applyBorder="1" applyAlignment="1" applyProtection="1">
      <alignment horizontal="left" vertical="center" wrapText="1"/>
    </xf>
    <xf numFmtId="0" fontId="1" fillId="0" borderId="0" xfId="6" applyFont="1" applyFill="1" applyBorder="1" applyAlignment="1" applyProtection="1">
      <alignment horizontal="left" vertical="center" wrapText="1"/>
    </xf>
    <xf numFmtId="0" fontId="1" fillId="0" borderId="0" xfId="9" applyFont="1" applyFill="1" applyBorder="1" applyAlignment="1" applyProtection="1">
      <alignment horizontal="center" vertical="center" wrapText="1"/>
    </xf>
    <xf numFmtId="0" fontId="1" fillId="0" borderId="0" xfId="6"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0" fontId="1" fillId="0" borderId="0" xfId="7" applyFont="1" applyFill="1" applyBorder="1" applyAlignment="1" applyProtection="1">
      <alignment horizontal="center" vertical="center"/>
    </xf>
    <xf numFmtId="0" fontId="4" fillId="0" borderId="0" xfId="6" applyFont="1" applyFill="1" applyBorder="1" applyAlignment="1" applyProtection="1">
      <alignment horizontal="left" vertical="center" wrapText="1"/>
    </xf>
    <xf numFmtId="0" fontId="1" fillId="0" borderId="0" xfId="0" applyFont="1" applyFill="1"/>
    <xf numFmtId="0" fontId="1" fillId="0" borderId="0" xfId="0" applyFont="1"/>
    <xf numFmtId="0" fontId="2" fillId="0" borderId="0" xfId="7" applyFont="1" applyFill="1" applyBorder="1" applyAlignment="1" applyProtection="1">
      <alignment horizontal="left" vertical="center" wrapText="1"/>
    </xf>
    <xf numFmtId="0" fontId="1" fillId="0" borderId="0" xfId="6" applyFont="1" applyFill="1" applyBorder="1" applyAlignment="1" applyProtection="1">
      <alignment horizontal="left" vertical="center"/>
    </xf>
    <xf numFmtId="0" fontId="131" fillId="0" borderId="0" xfId="8" applyFont="1" applyFill="1" applyBorder="1" applyAlignment="1" applyProtection="1">
      <alignment horizontal="left" vertical="center" readingOrder="1"/>
    </xf>
    <xf numFmtId="200" fontId="1" fillId="0" borderId="0" xfId="7" applyNumberFormat="1" applyFont="1" applyFill="1" applyBorder="1" applyAlignment="1" applyProtection="1">
      <alignment horizontal="left" vertical="center"/>
    </xf>
    <xf numFmtId="0" fontId="1" fillId="0" borderId="0" xfId="8" applyFont="1" applyFill="1" applyBorder="1" applyAlignment="1" applyProtection="1">
      <alignment horizontal="left" vertical="center"/>
    </xf>
    <xf numFmtId="200" fontId="1" fillId="0" borderId="0" xfId="8" applyNumberFormat="1" applyFont="1" applyFill="1" applyBorder="1" applyAlignment="1" applyProtection="1">
      <alignment horizontal="left" vertical="center"/>
    </xf>
    <xf numFmtId="0" fontId="1" fillId="0" borderId="0" xfId="0" applyFont="1" applyFill="1" applyAlignment="1"/>
    <xf numFmtId="0" fontId="1" fillId="0" borderId="0" xfId="0" applyFont="1" applyAlignment="1"/>
    <xf numFmtId="0" fontId="132" fillId="0" borderId="0" xfId="0" applyFont="1" applyFill="1" applyBorder="1" applyAlignment="1" applyProtection="1">
      <alignment horizontal="left" vertical="top"/>
    </xf>
    <xf numFmtId="0" fontId="0" fillId="0" borderId="0" xfId="0" applyAlignment="1">
      <alignment horizontal="left" vertical="center"/>
    </xf>
    <xf numFmtId="0" fontId="0" fillId="0" borderId="0" xfId="0" applyAlignment="1">
      <alignment horizontal="left"/>
    </xf>
    <xf numFmtId="38" fontId="12" fillId="6" borderId="61" xfId="0" applyNumberFormat="1" applyFont="1" applyFill="1" applyBorder="1" applyAlignment="1">
      <alignment horizontal="center" vertical="center"/>
    </xf>
    <xf numFmtId="38" fontId="12" fillId="6" borderId="60" xfId="0" applyNumberFormat="1" applyFont="1" applyFill="1" applyBorder="1" applyAlignment="1">
      <alignment horizontal="center" vertical="center"/>
    </xf>
    <xf numFmtId="0" fontId="1" fillId="10" borderId="0" xfId="0" applyFont="1" applyFill="1" applyAlignment="1"/>
    <xf numFmtId="0" fontId="2" fillId="0" borderId="63" xfId="0" applyFont="1" applyBorder="1"/>
    <xf numFmtId="38" fontId="2" fillId="0" borderId="63" xfId="0" applyNumberFormat="1" applyFont="1" applyBorder="1" applyAlignment="1">
      <alignment horizontal="center" vertical="center"/>
    </xf>
    <xf numFmtId="0" fontId="2" fillId="0" borderId="63" xfId="0" applyFont="1" applyBorder="1" applyAlignment="1">
      <alignment horizontal="center" vertical="center"/>
    </xf>
    <xf numFmtId="38" fontId="0" fillId="0" borderId="63" xfId="0" applyNumberFormat="1" applyBorder="1" applyAlignment="1">
      <alignment horizontal="center" vertical="center"/>
    </xf>
    <xf numFmtId="0" fontId="13" fillId="0" borderId="16" xfId="0" applyFont="1" applyBorder="1" applyAlignment="1">
      <alignment horizontal="center"/>
    </xf>
    <xf numFmtId="0" fontId="13" fillId="0" borderId="139" xfId="0" applyFont="1" applyBorder="1" applyAlignment="1">
      <alignment horizontal="center"/>
    </xf>
    <xf numFmtId="0" fontId="13" fillId="0" borderId="140" xfId="0" applyFont="1" applyBorder="1" applyAlignment="1">
      <alignment horizontal="center"/>
    </xf>
    <xf numFmtId="0" fontId="13" fillId="0" borderId="48"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xf>
    <xf numFmtId="0" fontId="13" fillId="0" borderId="56" xfId="0" applyFont="1" applyBorder="1" applyAlignment="1">
      <alignment horizontal="center"/>
    </xf>
    <xf numFmtId="0" fontId="0" fillId="0" borderId="16" xfId="0" applyBorder="1" applyAlignment="1">
      <alignment horizontal="center" vertical="center"/>
    </xf>
    <xf numFmtId="0" fontId="0" fillId="0" borderId="139"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left" vertical="center"/>
    </xf>
    <xf numFmtId="0" fontId="0" fillId="0" borderId="139" xfId="0" applyBorder="1" applyAlignment="1">
      <alignment horizontal="left" vertical="center"/>
    </xf>
    <xf numFmtId="0" fontId="0" fillId="0" borderId="48" xfId="0" applyBorder="1" applyAlignment="1">
      <alignment horizontal="left"/>
    </xf>
    <xf numFmtId="0" fontId="0" fillId="0" borderId="48" xfId="0" applyBorder="1" applyAlignment="1">
      <alignment horizontal="left" vertical="center"/>
    </xf>
    <xf numFmtId="6" fontId="0" fillId="0" borderId="16" xfId="0" applyNumberFormat="1" applyBorder="1" applyAlignment="1">
      <alignment horizontal="center" vertical="center"/>
    </xf>
    <xf numFmtId="6" fontId="0" fillId="0" borderId="48" xfId="0" applyNumberFormat="1" applyBorder="1" applyAlignment="1">
      <alignment horizontal="center" vertical="center"/>
    </xf>
    <xf numFmtId="0" fontId="0" fillId="17" borderId="139" xfId="0" applyFill="1" applyBorder="1" applyAlignment="1">
      <alignment horizontal="center" vertical="center"/>
    </xf>
    <xf numFmtId="0" fontId="0" fillId="0" borderId="16" xfId="0" applyBorder="1" applyAlignment="1">
      <alignment horizontal="left"/>
    </xf>
    <xf numFmtId="0" fontId="0" fillId="17" borderId="139" xfId="0" applyFill="1" applyBorder="1" applyAlignment="1">
      <alignment horizontal="left"/>
    </xf>
    <xf numFmtId="0" fontId="0" fillId="17" borderId="48" xfId="0" applyFill="1" applyBorder="1" applyAlignment="1">
      <alignment horizontal="left"/>
    </xf>
    <xf numFmtId="6" fontId="0" fillId="17" borderId="48" xfId="0" applyNumberFormat="1" applyFill="1" applyBorder="1" applyAlignment="1">
      <alignment horizontal="center"/>
    </xf>
    <xf numFmtId="0" fontId="0" fillId="0" borderId="139" xfId="0" applyBorder="1" applyAlignment="1">
      <alignment horizontal="left"/>
    </xf>
    <xf numFmtId="0" fontId="0" fillId="17" borderId="0" xfId="0" applyFill="1" applyAlignment="1">
      <alignment horizontal="left"/>
    </xf>
    <xf numFmtId="0" fontId="0" fillId="0" borderId="50" xfId="0" applyBorder="1" applyAlignment="1">
      <alignment horizontal="center" vertical="center"/>
    </xf>
    <xf numFmtId="0" fontId="0" fillId="0" borderId="135" xfId="0" applyBorder="1" applyAlignment="1">
      <alignment horizontal="center" vertical="center"/>
    </xf>
    <xf numFmtId="0" fontId="0" fillId="17" borderId="8" xfId="0" applyFill="1" applyBorder="1" applyAlignment="1">
      <alignment horizontal="center" vertical="center"/>
    </xf>
    <xf numFmtId="0" fontId="0" fillId="17" borderId="14" xfId="0" applyFill="1" applyBorder="1" applyAlignment="1">
      <alignment horizontal="center" vertical="center"/>
    </xf>
    <xf numFmtId="0" fontId="0" fillId="0" borderId="50" xfId="0" applyBorder="1" applyAlignment="1">
      <alignment horizontal="left"/>
    </xf>
    <xf numFmtId="0" fontId="0" fillId="0" borderId="135" xfId="0" applyBorder="1" applyAlignment="1">
      <alignment horizontal="left"/>
    </xf>
    <xf numFmtId="0" fontId="0" fillId="17" borderId="8" xfId="0" applyFill="1" applyBorder="1" applyAlignment="1">
      <alignment horizontal="left"/>
    </xf>
    <xf numFmtId="0" fontId="0" fillId="17" borderId="14" xfId="0" applyFill="1" applyBorder="1" applyAlignment="1">
      <alignment horizontal="left"/>
    </xf>
    <xf numFmtId="0" fontId="0" fillId="0" borderId="50" xfId="0" applyBorder="1" applyAlignment="1">
      <alignment horizontal="left" vertical="center"/>
    </xf>
    <xf numFmtId="0" fontId="0" fillId="0" borderId="14" xfId="0" applyBorder="1" applyAlignment="1">
      <alignment horizontal="left" vertical="center"/>
    </xf>
    <xf numFmtId="6" fontId="0" fillId="0" borderId="50" xfId="0" applyNumberFormat="1" applyBorder="1" applyAlignment="1">
      <alignment horizontal="center" vertical="center"/>
    </xf>
    <xf numFmtId="6" fontId="0" fillId="0" borderId="14" xfId="0" applyNumberFormat="1" applyBorder="1" applyAlignment="1">
      <alignment horizontal="center" vertical="center"/>
    </xf>
    <xf numFmtId="0" fontId="132" fillId="0" borderId="0" xfId="0" applyFont="1" applyAlignment="1">
      <alignment horizontal="left" vertical="top"/>
    </xf>
    <xf numFmtId="0" fontId="110" fillId="0" borderId="26" xfId="2" applyFont="1" applyBorder="1" applyAlignment="1" applyProtection="1">
      <alignment horizontal="center" vertical="center"/>
      <protection locked="0"/>
    </xf>
    <xf numFmtId="38" fontId="52" fillId="0" borderId="0" xfId="2" applyNumberFormat="1" applyFont="1" applyBorder="1" applyAlignment="1" applyProtection="1">
      <alignment horizontal="center" vertical="center"/>
    </xf>
    <xf numFmtId="38" fontId="0" fillId="17" borderId="0" xfId="0" applyNumberFormat="1" applyFill="1" applyAlignment="1">
      <alignment horizontal="center" vertical="center"/>
    </xf>
    <xf numFmtId="38" fontId="0" fillId="0" borderId="2" xfId="0" applyNumberFormat="1" applyBorder="1" applyAlignment="1">
      <alignment horizontal="center" vertical="center"/>
    </xf>
    <xf numFmtId="6" fontId="0" fillId="0" borderId="142" xfId="0" applyNumberFormat="1" applyBorder="1" applyAlignment="1">
      <alignment vertical="center"/>
    </xf>
    <xf numFmtId="0" fontId="4" fillId="0" borderId="17" xfId="0" applyFont="1" applyBorder="1" applyProtection="1">
      <protection locked="0"/>
    </xf>
    <xf numFmtId="0" fontId="4" fillId="0" borderId="18" xfId="0" applyFont="1" applyBorder="1" applyProtection="1">
      <protection locked="0"/>
    </xf>
    <xf numFmtId="0" fontId="4" fillId="0" borderId="80" xfId="0" applyFont="1" applyBorder="1" applyProtection="1">
      <protection locked="0"/>
    </xf>
    <xf numFmtId="0" fontId="129" fillId="0" borderId="28" xfId="0" applyFont="1" applyFill="1" applyBorder="1" applyAlignment="1" applyProtection="1">
      <alignment horizontal="center" vertical="center"/>
    </xf>
    <xf numFmtId="0" fontId="12" fillId="2" borderId="26" xfId="0" applyFont="1" applyFill="1" applyBorder="1" applyAlignment="1" applyProtection="1">
      <alignment horizontal="left" vertical="center"/>
      <protection locked="0"/>
    </xf>
    <xf numFmtId="0" fontId="15" fillId="8" borderId="0" xfId="0" applyFont="1" applyFill="1" applyAlignment="1">
      <alignment horizontal="center" vertical="center"/>
    </xf>
    <xf numFmtId="0" fontId="12" fillId="2" borderId="26" xfId="0" applyFont="1" applyFill="1" applyBorder="1" applyAlignment="1" applyProtection="1">
      <alignment vertical="center"/>
      <protection locked="0"/>
    </xf>
    <xf numFmtId="0" fontId="26" fillId="2" borderId="36" xfId="0" applyFont="1" applyFill="1" applyBorder="1" applyAlignment="1" applyProtection="1">
      <alignment horizontal="left" vertical="center" wrapText="1"/>
      <protection locked="0"/>
    </xf>
    <xf numFmtId="189" fontId="26" fillId="2" borderId="36" xfId="0" applyNumberFormat="1" applyFont="1" applyFill="1" applyBorder="1" applyAlignment="1" applyProtection="1">
      <alignment horizontal="left" vertical="center" wrapText="1"/>
      <protection locked="0"/>
    </xf>
    <xf numFmtId="0" fontId="26" fillId="2" borderId="26" xfId="0" applyFont="1" applyFill="1" applyBorder="1" applyAlignment="1" applyProtection="1">
      <alignment horizontal="left" vertical="center" wrapText="1"/>
      <protection locked="0"/>
    </xf>
    <xf numFmtId="0" fontId="26" fillId="2" borderId="36" xfId="0" applyFont="1" applyFill="1" applyBorder="1" applyAlignment="1" applyProtection="1">
      <alignment vertical="center"/>
      <protection locked="0"/>
    </xf>
    <xf numFmtId="165" fontId="26" fillId="2" borderId="36"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vertical="center"/>
      <protection locked="0"/>
    </xf>
    <xf numFmtId="0" fontId="12" fillId="2" borderId="26" xfId="0" applyFont="1" applyFill="1" applyBorder="1" applyAlignment="1" applyProtection="1">
      <alignment horizontal="center" vertical="center"/>
      <protection locked="0"/>
    </xf>
    <xf numFmtId="1" fontId="12" fillId="2" borderId="147" xfId="0" applyNumberFormat="1" applyFont="1" applyFill="1" applyBorder="1" applyAlignment="1" applyProtection="1">
      <alignment horizontal="center" vertical="center"/>
      <protection locked="0"/>
    </xf>
    <xf numFmtId="1" fontId="12" fillId="2" borderId="148" xfId="0" applyNumberFormat="1" applyFont="1" applyFill="1" applyBorder="1" applyAlignment="1" applyProtection="1">
      <alignment horizontal="center" vertical="center"/>
      <protection locked="0"/>
    </xf>
    <xf numFmtId="1" fontId="12" fillId="2" borderId="149"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pplyProtection="1">
      <alignment vertical="center"/>
    </xf>
    <xf numFmtId="38" fontId="12" fillId="6" borderId="60" xfId="0" applyNumberFormat="1" applyFont="1" applyFill="1" applyBorder="1" applyAlignment="1">
      <alignment horizontal="center" vertical="center"/>
    </xf>
    <xf numFmtId="0" fontId="0" fillId="0" borderId="0" xfId="0" applyBorder="1" applyAlignment="1" applyProtection="1">
      <alignment horizontal="left" vertical="top"/>
    </xf>
    <xf numFmtId="0" fontId="0" fillId="0" borderId="0" xfId="0" applyFont="1" applyBorder="1" applyAlignment="1" applyProtection="1">
      <alignment horizontal="left" vertical="center" wrapText="1"/>
    </xf>
    <xf numFmtId="167" fontId="0" fillId="8" borderId="0" xfId="0" applyNumberFormat="1" applyFill="1" applyAlignment="1">
      <alignment horizontal="left" vertical="top"/>
    </xf>
    <xf numFmtId="0" fontId="0" fillId="0" borderId="0" xfId="0" applyAlignment="1">
      <alignment horizontal="left" vertical="center"/>
    </xf>
    <xf numFmtId="0" fontId="0" fillId="0" borderId="0" xfId="0" applyBorder="1" applyAlignment="1" applyProtection="1">
      <alignment horizontal="left" vertical="center"/>
    </xf>
    <xf numFmtId="0" fontId="0" fillId="23" borderId="0" xfId="0" applyFill="1"/>
    <xf numFmtId="0" fontId="2" fillId="0" borderId="0" xfId="0" applyFont="1" applyFill="1" applyBorder="1" applyAlignment="1">
      <alignment horizontal="left"/>
    </xf>
    <xf numFmtId="0" fontId="5" fillId="0" borderId="0" xfId="0" applyFont="1" applyFill="1"/>
    <xf numFmtId="0" fontId="5" fillId="0" borderId="0" xfId="0" applyFont="1" applyFill="1" applyBorder="1" applyAlignment="1">
      <alignment vertical="center"/>
    </xf>
    <xf numFmtId="0" fontId="5" fillId="0" borderId="0" xfId="0" applyFont="1" applyFill="1" applyBorder="1"/>
    <xf numFmtId="0" fontId="0" fillId="12" borderId="0" xfId="0" applyFill="1"/>
    <xf numFmtId="49" fontId="0" fillId="12" borderId="57" xfId="0" applyNumberFormat="1" applyFill="1" applyBorder="1" applyAlignment="1">
      <alignment vertical="center"/>
    </xf>
    <xf numFmtId="0" fontId="12" fillId="12" borderId="0" xfId="0" applyFont="1" applyFill="1" applyBorder="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Border="1" applyAlignment="1" applyProtection="1">
      <alignment horizontal="center" vertical="center"/>
    </xf>
    <xf numFmtId="49" fontId="0" fillId="12" borderId="0" xfId="0" applyNumberFormat="1" applyFill="1" applyBorder="1" applyAlignment="1">
      <alignment vertical="center"/>
    </xf>
    <xf numFmtId="0" fontId="0" fillId="12" borderId="0" xfId="0" applyFill="1" applyBorder="1"/>
    <xf numFmtId="0" fontId="2" fillId="0" borderId="18" xfId="0" applyFont="1" applyFill="1" applyBorder="1" applyAlignment="1">
      <alignment vertical="center"/>
    </xf>
    <xf numFmtId="0" fontId="2" fillId="0" borderId="18" xfId="0" applyFont="1" applyBorder="1" applyAlignment="1">
      <alignment vertical="center"/>
    </xf>
    <xf numFmtId="0" fontId="12" fillId="8" borderId="0" xfId="0" applyFont="1" applyFill="1" applyBorder="1" applyAlignment="1" applyProtection="1">
      <alignment horizontal="center" vertical="center"/>
    </xf>
    <xf numFmtId="44" fontId="0" fillId="14" borderId="0" xfId="0" quotePrefix="1" applyNumberFormat="1" applyFill="1"/>
    <xf numFmtId="0" fontId="0" fillId="0" borderId="0" xfId="0" applyFont="1" applyBorder="1" applyAlignment="1" applyProtection="1">
      <alignment horizontal="left" vertical="center" wrapText="1"/>
    </xf>
    <xf numFmtId="0" fontId="0" fillId="0" borderId="0" xfId="0" applyBorder="1" applyAlignment="1" applyProtection="1">
      <alignment horizontal="left" vertical="top"/>
    </xf>
    <xf numFmtId="0" fontId="2" fillId="17" borderId="18" xfId="0" applyFont="1" applyFill="1" applyBorder="1" applyAlignment="1">
      <alignment vertical="center"/>
    </xf>
    <xf numFmtId="0" fontId="0" fillId="17" borderId="18" xfId="0" applyFill="1" applyBorder="1"/>
    <xf numFmtId="0" fontId="4" fillId="0" borderId="2" xfId="0" applyFont="1" applyBorder="1" applyAlignment="1" applyProtection="1">
      <alignment horizontal="left" vertical="top"/>
    </xf>
    <xf numFmtId="38" fontId="4" fillId="26" borderId="123" xfId="0" applyNumberFormat="1" applyFont="1" applyFill="1" applyBorder="1" applyAlignment="1">
      <alignment horizontal="center" vertical="center"/>
    </xf>
    <xf numFmtId="38" fontId="4" fillId="0" borderId="2" xfId="0" applyNumberFormat="1" applyFont="1" applyBorder="1" applyAlignment="1" applyProtection="1">
      <alignment horizontal="center" vertical="center"/>
    </xf>
    <xf numFmtId="0" fontId="0" fillId="0" borderId="2" xfId="0" applyBorder="1" applyAlignment="1">
      <alignment horizontal="left" vertical="center"/>
    </xf>
    <xf numFmtId="38" fontId="12" fillId="6" borderId="159" xfId="0" applyNumberFormat="1" applyFont="1" applyFill="1" applyBorder="1" applyAlignment="1">
      <alignment horizontal="center" vertical="center"/>
    </xf>
    <xf numFmtId="0" fontId="0" fillId="0" borderId="142" xfId="0" applyBorder="1"/>
    <xf numFmtId="0" fontId="0" fillId="0" borderId="14" xfId="0" applyBorder="1"/>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vertical="top"/>
    </xf>
    <xf numFmtId="38" fontId="12" fillId="6" borderId="60" xfId="0" applyNumberFormat="1" applyFont="1" applyFill="1" applyBorder="1" applyAlignment="1">
      <alignment horizontal="center" vertical="center"/>
    </xf>
    <xf numFmtId="0" fontId="0" fillId="0" borderId="0" xfId="0" applyBorder="1" applyAlignment="1">
      <alignment horizontal="left" wrapText="1"/>
    </xf>
    <xf numFmtId="40" fontId="0" fillId="0" borderId="18" xfId="0" quotePrefix="1" applyNumberFormat="1" applyBorder="1" applyAlignment="1">
      <alignment vertical="center"/>
    </xf>
    <xf numFmtId="40" fontId="0" fillId="0" borderId="18" xfId="0" quotePrefix="1" applyNumberFormat="1" applyFill="1" applyBorder="1" applyAlignment="1">
      <alignment vertical="center"/>
    </xf>
    <xf numFmtId="0" fontId="0" fillId="0" borderId="2" xfId="0" applyBorder="1" applyAlignment="1" applyProtection="1">
      <alignment horizontal="left" vertical="center"/>
    </xf>
    <xf numFmtId="0" fontId="0" fillId="0" borderId="160" xfId="0" applyBorder="1"/>
    <xf numFmtId="0" fontId="0" fillId="0" borderId="161" xfId="0" applyBorder="1"/>
    <xf numFmtId="0" fontId="0" fillId="0" borderId="0" xfId="0" applyBorder="1" applyAlignment="1">
      <alignment horizontal="left" vertical="center" wrapText="1"/>
    </xf>
    <xf numFmtId="0" fontId="0" fillId="7" borderId="0" xfId="0" quotePrefix="1" applyFill="1" applyAlignment="1">
      <alignment vertical="center"/>
    </xf>
    <xf numFmtId="0" fontId="95" fillId="0" borderId="0" xfId="0" applyFont="1" applyAlignment="1">
      <alignment vertical="center"/>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2" fillId="0" borderId="37" xfId="0" applyFont="1" applyBorder="1" applyAlignment="1">
      <alignment vertical="center"/>
    </xf>
    <xf numFmtId="0" fontId="0" fillId="0" borderId="37" xfId="0" applyFill="1" applyBorder="1" applyAlignment="1">
      <alignment vertical="center"/>
    </xf>
    <xf numFmtId="0" fontId="0" fillId="0" borderId="37" xfId="0" applyFill="1" applyBorder="1"/>
    <xf numFmtId="0" fontId="2" fillId="27" borderId="37" xfId="0" applyFont="1" applyFill="1" applyBorder="1" applyAlignment="1">
      <alignment vertical="center"/>
    </xf>
    <xf numFmtId="0" fontId="0" fillId="27" borderId="37" xfId="0" applyFill="1" applyBorder="1"/>
    <xf numFmtId="38" fontId="4" fillId="0" borderId="0" xfId="0" applyNumberFormat="1" applyFont="1" applyFill="1" applyAlignment="1" applyProtection="1">
      <alignment vertical="center"/>
    </xf>
    <xf numFmtId="0" fontId="0" fillId="0" borderId="2" xfId="0" applyBorder="1" applyAlignment="1">
      <alignment horizontal="center" vertical="center"/>
    </xf>
    <xf numFmtId="9" fontId="0" fillId="0" borderId="165" xfId="4" applyFont="1" applyBorder="1" applyAlignment="1">
      <alignment horizontal="center" vertical="center"/>
    </xf>
    <xf numFmtId="9" fontId="4" fillId="0" borderId="166" xfId="4" applyFont="1" applyBorder="1" applyAlignment="1">
      <alignment horizontal="center" vertical="center"/>
    </xf>
    <xf numFmtId="9" fontId="0" fillId="0" borderId="167" xfId="4" applyFont="1" applyBorder="1" applyAlignment="1">
      <alignment horizontal="center" vertical="center"/>
    </xf>
    <xf numFmtId="9" fontId="0" fillId="0" borderId="169" xfId="4" applyFont="1" applyBorder="1" applyAlignment="1">
      <alignment horizontal="center" vertical="center"/>
    </xf>
    <xf numFmtId="0" fontId="0" fillId="17" borderId="174" xfId="0" applyFill="1" applyBorder="1"/>
    <xf numFmtId="0" fontId="0" fillId="0" borderId="175" xfId="0" applyBorder="1" applyAlignment="1">
      <alignment horizontal="center" vertical="center"/>
    </xf>
    <xf numFmtId="0" fontId="0" fillId="17" borderId="164" xfId="0" applyFill="1" applyBorder="1" applyAlignment="1">
      <alignment horizontal="center" vertical="center"/>
    </xf>
    <xf numFmtId="0" fontId="0" fillId="17" borderId="175" xfId="0" applyFill="1" applyBorder="1" applyAlignment="1">
      <alignment horizontal="center" vertical="center"/>
    </xf>
    <xf numFmtId="0" fontId="0" fillId="17" borderId="165" xfId="0" applyFill="1" applyBorder="1" applyAlignment="1">
      <alignment horizontal="center" vertical="center"/>
    </xf>
    <xf numFmtId="0" fontId="0" fillId="17" borderId="166" xfId="0" applyFill="1" applyBorder="1" applyAlignment="1">
      <alignment horizontal="center" vertical="center"/>
    </xf>
    <xf numFmtId="0" fontId="0" fillId="17" borderId="176" xfId="0" applyFill="1" applyBorder="1" applyAlignment="1">
      <alignment horizontal="center" vertical="center"/>
    </xf>
    <xf numFmtId="0" fontId="0" fillId="17" borderId="167" xfId="0" applyFill="1" applyBorder="1" applyAlignment="1">
      <alignment horizontal="center" vertical="center"/>
    </xf>
    <xf numFmtId="214" fontId="4" fillId="0" borderId="0" xfId="0" applyNumberFormat="1" applyFont="1" applyFill="1" applyAlignment="1">
      <alignment horizontal="left" vertical="center"/>
    </xf>
    <xf numFmtId="0" fontId="121" fillId="0" borderId="0" xfId="0" applyFont="1" applyFill="1" applyAlignment="1">
      <alignment horizontal="left" vertical="center"/>
    </xf>
    <xf numFmtId="214" fontId="12" fillId="6" borderId="20" xfId="0" applyNumberFormat="1" applyFont="1" applyFill="1" applyBorder="1" applyAlignment="1">
      <alignment horizontal="center" vertical="center"/>
    </xf>
    <xf numFmtId="214" fontId="12" fillId="6" borderId="21" xfId="0" applyNumberFormat="1" applyFont="1" applyFill="1" applyBorder="1" applyAlignment="1">
      <alignment horizontal="center" vertical="center"/>
    </xf>
    <xf numFmtId="214" fontId="12" fillId="6" borderId="22" xfId="0" applyNumberFormat="1" applyFont="1" applyFill="1" applyBorder="1" applyAlignment="1">
      <alignment horizontal="center" vertical="center"/>
    </xf>
    <xf numFmtId="9" fontId="12" fillId="6" borderId="164" xfId="4" applyFont="1" applyFill="1" applyBorder="1" applyAlignment="1">
      <alignment horizontal="center" vertical="center"/>
    </xf>
    <xf numFmtId="0" fontId="12" fillId="6" borderId="163" xfId="0" applyFont="1" applyFill="1" applyBorder="1" applyAlignment="1">
      <alignment horizontal="center" vertical="center"/>
    </xf>
    <xf numFmtId="0" fontId="12" fillId="6" borderId="164" xfId="0" applyFont="1" applyFill="1" applyBorder="1" applyAlignment="1">
      <alignment horizontal="center" vertical="center"/>
    </xf>
    <xf numFmtId="215" fontId="12" fillId="6" borderId="169" xfId="4" applyNumberFormat="1" applyFont="1" applyFill="1" applyBorder="1" applyAlignment="1">
      <alignment horizontal="center" vertical="center"/>
    </xf>
    <xf numFmtId="215" fontId="12" fillId="6" borderId="165" xfId="4" applyNumberFormat="1" applyFont="1" applyFill="1" applyBorder="1" applyAlignment="1">
      <alignment horizontal="center" vertical="center"/>
    </xf>
    <xf numFmtId="0" fontId="2" fillId="0" borderId="171" xfId="0" applyFont="1" applyBorder="1" applyAlignment="1">
      <alignment horizontal="center"/>
    </xf>
    <xf numFmtId="0" fontId="2" fillId="0" borderId="170" xfId="0" applyFont="1" applyBorder="1" applyAlignment="1">
      <alignment horizontal="center"/>
    </xf>
    <xf numFmtId="0" fontId="2" fillId="0" borderId="172" xfId="0" applyFont="1" applyBorder="1" applyAlignment="1">
      <alignment horizontal="center"/>
    </xf>
    <xf numFmtId="0" fontId="2" fillId="0" borderId="173" xfId="0" applyFont="1" applyBorder="1" applyAlignment="1">
      <alignment horizontal="center"/>
    </xf>
    <xf numFmtId="0" fontId="2" fillId="0" borderId="170" xfId="0" applyFont="1" applyFill="1" applyBorder="1" applyAlignment="1">
      <alignment horizontal="center"/>
    </xf>
    <xf numFmtId="0" fontId="0" fillId="8" borderId="0" xfId="0" applyFill="1" applyAlignment="1">
      <alignment horizontal="left" vertical="center"/>
    </xf>
    <xf numFmtId="175" fontId="87" fillId="0" borderId="0" xfId="1" applyNumberFormat="1" applyFont="1" applyFill="1"/>
    <xf numFmtId="0" fontId="0" fillId="0" borderId="0" xfId="0" applyBorder="1" applyAlignment="1" applyProtection="1">
      <alignment horizontal="left" vertical="center"/>
    </xf>
    <xf numFmtId="0" fontId="38" fillId="0" borderId="0" xfId="2" applyFont="1" applyFill="1" applyAlignment="1">
      <alignment horizontal="center"/>
    </xf>
    <xf numFmtId="9" fontId="12" fillId="0" borderId="0" xfId="4" applyFont="1" applyFill="1" applyBorder="1" applyAlignment="1">
      <alignment horizontal="center" vertical="center"/>
    </xf>
    <xf numFmtId="38" fontId="0" fillId="0" borderId="0" xfId="0" applyNumberFormat="1" applyAlignment="1" applyProtection="1">
      <alignment horizontal="center" vertical="center"/>
    </xf>
    <xf numFmtId="38" fontId="15" fillId="8" borderId="0" xfId="0" applyNumberFormat="1" applyFont="1" applyFill="1" applyAlignment="1" applyProtection="1">
      <alignment horizontal="center" vertical="center"/>
    </xf>
    <xf numFmtId="0" fontId="4" fillId="0" borderId="0" xfId="0" applyFont="1" applyAlignment="1" applyProtection="1">
      <alignment horizontal="center" vertical="top"/>
    </xf>
    <xf numFmtId="0" fontId="0" fillId="0" borderId="0" xfId="0" applyNumberFormat="1" applyAlignment="1">
      <alignment vertical="center"/>
    </xf>
    <xf numFmtId="38" fontId="12" fillId="6" borderId="61" xfId="0" applyNumberFormat="1" applyFont="1" applyFill="1" applyBorder="1" applyAlignment="1">
      <alignment horizontal="center" vertical="center"/>
    </xf>
    <xf numFmtId="0" fontId="0" fillId="0" borderId="0" xfId="0" applyBorder="1" applyAlignment="1" applyProtection="1">
      <alignment vertical="center"/>
    </xf>
    <xf numFmtId="38" fontId="12" fillId="6" borderId="60" xfId="0" applyNumberFormat="1" applyFont="1" applyFill="1" applyBorder="1" applyAlignment="1">
      <alignment horizontal="center" vertical="center"/>
    </xf>
    <xf numFmtId="0" fontId="0" fillId="0" borderId="90" xfId="0" applyBorder="1" applyAlignment="1">
      <alignment horizontal="right"/>
    </xf>
    <xf numFmtId="0" fontId="0" fillId="0" borderId="0" xfId="0" applyBorder="1" applyAlignment="1">
      <alignment horizontal="right"/>
    </xf>
    <xf numFmtId="0" fontId="0" fillId="0" borderId="0" xfId="0" quotePrefix="1" applyFont="1" applyBorder="1" applyAlignment="1"/>
    <xf numFmtId="0" fontId="12" fillId="2" borderId="1" xfId="0" applyFont="1" applyFill="1" applyBorder="1" applyAlignment="1" applyProtection="1">
      <alignment horizontal="center" vertical="center"/>
    </xf>
    <xf numFmtId="0" fontId="0" fillId="17" borderId="0" xfId="0" applyFill="1" applyAlignment="1" applyProtection="1"/>
    <xf numFmtId="0" fontId="8" fillId="0" borderId="0" xfId="0" applyFont="1" applyAlignment="1">
      <alignment vertical="center"/>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horizontal="left" vertical="center" wrapText="1"/>
    </xf>
    <xf numFmtId="0" fontId="121" fillId="0" borderId="0" xfId="0" applyFont="1" applyBorder="1" applyAlignment="1" applyProtection="1">
      <alignment horizontal="left" wrapText="1"/>
    </xf>
    <xf numFmtId="38" fontId="4" fillId="0" borderId="0" xfId="0" applyNumberFormat="1" applyFont="1" applyFill="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vertical="top" wrapText="1"/>
    </xf>
    <xf numFmtId="0" fontId="0" fillId="0" borderId="0" xfId="0" applyBorder="1" applyAlignment="1" applyProtection="1">
      <alignment horizontal="left" vertical="top" wrapText="1"/>
    </xf>
    <xf numFmtId="0" fontId="0" fillId="0" borderId="0" xfId="0" applyBorder="1" applyAlignment="1" applyProtection="1">
      <alignment vertical="top" wrapText="1"/>
    </xf>
    <xf numFmtId="0" fontId="104" fillId="0" borderId="0" xfId="0" quotePrefix="1" applyFont="1" applyBorder="1" applyAlignment="1" applyProtection="1">
      <alignment horizontal="right" vertical="center"/>
    </xf>
    <xf numFmtId="0" fontId="0" fillId="0" borderId="17" xfId="0" applyFont="1" applyFill="1" applyBorder="1" applyAlignment="1">
      <alignment vertical="center"/>
    </xf>
    <xf numFmtId="216" fontId="12" fillId="6" borderId="60" xfId="0" applyNumberFormat="1" applyFont="1" applyFill="1" applyBorder="1" applyAlignment="1">
      <alignment horizontal="center" vertical="center" wrapText="1"/>
    </xf>
    <xf numFmtId="0" fontId="4" fillId="8" borderId="7" xfId="0" applyFont="1" applyFill="1" applyBorder="1" applyAlignment="1" applyProtection="1">
      <alignment horizontal="center" vertical="center"/>
    </xf>
    <xf numFmtId="0" fontId="8" fillId="0" borderId="0" xfId="0" applyFont="1" applyBorder="1" applyAlignment="1" applyProtection="1">
      <alignment vertical="center"/>
    </xf>
    <xf numFmtId="217" fontId="12" fillId="6" borderId="60" xfId="0" applyNumberFormat="1" applyFont="1" applyFill="1" applyBorder="1" applyAlignment="1" applyProtection="1">
      <alignment horizontal="center" vertical="center" wrapText="1"/>
    </xf>
    <xf numFmtId="0" fontId="0" fillId="0" borderId="0" xfId="0" applyBorder="1" applyAlignment="1" applyProtection="1">
      <alignment vertical="top"/>
    </xf>
    <xf numFmtId="0" fontId="4" fillId="0" borderId="17" xfId="0" applyFont="1" applyFill="1" applyBorder="1" applyAlignment="1" applyProtection="1">
      <alignment horizontal="center" vertical="center"/>
    </xf>
    <xf numFmtId="0" fontId="4" fillId="0" borderId="44"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8" borderId="28" xfId="0" applyFont="1" applyFill="1" applyBorder="1" applyAlignment="1" applyProtection="1">
      <alignment horizontal="center" vertical="center"/>
    </xf>
    <xf numFmtId="0" fontId="104" fillId="0" borderId="0" xfId="0" applyFont="1" applyProtection="1"/>
    <xf numFmtId="0" fontId="104" fillId="0" borderId="0" xfId="0" applyFont="1" applyFill="1" applyAlignment="1" applyProtection="1">
      <alignment horizontal="left" vertical="top"/>
    </xf>
    <xf numFmtId="38" fontId="104" fillId="0" borderId="0" xfId="0" applyNumberFormat="1" applyFont="1" applyBorder="1" applyAlignment="1" applyProtection="1">
      <alignment horizontal="left" vertical="center"/>
    </xf>
    <xf numFmtId="0" fontId="104" fillId="0" borderId="0" xfId="0" applyFont="1" applyAlignment="1">
      <alignment horizontal="left" vertical="center"/>
    </xf>
    <xf numFmtId="0" fontId="104" fillId="8" borderId="0" xfId="0" applyFont="1" applyFill="1" applyAlignment="1">
      <alignment horizontal="left" vertical="center"/>
    </xf>
    <xf numFmtId="0" fontId="104" fillId="0" borderId="0" xfId="0" applyFont="1" applyBorder="1" applyAlignment="1" applyProtection="1">
      <alignment vertical="center"/>
    </xf>
    <xf numFmtId="0" fontId="104" fillId="8" borderId="0" xfId="0" applyFont="1" applyFill="1"/>
    <xf numFmtId="0" fontId="104" fillId="0" borderId="0" xfId="0" applyFont="1" applyAlignment="1" applyProtection="1">
      <alignment vertical="center"/>
    </xf>
    <xf numFmtId="0" fontId="4" fillId="0" borderId="0" xfId="0" applyFont="1" applyFill="1" applyBorder="1" applyAlignment="1">
      <alignment horizontal="left" vertical="center"/>
    </xf>
    <xf numFmtId="0" fontId="2" fillId="0" borderId="28" xfId="0" applyFont="1" applyFill="1" applyBorder="1" applyAlignment="1" applyProtection="1">
      <alignment horizontal="center" vertical="center"/>
    </xf>
    <xf numFmtId="0" fontId="104" fillId="0" borderId="0" xfId="0" applyFont="1" applyFill="1" applyAlignment="1" applyProtection="1">
      <alignment horizontal="left"/>
    </xf>
    <xf numFmtId="0" fontId="15" fillId="0" borderId="0" xfId="0" applyFont="1" applyFill="1" applyBorder="1" applyAlignment="1" applyProtection="1">
      <alignment horizontal="center" vertical="top"/>
    </xf>
    <xf numFmtId="0" fontId="15" fillId="8" borderId="0" xfId="0" applyFont="1" applyFill="1" applyAlignment="1" applyProtection="1">
      <alignment horizontal="center" vertical="top"/>
    </xf>
    <xf numFmtId="0" fontId="15" fillId="8" borderId="0" xfId="0" applyFont="1" applyFill="1" applyAlignment="1">
      <alignment horizontal="center" vertical="top"/>
    </xf>
    <xf numFmtId="38" fontId="12" fillId="6" borderId="61" xfId="0" applyNumberFormat="1" applyFont="1" applyFill="1" applyBorder="1" applyAlignment="1">
      <alignment horizontal="center" vertical="center"/>
    </xf>
    <xf numFmtId="0" fontId="4" fillId="0" borderId="0" xfId="0" applyFont="1" applyBorder="1" applyAlignment="1" applyProtection="1">
      <alignment horizontal="left" vertical="center"/>
    </xf>
    <xf numFmtId="38" fontId="12" fillId="6" borderId="60" xfId="0" applyNumberFormat="1" applyFont="1" applyFill="1" applyBorder="1" applyAlignment="1">
      <alignment horizontal="center" vertical="center"/>
    </xf>
    <xf numFmtId="0" fontId="133" fillId="0" borderId="0" xfId="0" applyFont="1" applyBorder="1" applyAlignment="1" applyProtection="1">
      <alignment horizontal="left" vertical="center"/>
    </xf>
    <xf numFmtId="0" fontId="133" fillId="0" borderId="0" xfId="0" applyFont="1" applyAlignment="1">
      <alignment horizontal="left" vertical="center"/>
    </xf>
    <xf numFmtId="0" fontId="133" fillId="0" borderId="0" xfId="0" applyFont="1"/>
    <xf numFmtId="0" fontId="2" fillId="0" borderId="0" xfId="0" applyFont="1" applyAlignment="1"/>
    <xf numFmtId="216" fontId="12" fillId="6" borderId="60" xfId="0" applyNumberFormat="1" applyFont="1" applyFill="1" applyBorder="1" applyAlignment="1" applyProtection="1">
      <alignment horizontal="center" vertical="center" wrapText="1"/>
    </xf>
    <xf numFmtId="0" fontId="133" fillId="0" borderId="0" xfId="0" applyFont="1" applyAlignment="1">
      <alignment horizontal="left" vertical="top"/>
    </xf>
    <xf numFmtId="0" fontId="0" fillId="0" borderId="0" xfId="0" applyAlignment="1">
      <alignment horizontal="left" vertical="top" wrapText="1"/>
    </xf>
    <xf numFmtId="38" fontId="12" fillId="6" borderId="60"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0" fontId="25" fillId="0" borderId="0" xfId="0" applyFont="1" applyAlignment="1">
      <alignment horizontal="left" vertical="top" wrapText="1"/>
    </xf>
    <xf numFmtId="0" fontId="25" fillId="0" borderId="0" xfId="0" quotePrefix="1" applyFont="1" applyAlignment="1">
      <alignment horizontal="left" vertical="top" wrapText="1"/>
    </xf>
    <xf numFmtId="0" fontId="0" fillId="0" borderId="0" xfId="0" applyBorder="1" applyAlignment="1" applyProtection="1">
      <alignment vertical="center"/>
    </xf>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Alignment="1">
      <alignment horizontal="center" vertical="center"/>
    </xf>
    <xf numFmtId="0" fontId="0" fillId="0" borderId="160" xfId="0" applyBorder="1" applyAlignment="1" applyProtection="1">
      <alignment horizontal="center" vertical="center"/>
    </xf>
    <xf numFmtId="0" fontId="0" fillId="0" borderId="0" xfId="0" applyAlignment="1" applyProtection="1">
      <alignment vertical="top" wrapText="1"/>
    </xf>
    <xf numFmtId="8" fontId="0" fillId="0" borderId="160" xfId="0" applyNumberFormat="1" applyBorder="1" applyAlignment="1" applyProtection="1">
      <alignment horizontal="center" vertical="center"/>
    </xf>
    <xf numFmtId="38" fontId="0" fillId="0" borderId="1" xfId="0" applyNumberFormat="1" applyBorder="1" applyAlignment="1" applyProtection="1">
      <alignment horizontal="center" vertical="center" wrapText="1"/>
    </xf>
    <xf numFmtId="201" fontId="12" fillId="2" borderId="160" xfId="0" applyNumberFormat="1" applyFont="1" applyFill="1" applyBorder="1" applyAlignment="1" applyProtection="1">
      <alignment vertical="center"/>
      <protection locked="0"/>
    </xf>
    <xf numFmtId="201" fontId="4" fillId="0" borderId="160" xfId="0" applyNumberFormat="1" applyFont="1" applyFill="1" applyBorder="1" applyAlignment="1" applyProtection="1"/>
    <xf numFmtId="0" fontId="0" fillId="0" borderId="79" xfId="0" quotePrefix="1" applyFont="1" applyBorder="1" applyAlignment="1"/>
    <xf numFmtId="38" fontId="12" fillId="6" borderId="79" xfId="4" applyNumberFormat="1" applyFont="1" applyFill="1" applyBorder="1" applyAlignment="1">
      <alignment horizontal="center" vertical="center"/>
    </xf>
    <xf numFmtId="0" fontId="0" fillId="0" borderId="87" xfId="0" quotePrefix="1" applyFont="1" applyBorder="1" applyAlignment="1"/>
    <xf numFmtId="6" fontId="0" fillId="0" borderId="160" xfId="0" applyNumberFormat="1" applyBorder="1" applyAlignment="1" applyProtection="1">
      <alignment horizontal="right" vertical="top"/>
    </xf>
    <xf numFmtId="8" fontId="0" fillId="0" borderId="1" xfId="0" applyNumberFormat="1" applyBorder="1" applyAlignment="1" applyProtection="1">
      <alignment horizontal="right" vertical="top"/>
    </xf>
    <xf numFmtId="0" fontId="4" fillId="0" borderId="0" xfId="0" quotePrefix="1" applyFont="1" applyAlignment="1">
      <alignment horizontal="left" vertical="center"/>
    </xf>
    <xf numFmtId="0" fontId="0" fillId="0" borderId="0" xfId="0" applyBorder="1" applyAlignment="1" applyProtection="1">
      <alignment horizontal="left" vertical="top"/>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12" fillId="6" borderId="160" xfId="0" applyFont="1" applyFill="1" applyBorder="1" applyAlignment="1">
      <alignment horizontal="center" vertical="center"/>
    </xf>
    <xf numFmtId="0" fontId="12" fillId="6" borderId="1" xfId="0"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pplyProtection="1">
      <alignment horizontal="center" vertical="center"/>
    </xf>
    <xf numFmtId="0" fontId="0" fillId="0" borderId="83" xfId="0" applyBorder="1"/>
    <xf numFmtId="0" fontId="4" fillId="0" borderId="0" xfId="0" applyNumberFormat="1" applyFont="1" applyFill="1" applyBorder="1" applyAlignment="1">
      <alignment horizontal="right" vertical="center"/>
    </xf>
    <xf numFmtId="0" fontId="4" fillId="0" borderId="17" xfId="0" applyNumberFormat="1" applyFont="1" applyFill="1" applyBorder="1" applyAlignment="1">
      <alignment horizontal="right" vertical="center"/>
    </xf>
    <xf numFmtId="0" fontId="4" fillId="0" borderId="0" xfId="0" applyNumberFormat="1" applyFont="1" applyBorder="1" applyAlignment="1">
      <alignment horizontal="right" vertical="center"/>
    </xf>
    <xf numFmtId="44" fontId="135" fillId="0" borderId="0" xfId="1" applyFont="1" applyFill="1" applyBorder="1" applyAlignment="1" applyProtection="1">
      <alignment horizontal="right" vertical="center"/>
    </xf>
    <xf numFmtId="0" fontId="0" fillId="0" borderId="0" xfId="0" quotePrefix="1" applyFill="1" applyBorder="1" applyProtection="1"/>
    <xf numFmtId="0" fontId="0" fillId="0" borderId="7" xfId="0" applyBorder="1" applyAlignment="1">
      <alignment horizontal="center"/>
    </xf>
    <xf numFmtId="0" fontId="12" fillId="6" borderId="77" xfId="0" applyFont="1" applyFill="1" applyBorder="1" applyAlignment="1">
      <alignment horizontal="center" vertical="center"/>
    </xf>
    <xf numFmtId="0" fontId="0" fillId="0" borderId="16" xfId="0" applyBorder="1"/>
    <xf numFmtId="0" fontId="0" fillId="7" borderId="16" xfId="0"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pplyProtection="1">
      <alignment horizontal="left" vertical="center" wrapText="1"/>
    </xf>
    <xf numFmtId="0" fontId="0" fillId="0" borderId="56" xfId="0" applyBorder="1" applyAlignment="1" applyProtection="1">
      <alignment horizontal="left" vertical="center" wrapText="1"/>
    </xf>
    <xf numFmtId="0" fontId="2" fillId="0" borderId="16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0" xfId="0" applyBorder="1" applyAlignment="1" applyProtection="1">
      <alignment horizontal="left" vertical="top" wrapText="1"/>
    </xf>
    <xf numFmtId="0" fontId="0" fillId="0" borderId="0" xfId="0" applyBorder="1" applyAlignment="1" applyProtection="1">
      <alignment vertical="center"/>
    </xf>
    <xf numFmtId="0" fontId="0" fillId="0" borderId="0" xfId="0" quotePrefix="1" applyFont="1" applyFill="1" applyAlignment="1">
      <alignment horizontal="center" vertical="center"/>
    </xf>
    <xf numFmtId="0" fontId="0" fillId="17" borderId="0" xfId="0" quotePrefix="1" applyFont="1" applyFill="1" applyAlignment="1">
      <alignment horizontal="center" vertical="center"/>
    </xf>
    <xf numFmtId="187" fontId="0" fillId="0" borderId="0" xfId="4" quotePrefix="1" applyNumberFormat="1" applyFont="1" applyFill="1" applyAlignment="1">
      <alignment horizontal="center" vertical="center"/>
    </xf>
    <xf numFmtId="0" fontId="0" fillId="0" borderId="0" xfId="0" applyFill="1" applyBorder="1" applyAlignment="1">
      <alignment horizontal="right" vertical="center"/>
    </xf>
    <xf numFmtId="0" fontId="13" fillId="0" borderId="0" xfId="0" quotePrefix="1" applyFont="1" applyAlignment="1">
      <alignment horizontal="center"/>
    </xf>
    <xf numFmtId="9" fontId="0" fillId="0" borderId="0" xfId="4" quotePrefix="1" applyFont="1" applyAlignment="1">
      <alignment horizontal="center" vertical="center"/>
    </xf>
    <xf numFmtId="9" fontId="0" fillId="0" borderId="0" xfId="4"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7" borderId="60" xfId="0" quotePrefix="1" applyFill="1" applyBorder="1" applyAlignment="1">
      <alignment vertical="center"/>
    </xf>
    <xf numFmtId="0" fontId="0" fillId="0" borderId="0" xfId="4" applyNumberFormat="1" applyFont="1" applyFill="1" applyAlignment="1">
      <alignment vertical="center"/>
    </xf>
    <xf numFmtId="1" fontId="10" fillId="0" borderId="106" xfId="0" applyNumberFormat="1" applyFont="1" applyFill="1" applyBorder="1" applyAlignment="1" applyProtection="1">
      <alignment horizontal="center" vertical="center"/>
    </xf>
    <xf numFmtId="0" fontId="0" fillId="0" borderId="0" xfId="0" applyFill="1" applyAlignment="1"/>
    <xf numFmtId="0" fontId="12" fillId="0" borderId="0" xfId="0" applyFont="1" applyBorder="1" applyAlignment="1" applyProtection="1">
      <alignment horizontal="left" vertical="top" wrapText="1"/>
    </xf>
    <xf numFmtId="38" fontId="4" fillId="0" borderId="181" xfId="0" applyNumberFormat="1" applyFont="1" applyFill="1" applyBorder="1" applyAlignment="1" applyProtection="1">
      <alignment horizontal="center" vertical="center"/>
    </xf>
    <xf numFmtId="0" fontId="10" fillId="0" borderId="186" xfId="0" applyFont="1" applyFill="1" applyBorder="1" applyAlignment="1" applyProtection="1">
      <alignment horizontal="center" vertical="center"/>
    </xf>
    <xf numFmtId="0" fontId="4" fillId="0" borderId="0" xfId="0" quotePrefix="1" applyFont="1" applyBorder="1" applyAlignment="1" applyProtection="1">
      <alignment vertical="center"/>
    </xf>
    <xf numFmtId="0" fontId="0" fillId="0" borderId="0" xfId="0" applyFill="1" applyBorder="1" applyAlignment="1" applyProtection="1">
      <alignment textRotation="90"/>
    </xf>
    <xf numFmtId="0" fontId="0" fillId="0" borderId="0" xfId="0" applyFill="1" applyBorder="1" applyAlignment="1" applyProtection="1">
      <alignment vertical="center" textRotation="90"/>
    </xf>
    <xf numFmtId="0" fontId="11" fillId="0" borderId="0" xfId="0" applyFont="1" applyFill="1" applyBorder="1" applyAlignment="1" applyProtection="1">
      <alignment textRotation="90"/>
    </xf>
    <xf numFmtId="207" fontId="104" fillId="0" borderId="89" xfId="0" applyNumberFormat="1" applyFont="1" applyBorder="1" applyAlignment="1">
      <alignment vertical="center"/>
    </xf>
    <xf numFmtId="0" fontId="4" fillId="0" borderId="0" xfId="0" applyFont="1" applyFill="1" applyAlignment="1" applyProtection="1"/>
    <xf numFmtId="0" fontId="4" fillId="0" borderId="0" xfId="0" applyFont="1" applyFill="1" applyBorder="1" applyAlignment="1" applyProtection="1">
      <alignment vertical="top"/>
    </xf>
    <xf numFmtId="0" fontId="2" fillId="0" borderId="0" xfId="0" applyFont="1" applyFill="1" applyBorder="1" applyAlignment="1" applyProtection="1">
      <alignment horizontal="left"/>
    </xf>
    <xf numFmtId="0" fontId="0" fillId="0" borderId="0" xfId="0" applyAlignment="1">
      <alignment horizontal="left" vertical="center"/>
    </xf>
    <xf numFmtId="0" fontId="0" fillId="0" borderId="0" xfId="0"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Border="1" applyAlignment="1" applyProtection="1">
      <alignment vertical="center"/>
    </xf>
    <xf numFmtId="6" fontId="0" fillId="0" borderId="160" xfId="0" applyNumberFormat="1" applyBorder="1" applyProtection="1"/>
    <xf numFmtId="6" fontId="0" fillId="0" borderId="160" xfId="0" applyNumberFormat="1" applyBorder="1"/>
    <xf numFmtId="40" fontId="40" fillId="0" borderId="0" xfId="2" applyNumberFormat="1" applyFont="1" applyBorder="1"/>
    <xf numFmtId="0" fontId="7" fillId="0" borderId="0" xfId="2" applyAlignment="1">
      <alignment horizontal="right"/>
    </xf>
    <xf numFmtId="164" fontId="25" fillId="0" borderId="168" xfId="4" applyNumberFormat="1" applyFont="1" applyBorder="1" applyAlignment="1">
      <alignment horizontal="center" vertical="center"/>
    </xf>
    <xf numFmtId="164" fontId="25" fillId="0" borderId="165" xfId="4" applyNumberFormat="1" applyFont="1" applyBorder="1" applyAlignment="1">
      <alignment horizontal="center" vertical="center"/>
    </xf>
    <xf numFmtId="0" fontId="136" fillId="0" borderId="72" xfId="0" applyFont="1" applyBorder="1" applyAlignment="1" applyProtection="1">
      <alignment horizontal="right" vertical="center"/>
    </xf>
    <xf numFmtId="6" fontId="12" fillId="2" borderId="8" xfId="1" applyNumberFormat="1" applyFont="1" applyFill="1" applyBorder="1" applyAlignment="1" applyProtection="1">
      <alignment horizontal="right" vertical="center"/>
      <protection locked="0"/>
    </xf>
    <xf numFmtId="6" fontId="12" fillId="2" borderId="28" xfId="1" applyNumberFormat="1" applyFont="1" applyFill="1" applyBorder="1" applyAlignment="1" applyProtection="1">
      <alignment horizontal="right" vertical="center"/>
      <protection locked="0"/>
    </xf>
    <xf numFmtId="6" fontId="4" fillId="8" borderId="8" xfId="1" applyNumberFormat="1" applyFont="1" applyFill="1" applyBorder="1" applyAlignment="1" applyProtection="1">
      <alignment horizontal="right" vertical="center"/>
    </xf>
    <xf numFmtId="6" fontId="24" fillId="2" borderId="8" xfId="1" applyNumberFormat="1" applyFont="1" applyFill="1" applyBorder="1" applyAlignment="1" applyProtection="1">
      <alignment horizontal="right" vertical="center"/>
      <protection locked="0"/>
    </xf>
    <xf numFmtId="9" fontId="0" fillId="0" borderId="0" xfId="4" quotePrefix="1" applyFont="1" applyFill="1" applyBorder="1" applyAlignment="1" applyProtection="1">
      <alignment horizontal="center" vertical="center"/>
    </xf>
    <xf numFmtId="0" fontId="15" fillId="0" borderId="0" xfId="0" applyFont="1" applyFill="1" applyAlignment="1">
      <alignment horizontal="center" vertical="center"/>
    </xf>
    <xf numFmtId="38" fontId="15" fillId="0" borderId="0" xfId="0" applyNumberFormat="1" applyFont="1" applyFill="1" applyBorder="1" applyAlignment="1" applyProtection="1">
      <alignment horizontal="center" vertical="center"/>
    </xf>
    <xf numFmtId="0" fontId="4" fillId="0" borderId="0" xfId="0" quotePrefix="1" applyFont="1" applyFill="1" applyBorder="1" applyProtection="1"/>
    <xf numFmtId="0" fontId="4" fillId="0" borderId="8" xfId="0" applyFont="1" applyFill="1" applyBorder="1" applyAlignment="1" applyProtection="1">
      <alignment horizontal="center" vertical="center" wrapText="1"/>
    </xf>
    <xf numFmtId="0" fontId="137" fillId="0" borderId="0" xfId="0" applyFont="1"/>
    <xf numFmtId="0" fontId="7" fillId="0" borderId="0" xfId="2" applyAlignment="1"/>
    <xf numFmtId="0" fontId="7" fillId="0" borderId="0" xfId="2" quotePrefix="1" applyAlignment="1"/>
    <xf numFmtId="0" fontId="7" fillId="0" borderId="17" xfId="2" applyBorder="1" applyAlignment="1"/>
    <xf numFmtId="0" fontId="28" fillId="0" borderId="0" xfId="2" applyFont="1" applyAlignment="1"/>
    <xf numFmtId="0" fontId="49" fillId="0" borderId="0" xfId="2" applyFont="1" applyAlignment="1"/>
    <xf numFmtId="0" fontId="28" fillId="0" borderId="0" xfId="2" quotePrefix="1" applyFont="1" applyAlignment="1"/>
    <xf numFmtId="0" fontId="0" fillId="0" borderId="0" xfId="0" applyAlignment="1">
      <alignment horizontal="center" vertical="center"/>
    </xf>
    <xf numFmtId="9" fontId="12" fillId="6" borderId="17" xfId="4" applyFont="1" applyFill="1" applyBorder="1" applyAlignment="1">
      <alignment horizontal="center" vertical="center"/>
    </xf>
    <xf numFmtId="0" fontId="133"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vertical="top"/>
    </xf>
    <xf numFmtId="0" fontId="0" fillId="0" borderId="17" xfId="0" applyBorder="1" applyAlignment="1" applyProtection="1">
      <alignment vertical="top"/>
    </xf>
    <xf numFmtId="0" fontId="0" fillId="0" borderId="17" xfId="0" applyBorder="1" applyAlignment="1">
      <alignment vertical="top"/>
    </xf>
    <xf numFmtId="38" fontId="12" fillId="6" borderId="60" xfId="0" applyNumberFormat="1" applyFont="1" applyFill="1" applyBorder="1" applyAlignment="1">
      <alignment horizontal="center" vertical="center"/>
    </xf>
    <xf numFmtId="0" fontId="6" fillId="0" borderId="60" xfId="0" applyFont="1" applyBorder="1"/>
    <xf numFmtId="0" fontId="3" fillId="0" borderId="17" xfId="0" applyFont="1" applyFill="1" applyBorder="1"/>
    <xf numFmtId="9" fontId="4" fillId="0" borderId="57" xfId="4" applyFont="1" applyFill="1" applyBorder="1" applyAlignment="1">
      <alignment horizontal="center" vertical="center"/>
    </xf>
    <xf numFmtId="0" fontId="12" fillId="6" borderId="36" xfId="0" applyFont="1" applyFill="1" applyBorder="1" applyAlignment="1">
      <alignment horizontal="right" vertical="center"/>
    </xf>
    <xf numFmtId="38" fontId="12" fillId="6" borderId="17" xfId="0" applyNumberFormat="1" applyFont="1" applyFill="1" applyBorder="1" applyAlignment="1">
      <alignment horizontal="right" vertical="center"/>
    </xf>
    <xf numFmtId="0" fontId="0" fillId="0" borderId="18" xfId="0" applyBorder="1" applyAlignment="1">
      <alignment horizontal="center"/>
    </xf>
    <xf numFmtId="8" fontId="4" fillId="0" borderId="0" xfId="0" applyNumberFormat="1" applyFont="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right" vertical="center"/>
    </xf>
    <xf numFmtId="38" fontId="15" fillId="29" borderId="0" xfId="0" applyNumberFormat="1" applyFont="1" applyFill="1" applyAlignment="1">
      <alignment horizontal="center" vertical="center"/>
    </xf>
    <xf numFmtId="38" fontId="4" fillId="0" borderId="0" xfId="0" applyNumberFormat="1" applyFont="1" applyAlignment="1">
      <alignment vertical="center"/>
    </xf>
    <xf numFmtId="38" fontId="15" fillId="11" borderId="0" xfId="0" applyNumberFormat="1" applyFont="1" applyFill="1" applyAlignment="1">
      <alignment horizontal="center" vertical="center"/>
    </xf>
    <xf numFmtId="38" fontId="15" fillId="29" borderId="0" xfId="0" quotePrefix="1" applyNumberFormat="1" applyFont="1" applyFill="1" applyBorder="1" applyAlignment="1" applyProtection="1">
      <alignment horizontal="center" vertical="center"/>
    </xf>
    <xf numFmtId="38" fontId="15" fillId="29" borderId="0" xfId="0" applyNumberFormat="1" applyFont="1" applyFill="1" applyBorder="1" applyAlignment="1">
      <alignment horizontal="center" vertical="center"/>
    </xf>
    <xf numFmtId="38" fontId="15" fillId="29" borderId="0" xfId="0" applyNumberFormat="1" applyFont="1" applyFill="1" applyBorder="1" applyAlignment="1" applyProtection="1">
      <alignment horizontal="center" vertical="center"/>
    </xf>
    <xf numFmtId="0" fontId="133" fillId="0" borderId="0" xfId="0" applyFont="1" applyBorder="1" applyAlignment="1" applyProtection="1">
      <alignment horizontal="center" wrapText="1"/>
    </xf>
    <xf numFmtId="219" fontId="12" fillId="6" borderId="60" xfId="0" applyNumberFormat="1" applyFont="1" applyFill="1" applyBorder="1" applyAlignment="1">
      <alignment horizontal="center" vertical="center" wrapText="1"/>
    </xf>
    <xf numFmtId="38" fontId="15" fillId="29" borderId="60" xfId="0" applyNumberFormat="1" applyFont="1" applyFill="1" applyBorder="1" applyAlignment="1">
      <alignment horizontal="center" vertical="center"/>
    </xf>
    <xf numFmtId="0" fontId="0" fillId="0" borderId="17" xfId="0" quotePrefix="1" applyBorder="1" applyAlignment="1" applyProtection="1">
      <alignment vertical="top"/>
    </xf>
    <xf numFmtId="0" fontId="6" fillId="0" borderId="17" xfId="0" applyFont="1" applyBorder="1" applyAlignment="1">
      <alignment horizontal="left" indent="1"/>
    </xf>
    <xf numFmtId="38" fontId="12" fillId="2" borderId="1" xfId="0" applyNumberFormat="1" applyFont="1" applyFill="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0" fillId="0" borderId="0" xfId="0" quotePrefix="1" applyAlignment="1">
      <alignment vertical="top" wrapText="1"/>
    </xf>
    <xf numFmtId="167" fontId="10" fillId="0" borderId="0" xfId="0" applyNumberFormat="1" applyFont="1" applyAlignment="1">
      <alignment horizontal="left" vertical="top"/>
    </xf>
    <xf numFmtId="0" fontId="4" fillId="0" borderId="0" xfId="0" applyFont="1" applyAlignment="1">
      <alignment vertical="top"/>
    </xf>
    <xf numFmtId="0" fontId="4" fillId="0" borderId="0" xfId="0" applyFont="1" applyAlignment="1">
      <alignment horizontal="left" indent="1"/>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lignment horizontal="center" vertical="center"/>
    </xf>
    <xf numFmtId="6" fontId="4" fillId="0" borderId="7" xfId="0" applyNumberFormat="1" applyFont="1" applyBorder="1" applyAlignment="1" applyProtection="1">
      <alignment horizontal="center" vertical="center"/>
      <protection locked="0"/>
    </xf>
    <xf numFmtId="0" fontId="6" fillId="0" borderId="0" xfId="0" applyFont="1" applyAlignment="1">
      <alignment horizontal="left" indent="1"/>
    </xf>
    <xf numFmtId="178" fontId="15" fillId="11" borderId="0" xfId="0" applyNumberFormat="1" applyFont="1" applyFill="1" applyAlignment="1">
      <alignment horizontal="center" vertical="center" wrapText="1"/>
    </xf>
    <xf numFmtId="0" fontId="104" fillId="10" borderId="0" xfId="0" applyFont="1" applyFill="1" applyAlignment="1">
      <alignment horizontal="left" vertical="center"/>
    </xf>
    <xf numFmtId="0" fontId="104" fillId="10" borderId="0" xfId="0" applyFont="1" applyFill="1"/>
    <xf numFmtId="0" fontId="0" fillId="0" borderId="17" xfId="0" applyFill="1" applyBorder="1" applyAlignment="1">
      <alignment horizontal="center"/>
    </xf>
    <xf numFmtId="8" fontId="4" fillId="0" borderId="0" xfId="0" applyNumberFormat="1" applyFont="1" applyFill="1" applyAlignment="1">
      <alignment horizontal="right" vertical="center"/>
    </xf>
    <xf numFmtId="0" fontId="104" fillId="10" borderId="0" xfId="0" applyFont="1" applyFill="1" applyAlignment="1">
      <alignment vertical="top" wrapText="1"/>
    </xf>
    <xf numFmtId="0" fontId="5" fillId="0" borderId="0" xfId="0" applyFont="1" applyAlignment="1">
      <alignment horizontal="center" vertical="center" wrapText="1"/>
    </xf>
    <xf numFmtId="0" fontId="0" fillId="0" borderId="60" xfId="0" applyBorder="1" applyAlignment="1">
      <alignment horizontal="center" vertical="center"/>
    </xf>
    <xf numFmtId="0" fontId="25" fillId="0" borderId="0" xfId="0" applyFont="1" applyFill="1" applyAlignment="1">
      <alignment vertical="center"/>
    </xf>
    <xf numFmtId="0" fontId="25" fillId="0" borderId="0" xfId="0" quotePrefix="1" applyFont="1" applyFill="1" applyAlignment="1">
      <alignment vertical="center"/>
    </xf>
    <xf numFmtId="0" fontId="0" fillId="0" borderId="0" xfId="0" applyAlignment="1" applyProtection="1">
      <alignment horizontal="left" vertical="center"/>
    </xf>
    <xf numFmtId="0" fontId="58" fillId="0" borderId="88" xfId="0" applyFont="1" applyFill="1" applyBorder="1"/>
    <xf numFmtId="0" fontId="58" fillId="0" borderId="90" xfId="0" applyFont="1" applyFill="1" applyBorder="1" applyAlignment="1">
      <alignment vertical="center"/>
    </xf>
    <xf numFmtId="0" fontId="58" fillId="0" borderId="0" xfId="0" applyFont="1" applyFill="1" applyAlignment="1">
      <alignment vertical="center"/>
    </xf>
    <xf numFmtId="0" fontId="0" fillId="0" borderId="88" xfId="0" applyFill="1" applyBorder="1"/>
    <xf numFmtId="0" fontId="25" fillId="10" borderId="0" xfId="0" applyFont="1" applyFill="1" applyBorder="1" applyAlignment="1" applyProtection="1">
      <alignment horizontal="left" vertical="center"/>
    </xf>
    <xf numFmtId="0" fontId="0" fillId="0" borderId="0" xfId="0" applyAlignment="1">
      <alignment horizontal="right" vertical="center"/>
    </xf>
    <xf numFmtId="38" fontId="12" fillId="6" borderId="60" xfId="0" applyNumberFormat="1" applyFont="1" applyFill="1" applyBorder="1" applyAlignment="1">
      <alignment horizontal="center" vertical="center"/>
    </xf>
    <xf numFmtId="38" fontId="15" fillId="29" borderId="0" xfId="0" applyNumberFormat="1" applyFont="1" applyFill="1" applyAlignment="1">
      <alignment horizontal="center" vertical="center"/>
    </xf>
    <xf numFmtId="0" fontId="0" fillId="0" borderId="0" xfId="0" applyBorder="1" applyAlignment="1" applyProtection="1">
      <alignment horizontal="left" vertical="center"/>
    </xf>
    <xf numFmtId="0" fontId="12" fillId="2" borderId="8" xfId="0" applyFont="1" applyFill="1" applyBorder="1" applyAlignment="1" applyProtection="1">
      <alignment horizontal="center" vertical="center"/>
      <protection locked="0"/>
    </xf>
    <xf numFmtId="0" fontId="12" fillId="2" borderId="160" xfId="0" applyFont="1" applyFill="1" applyBorder="1" applyAlignment="1" applyProtection="1">
      <alignment horizontal="center" vertical="center"/>
      <protection locked="0"/>
    </xf>
    <xf numFmtId="172" fontId="12" fillId="2" borderId="160" xfId="0" applyNumberFormat="1" applyFont="1" applyFill="1" applyBorder="1" applyAlignment="1" applyProtection="1">
      <alignment vertical="center"/>
      <protection locked="0"/>
    </xf>
    <xf numFmtId="38" fontId="12" fillId="6" borderId="81" xfId="0" applyNumberFormat="1" applyFont="1" applyFill="1" applyBorder="1" applyAlignment="1">
      <alignment horizontal="center" vertical="center"/>
    </xf>
    <xf numFmtId="0" fontId="139" fillId="0" borderId="0" xfId="0" applyFont="1" applyAlignment="1">
      <alignment horizontal="right" vertical="center"/>
    </xf>
    <xf numFmtId="0" fontId="0" fillId="21" borderId="0" xfId="0" applyFill="1"/>
    <xf numFmtId="0" fontId="11" fillId="0" borderId="0" xfId="0" applyFont="1" applyAlignment="1">
      <alignment horizontal="left" vertical="center"/>
    </xf>
    <xf numFmtId="49" fontId="2" fillId="0" borderId="0" xfId="0" applyNumberFormat="1" applyFont="1"/>
    <xf numFmtId="0" fontId="97" fillId="0" borderId="0" xfId="0" applyFont="1" applyAlignment="1">
      <alignment vertical="center"/>
    </xf>
    <xf numFmtId="0" fontId="0" fillId="0" borderId="79" xfId="0" applyFill="1" applyBorder="1" applyAlignment="1">
      <alignment vertical="center"/>
    </xf>
    <xf numFmtId="0" fontId="0" fillId="0" borderId="79" xfId="0" applyFill="1" applyBorder="1" applyAlignment="1">
      <alignment horizontal="center" vertical="center"/>
    </xf>
    <xf numFmtId="1" fontId="0" fillId="0" borderId="79" xfId="0" applyNumberFormat="1" applyFill="1" applyBorder="1" applyAlignment="1">
      <alignment horizontal="center" vertical="center"/>
    </xf>
    <xf numFmtId="220" fontId="0" fillId="0" borderId="79" xfId="4" applyNumberFormat="1" applyFont="1" applyBorder="1" applyAlignment="1">
      <alignment horizontal="center" vertical="center"/>
    </xf>
    <xf numFmtId="221" fontId="12" fillId="6" borderId="61" xfId="0" applyNumberFormat="1" applyFont="1" applyFill="1" applyBorder="1" applyAlignment="1">
      <alignment horizontal="center" vertical="center"/>
    </xf>
    <xf numFmtId="222" fontId="12" fillId="6" borderId="60" xfId="0" applyNumberFormat="1" applyFont="1" applyFill="1" applyBorder="1" applyAlignment="1">
      <alignment horizontal="center" vertical="center" wrapText="1"/>
    </xf>
    <xf numFmtId="38" fontId="0" fillId="0" borderId="0" xfId="0" applyNumberFormat="1" applyFont="1" applyFill="1" applyBorder="1" applyAlignment="1" applyProtection="1">
      <alignment horizontal="center" vertical="center"/>
    </xf>
    <xf numFmtId="0" fontId="104" fillId="10" borderId="0" xfId="0" applyFont="1" applyFill="1" applyAlignment="1" applyProtection="1">
      <alignment vertical="center"/>
    </xf>
    <xf numFmtId="0" fontId="4" fillId="0" borderId="24" xfId="0" applyFont="1" applyBorder="1" applyAlignment="1">
      <alignment horizontal="center" vertical="center"/>
    </xf>
    <xf numFmtId="168" fontId="2" fillId="0" borderId="0" xfId="0" applyNumberFormat="1" applyFont="1" applyAlignment="1">
      <alignment vertical="top"/>
    </xf>
    <xf numFmtId="0" fontId="15" fillId="0" borderId="0" xfId="0" applyFont="1" applyAlignment="1">
      <alignment horizontal="left" vertical="top"/>
    </xf>
    <xf numFmtId="0" fontId="104" fillId="0" borderId="0" xfId="0" applyFont="1" applyFill="1" applyBorder="1" applyAlignment="1" applyProtection="1">
      <alignment horizontal="center" vertical="center"/>
    </xf>
    <xf numFmtId="168" fontId="2" fillId="0" borderId="0" xfId="0" applyNumberFormat="1" applyFont="1" applyAlignment="1">
      <alignment horizontal="left" vertical="top" wrapText="1"/>
    </xf>
    <xf numFmtId="0" fontId="0" fillId="0" borderId="0" xfId="0" applyAlignment="1">
      <alignment horizontal="left" vertical="top" wrapText="1"/>
    </xf>
    <xf numFmtId="0" fontId="0" fillId="0" borderId="160" xfId="0" applyFill="1" applyBorder="1" applyAlignment="1" applyProtection="1">
      <alignment horizontal="center" vertical="center" wrapText="1"/>
    </xf>
    <xf numFmtId="178" fontId="15" fillId="11" borderId="0" xfId="0" applyNumberFormat="1" applyFont="1" applyFill="1" applyBorder="1" applyAlignment="1">
      <alignment horizontal="center" vertical="center" wrapText="1"/>
    </xf>
    <xf numFmtId="170" fontId="0" fillId="0" borderId="0" xfId="0" applyNumberFormat="1" applyBorder="1" applyAlignment="1" applyProtection="1">
      <alignment horizontal="left" vertical="top" wrapText="1"/>
    </xf>
    <xf numFmtId="0" fontId="104" fillId="10" borderId="0" xfId="0" applyFont="1" applyFill="1" applyAlignment="1" applyProtection="1">
      <alignment vertical="center" textRotation="90"/>
    </xf>
    <xf numFmtId="223" fontId="12" fillId="6" borderId="60" xfId="0" applyNumberFormat="1" applyFont="1" applyFill="1" applyBorder="1" applyAlignment="1">
      <alignment horizontal="center" vertical="center" wrapText="1"/>
    </xf>
    <xf numFmtId="0" fontId="0" fillId="0" borderId="0" xfId="4" quotePrefix="1" applyNumberFormat="1" applyFont="1" applyAlignment="1">
      <alignment vertical="top"/>
    </xf>
    <xf numFmtId="187" fontId="0" fillId="0" borderId="87" xfId="4" applyNumberFormat="1" applyFont="1" applyBorder="1" applyAlignment="1">
      <alignment horizontal="center" vertical="center"/>
    </xf>
    <xf numFmtId="187" fontId="0" fillId="0" borderId="80" xfId="4" applyNumberFormat="1" applyFont="1" applyBorder="1" applyAlignment="1">
      <alignment horizontal="center" vertical="center"/>
    </xf>
    <xf numFmtId="187" fontId="0" fillId="0" borderId="87" xfId="4" applyNumberFormat="1" applyFont="1" applyBorder="1"/>
    <xf numFmtId="187" fontId="0" fillId="0" borderId="79" xfId="4" applyNumberFormat="1" applyFont="1" applyBorder="1"/>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lignment vertical="top"/>
    </xf>
    <xf numFmtId="38" fontId="12" fillId="6" borderId="60" xfId="0" applyNumberFormat="1" applyFont="1" applyFill="1" applyBorder="1" applyAlignment="1">
      <alignment horizontal="center" vertical="center"/>
    </xf>
    <xf numFmtId="0" fontId="15" fillId="11" borderId="0" xfId="0" applyFont="1" applyFill="1" applyAlignment="1" applyProtection="1">
      <alignment horizontal="center" vertical="center"/>
    </xf>
    <xf numFmtId="0" fontId="9" fillId="0" borderId="0" xfId="0" applyFont="1"/>
    <xf numFmtId="0" fontId="4" fillId="0" borderId="0" xfId="0" quotePrefix="1" applyFont="1" applyFill="1" applyAlignment="1">
      <alignment horizontal="center"/>
    </xf>
    <xf numFmtId="175" fontId="0" fillId="0" borderId="0" xfId="0" applyNumberFormat="1" applyFill="1" applyAlignment="1">
      <alignment horizontal="center"/>
    </xf>
    <xf numFmtId="0" fontId="18" fillId="6" borderId="36" xfId="0" applyFont="1" applyFill="1" applyBorder="1" applyAlignment="1" applyProtection="1">
      <alignment horizontal="center" vertical="center"/>
    </xf>
    <xf numFmtId="0" fontId="140" fillId="0" borderId="0" xfId="0" applyFont="1"/>
    <xf numFmtId="0" fontId="140" fillId="0" borderId="0" xfId="0" applyFont="1" applyAlignment="1">
      <alignment horizontal="center"/>
    </xf>
    <xf numFmtId="0" fontId="0" fillId="9" borderId="7" xfId="0" applyFill="1" applyBorder="1" applyAlignment="1">
      <alignment horizontal="center" wrapText="1"/>
    </xf>
    <xf numFmtId="49" fontId="2" fillId="0" borderId="0" xfId="0" applyNumberFormat="1" applyFont="1" applyAlignment="1">
      <alignment vertical="top"/>
    </xf>
    <xf numFmtId="0" fontId="12" fillId="2" borderId="188" xfId="0" applyFont="1" applyFill="1" applyBorder="1" applyAlignment="1" applyProtection="1">
      <alignment horizontal="center" vertical="center" wrapText="1"/>
      <protection locked="0"/>
    </xf>
    <xf numFmtId="0" fontId="4" fillId="0" borderId="189" xfId="0" applyFont="1" applyBorder="1" applyAlignment="1" applyProtection="1">
      <alignment horizontal="center" vertical="center" wrapText="1"/>
      <protection locked="0"/>
    </xf>
    <xf numFmtId="0" fontId="95" fillId="0" borderId="0" xfId="0" applyFont="1" applyAlignment="1">
      <alignment horizontal="center"/>
    </xf>
    <xf numFmtId="0" fontId="0" fillId="14" borderId="0" xfId="0" applyNumberFormat="1" applyFill="1" applyAlignment="1">
      <alignment horizontal="center" vertical="center"/>
    </xf>
    <xf numFmtId="0" fontId="0" fillId="8" borderId="0" xfId="0" applyFill="1" applyBorder="1"/>
    <xf numFmtId="0" fontId="0" fillId="8" borderId="0" xfId="0" applyFill="1" applyBorder="1" applyAlignment="1">
      <alignment vertical="center"/>
    </xf>
    <xf numFmtId="0" fontId="0" fillId="17" borderId="79" xfId="0" applyFill="1" applyBorder="1" applyAlignment="1">
      <alignment horizontal="center" vertical="center"/>
    </xf>
    <xf numFmtId="0" fontId="3" fillId="0" borderId="18" xfId="0" applyFont="1" applyBorder="1" applyAlignment="1">
      <alignment vertical="center"/>
    </xf>
    <xf numFmtId="187" fontId="0" fillId="0" borderId="18" xfId="0" applyNumberFormat="1" applyBorder="1" applyAlignment="1">
      <alignment horizontal="center" vertical="center"/>
    </xf>
    <xf numFmtId="0" fontId="0" fillId="17" borderId="18" xfId="0" applyFill="1" applyBorder="1" applyAlignment="1">
      <alignment horizontal="center" vertical="center"/>
    </xf>
    <xf numFmtId="9" fontId="4" fillId="0" borderId="79" xfId="4" applyFont="1" applyFill="1" applyBorder="1" applyAlignment="1" applyProtection="1">
      <alignment horizontal="center" vertical="center"/>
    </xf>
    <xf numFmtId="187" fontId="4" fillId="0" borderId="17" xfId="4" applyNumberFormat="1" applyFont="1" applyFill="1" applyBorder="1" applyAlignment="1">
      <alignment horizontal="center" vertical="center"/>
    </xf>
    <xf numFmtId="0" fontId="0" fillId="0" borderId="0" xfId="0" applyBorder="1" applyAlignment="1" applyProtection="1">
      <alignment vertical="top"/>
    </xf>
    <xf numFmtId="3" fontId="0" fillId="0" borderId="0" xfId="0" applyNumberFormat="1" applyAlignment="1">
      <alignment horizontal="left" vertical="center"/>
    </xf>
    <xf numFmtId="0" fontId="25" fillId="0" borderId="0" xfId="0" applyFont="1" applyBorder="1" applyAlignment="1" applyProtection="1">
      <alignment vertical="top" wrapText="1"/>
    </xf>
    <xf numFmtId="0" fontId="104" fillId="10" borderId="0" xfId="0" applyFont="1" applyFill="1" applyAlignment="1">
      <alignment horizontal="left" vertical="center" wrapText="1"/>
    </xf>
    <xf numFmtId="38" fontId="15" fillId="29" borderId="0" xfId="0" applyNumberFormat="1" applyFont="1" applyFill="1" applyAlignment="1">
      <alignment horizontal="center" vertical="center"/>
    </xf>
    <xf numFmtId="38" fontId="12" fillId="6" borderId="60" xfId="0" applyNumberFormat="1" applyFont="1" applyFill="1" applyBorder="1" applyAlignment="1">
      <alignment horizontal="center" vertical="center"/>
    </xf>
    <xf numFmtId="0" fontId="12" fillId="2" borderId="160" xfId="0" applyFont="1" applyFill="1" applyBorder="1" applyAlignment="1" applyProtection="1">
      <alignment horizontal="center" vertical="center" wrapText="1"/>
      <protection locked="0"/>
    </xf>
    <xf numFmtId="167" fontId="0" fillId="0" borderId="0" xfId="0" applyNumberFormat="1" applyAlignment="1">
      <alignment horizontal="center" vertical="top"/>
    </xf>
    <xf numFmtId="49" fontId="12" fillId="2" borderId="7" xfId="0" applyNumberFormat="1" applyFont="1" applyFill="1" applyBorder="1" applyAlignment="1" applyProtection="1">
      <alignment horizontal="center" vertical="center"/>
      <protection locked="0"/>
    </xf>
    <xf numFmtId="0" fontId="2" fillId="9" borderId="7" xfId="0" applyFont="1" applyFill="1" applyBorder="1" applyAlignment="1">
      <alignment horizontal="center" wrapText="1"/>
    </xf>
    <xf numFmtId="0" fontId="2" fillId="9" borderId="9" xfId="0" applyFont="1" applyFill="1" applyBorder="1" applyAlignment="1">
      <alignment horizontal="center"/>
    </xf>
    <xf numFmtId="0" fontId="2" fillId="30" borderId="9" xfId="0" applyFont="1" applyFill="1" applyBorder="1"/>
    <xf numFmtId="0" fontId="2" fillId="30" borderId="7" xfId="0" applyFont="1" applyFill="1" applyBorder="1" applyAlignment="1">
      <alignment wrapText="1"/>
    </xf>
    <xf numFmtId="0" fontId="2" fillId="30" borderId="5" xfId="0" applyFont="1" applyFill="1" applyBorder="1" applyAlignment="1"/>
    <xf numFmtId="0" fontId="0" fillId="31" borderId="0" xfId="0" applyFill="1" applyBorder="1" applyAlignment="1">
      <alignment vertical="center"/>
    </xf>
    <xf numFmtId="0" fontId="0" fillId="31" borderId="0" xfId="0" applyFill="1" applyAlignment="1">
      <alignment vertical="center"/>
    </xf>
    <xf numFmtId="38" fontId="12" fillId="6" borderId="61" xfId="0" applyNumberFormat="1" applyFont="1" applyFill="1" applyBorder="1" applyAlignment="1" applyProtection="1">
      <alignment horizontal="center" vertical="center"/>
    </xf>
    <xf numFmtId="38" fontId="15" fillId="29" borderId="0" xfId="0" applyNumberFormat="1" applyFont="1" applyFill="1" applyAlignment="1">
      <alignment horizontal="center" vertical="center"/>
    </xf>
    <xf numFmtId="38" fontId="12" fillId="6" borderId="61" xfId="0" applyNumberFormat="1" applyFont="1" applyFill="1" applyBorder="1" applyAlignment="1">
      <alignment horizontal="center" vertical="center"/>
    </xf>
    <xf numFmtId="38" fontId="4" fillId="0" borderId="0"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133" fillId="0" borderId="0" xfId="0" applyFont="1" applyBorder="1" applyAlignment="1" applyProtection="1">
      <alignment horizontal="left" vertical="center"/>
    </xf>
    <xf numFmtId="0" fontId="26" fillId="2" borderId="26" xfId="0" applyFont="1" applyFill="1" applyBorder="1" applyAlignment="1" applyProtection="1">
      <alignment vertical="center" wrapText="1"/>
      <protection locked="0"/>
    </xf>
    <xf numFmtId="0" fontId="0" fillId="30" borderId="7" xfId="0" applyFill="1" applyBorder="1" applyAlignment="1">
      <alignment horizontal="center" wrapText="1"/>
    </xf>
    <xf numFmtId="0" fontId="8" fillId="31" borderId="0" xfId="7" applyFont="1" applyFill="1" applyAlignment="1">
      <alignment horizontal="left" vertical="center" wrapText="1"/>
    </xf>
    <xf numFmtId="0" fontId="0" fillId="14" borderId="0" xfId="0" applyFill="1" applyAlignment="1">
      <alignment horizontal="center" vertical="center"/>
    </xf>
    <xf numFmtId="0" fontId="14" fillId="14" borderId="0" xfId="0" applyFont="1" applyFill="1" applyAlignment="1">
      <alignment vertical="center"/>
    </xf>
    <xf numFmtId="0" fontId="63" fillId="0" borderId="0" xfId="0" applyFont="1" applyFill="1" applyAlignment="1">
      <alignment horizontal="center"/>
    </xf>
    <xf numFmtId="0" fontId="12" fillId="6" borderId="26" xfId="0" applyFont="1" applyFill="1" applyBorder="1" applyAlignment="1" applyProtection="1">
      <alignment horizontal="center" vertical="center"/>
    </xf>
    <xf numFmtId="0" fontId="133" fillId="8" borderId="0" xfId="0" applyFont="1" applyFill="1" applyAlignment="1">
      <alignment horizontal="left" vertical="center"/>
    </xf>
    <xf numFmtId="38" fontId="12" fillId="6" borderId="60" xfId="0" applyNumberFormat="1" applyFont="1" applyFill="1" applyBorder="1" applyAlignment="1">
      <alignment horizontal="center" vertical="center"/>
    </xf>
    <xf numFmtId="38" fontId="4" fillId="8" borderId="0" xfId="0" applyNumberFormat="1" applyFont="1" applyFill="1" applyAlignment="1">
      <alignment horizontal="center" vertical="center"/>
    </xf>
    <xf numFmtId="0" fontId="0" fillId="0" borderId="0" xfId="0" applyBorder="1" applyAlignment="1" applyProtection="1">
      <alignment vertical="top"/>
    </xf>
    <xf numFmtId="0" fontId="0" fillId="32" borderId="0" xfId="0" applyFill="1" applyAlignment="1">
      <alignment horizontal="right"/>
    </xf>
    <xf numFmtId="0" fontId="4" fillId="0" borderId="0" xfId="0" applyFont="1" applyFill="1" applyBorder="1" applyAlignment="1">
      <alignment vertical="center" wrapText="1"/>
    </xf>
    <xf numFmtId="0" fontId="0" fillId="0" borderId="0" xfId="0" applyBorder="1" applyAlignment="1">
      <alignment vertical="center" wrapText="1"/>
    </xf>
    <xf numFmtId="6" fontId="0" fillId="0" borderId="0" xfId="0" applyNumberFormat="1" applyBorder="1" applyAlignment="1" applyProtection="1">
      <alignment vertical="top"/>
    </xf>
    <xf numFmtId="0" fontId="0" fillId="0" borderId="18" xfId="0" quotePrefix="1" applyBorder="1" applyAlignment="1" applyProtection="1">
      <alignment vertical="top"/>
    </xf>
    <xf numFmtId="0" fontId="25" fillId="0" borderId="0" xfId="0" applyFont="1" applyAlignment="1" applyProtection="1">
      <alignment horizontal="right" vertical="center"/>
    </xf>
    <xf numFmtId="0" fontId="4" fillId="33" borderId="0" xfId="0" applyFont="1" applyFill="1" applyAlignment="1">
      <alignment horizontal="right" vertical="center"/>
    </xf>
    <xf numFmtId="0" fontId="4" fillId="32" borderId="7" xfId="0" applyFont="1" applyFill="1" applyBorder="1" applyAlignment="1">
      <alignment horizontal="center" vertical="center" wrapText="1"/>
    </xf>
    <xf numFmtId="0" fontId="4" fillId="33" borderId="0" xfId="0" applyFont="1" applyFill="1" applyAlignment="1">
      <alignment vertical="center"/>
    </xf>
    <xf numFmtId="0" fontId="0" fillId="32" borderId="7" xfId="0" applyFill="1" applyBorder="1" applyAlignment="1">
      <alignment horizontal="center" vertical="center" wrapText="1"/>
    </xf>
    <xf numFmtId="0" fontId="4" fillId="32" borderId="0" xfId="0" applyFont="1" applyFill="1" applyAlignment="1">
      <alignment vertical="center"/>
    </xf>
    <xf numFmtId="0" fontId="4" fillId="32" borderId="0" xfId="0" applyFont="1" applyFill="1" applyAlignment="1">
      <alignment horizontal="right"/>
    </xf>
    <xf numFmtId="0" fontId="4" fillId="32" borderId="0" xfId="0" applyFont="1" applyFill="1" applyAlignment="1">
      <alignment horizontal="right" vertical="center"/>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vertical="center"/>
    </xf>
    <xf numFmtId="0" fontId="4" fillId="0" borderId="187" xfId="0" applyFont="1" applyFill="1" applyBorder="1" applyAlignment="1"/>
    <xf numFmtId="0" fontId="4" fillId="0" borderId="187" xfId="0" applyFont="1" applyFill="1" applyBorder="1" applyAlignment="1">
      <alignment vertical="center"/>
    </xf>
    <xf numFmtId="171" fontId="1" fillId="0" borderId="0" xfId="1" applyNumberFormat="1" applyFont="1" applyFill="1" applyAlignment="1" applyProtection="1">
      <alignment horizontal="center" vertical="center"/>
    </xf>
    <xf numFmtId="0" fontId="25" fillId="0" borderId="0" xfId="0" applyFont="1" applyAlignment="1">
      <alignment horizontal="right" vertical="center"/>
    </xf>
    <xf numFmtId="0" fontId="0" fillId="0" borderId="0" xfId="0" applyAlignment="1">
      <alignment horizontal="left" vertical="top" wrapText="1" indent="2"/>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38" fontId="4" fillId="0" borderId="0" xfId="0" applyNumberFormat="1" applyFont="1" applyBorder="1" applyAlignment="1" applyProtection="1">
      <alignment horizontal="center" vertical="center"/>
    </xf>
    <xf numFmtId="0" fontId="0" fillId="8" borderId="0" xfId="0" applyFill="1" applyAlignment="1">
      <alignment horizontal="left" vertical="top" wrapText="1"/>
    </xf>
    <xf numFmtId="0" fontId="0" fillId="0" borderId="0" xfId="0" applyBorder="1" applyAlignment="1" applyProtection="1">
      <alignment vertical="center"/>
    </xf>
    <xf numFmtId="0" fontId="0" fillId="0" borderId="0" xfId="0" applyAlignment="1">
      <alignment vertical="top"/>
    </xf>
    <xf numFmtId="38" fontId="12" fillId="6" borderId="60" xfId="0" applyNumberFormat="1" applyFont="1" applyFill="1" applyBorder="1" applyAlignment="1">
      <alignment horizontal="center" vertical="center"/>
    </xf>
    <xf numFmtId="0" fontId="0" fillId="0" borderId="0" xfId="0" applyBorder="1" applyAlignment="1" applyProtection="1">
      <alignment vertical="top"/>
    </xf>
    <xf numFmtId="0" fontId="0" fillId="0" borderId="17" xfId="0" applyBorder="1" applyAlignment="1" applyProtection="1">
      <alignment vertical="top"/>
    </xf>
    <xf numFmtId="221" fontId="12" fillId="6" borderId="60" xfId="0" applyNumberFormat="1" applyFont="1" applyFill="1" applyBorder="1" applyAlignment="1">
      <alignment horizontal="center" vertical="center"/>
    </xf>
    <xf numFmtId="0" fontId="0" fillId="0" borderId="0" xfId="0" applyAlignment="1">
      <alignment horizontal="left" vertical="top" indent="2"/>
    </xf>
    <xf numFmtId="9" fontId="12" fillId="2" borderId="26" xfId="0" applyNumberFormat="1" applyFont="1" applyFill="1" applyBorder="1" applyAlignment="1" applyProtection="1">
      <alignment horizontal="center" vertical="center"/>
      <protection locked="0"/>
    </xf>
    <xf numFmtId="178" fontId="15" fillId="11" borderId="60" xfId="0" applyNumberFormat="1" applyFont="1" applyFill="1" applyBorder="1" applyAlignment="1">
      <alignment horizontal="center" vertical="center" wrapText="1"/>
    </xf>
    <xf numFmtId="0" fontId="2" fillId="8" borderId="0" xfId="0" applyFont="1" applyFill="1" applyAlignment="1">
      <alignment horizontal="right" vertical="top"/>
    </xf>
    <xf numFmtId="0" fontId="2" fillId="8" borderId="0" xfId="0" applyFont="1" applyFill="1" applyAlignment="1">
      <alignment vertical="top"/>
    </xf>
    <xf numFmtId="0" fontId="3" fillId="0" borderId="0" xfId="0" applyFont="1" applyAlignment="1" applyProtection="1">
      <alignment horizontal="center"/>
    </xf>
    <xf numFmtId="0" fontId="4" fillId="0" borderId="0" xfId="0" applyFont="1" applyAlignment="1">
      <alignment vertical="center" wrapText="1"/>
    </xf>
    <xf numFmtId="6" fontId="0" fillId="0" borderId="187" xfId="0" applyNumberFormat="1" applyBorder="1" applyAlignment="1" applyProtection="1">
      <alignment horizontal="right" vertical="top"/>
    </xf>
    <xf numFmtId="0" fontId="0" fillId="0" borderId="17" xfId="0" applyFill="1" applyBorder="1" applyAlignment="1" applyProtection="1">
      <alignment vertical="top"/>
    </xf>
    <xf numFmtId="0" fontId="104" fillId="10" borderId="0" xfId="0" applyFont="1" applyFill="1" applyProtection="1"/>
    <xf numFmtId="38" fontId="12" fillId="6" borderId="60" xfId="0" applyNumberFormat="1" applyFont="1" applyFill="1" applyBorder="1" applyAlignment="1">
      <alignment horizontal="center" vertical="center"/>
    </xf>
    <xf numFmtId="0" fontId="0" fillId="34" borderId="0" xfId="0" applyFill="1"/>
    <xf numFmtId="0" fontId="15" fillId="0" borderId="0" xfId="0" quotePrefix="1" applyFont="1"/>
    <xf numFmtId="175" fontId="0" fillId="0" borderId="0" xfId="0" quotePrefix="1" applyNumberFormat="1" applyFill="1" applyAlignment="1">
      <alignment horizontal="center"/>
    </xf>
    <xf numFmtId="0" fontId="0" fillId="34" borderId="0" xfId="0" applyFill="1" applyAlignment="1">
      <alignment horizontal="center"/>
    </xf>
    <xf numFmtId="0" fontId="142" fillId="0" borderId="0" xfId="2" applyFont="1" applyBorder="1" applyAlignment="1">
      <alignment horizontal="center"/>
    </xf>
    <xf numFmtId="0" fontId="142" fillId="0" borderId="0" xfId="2" applyFont="1" applyBorder="1" applyAlignment="1">
      <alignment horizontal="center" vertical="center" wrapText="1"/>
    </xf>
    <xf numFmtId="0" fontId="38" fillId="0" borderId="0" xfId="2" applyFont="1" applyBorder="1"/>
    <xf numFmtId="40" fontId="7" fillId="0" borderId="0" xfId="2" applyNumberFormat="1" applyBorder="1"/>
    <xf numFmtId="40" fontId="40" fillId="0" borderId="0" xfId="2" applyNumberFormat="1" applyFont="1" applyFill="1" applyBorder="1"/>
    <xf numFmtId="40" fontId="7" fillId="0" borderId="0" xfId="2" applyNumberFormat="1" applyFill="1" applyBorder="1"/>
    <xf numFmtId="40" fontId="39" fillId="0" borderId="0" xfId="2" applyNumberFormat="1" applyFont="1" applyFill="1" applyBorder="1" applyProtection="1">
      <protection locked="0"/>
    </xf>
    <xf numFmtId="40" fontId="39" fillId="0" borderId="28" xfId="2" applyNumberFormat="1" applyFont="1" applyFill="1" applyBorder="1" applyProtection="1">
      <protection locked="0"/>
    </xf>
    <xf numFmtId="0" fontId="40" fillId="35" borderId="0" xfId="2" applyFont="1" applyFill="1" applyAlignment="1">
      <alignment horizontal="right" indent="1"/>
    </xf>
    <xf numFmtId="0" fontId="38" fillId="0" borderId="0" xfId="2" applyFont="1" applyAlignment="1">
      <alignment horizontal="center"/>
    </xf>
    <xf numFmtId="0" fontId="28" fillId="35" borderId="0" xfId="2" applyFont="1" applyFill="1"/>
    <xf numFmtId="0" fontId="29" fillId="35" borderId="0" xfId="2" applyFont="1" applyFill="1"/>
    <xf numFmtId="167" fontId="30" fillId="35" borderId="0" xfId="2" applyNumberFormat="1" applyFont="1" applyFill="1" applyAlignment="1">
      <alignment horizontal="center"/>
    </xf>
    <xf numFmtId="167" fontId="30" fillId="0" borderId="0" xfId="2" applyNumberFormat="1" applyFont="1" applyFill="1" applyAlignment="1">
      <alignment horizontal="center"/>
    </xf>
    <xf numFmtId="40" fontId="118" fillId="0" borderId="0" xfId="2" applyNumberFormat="1" applyFont="1" applyBorder="1" applyProtection="1"/>
    <xf numFmtId="0" fontId="7" fillId="0" borderId="0" xfId="2"/>
    <xf numFmtId="0" fontId="28" fillId="0" borderId="0" xfId="2" applyFont="1" applyProtection="1"/>
    <xf numFmtId="40" fontId="35" fillId="0" borderId="0" xfId="2" applyNumberFormat="1" applyFont="1" applyProtection="1"/>
    <xf numFmtId="40" fontId="40" fillId="0" borderId="0" xfId="2" applyNumberFormat="1" applyFont="1" applyFill="1" applyBorder="1" applyProtection="1"/>
    <xf numFmtId="0" fontId="35" fillId="0" borderId="0" xfId="2" applyFont="1" applyProtection="1"/>
    <xf numFmtId="0" fontId="28" fillId="0" borderId="0" xfId="2" applyFont="1" applyBorder="1" applyProtection="1"/>
    <xf numFmtId="40" fontId="35" fillId="0" borderId="0" xfId="2" applyNumberFormat="1" applyFont="1" applyFill="1" applyBorder="1" applyProtection="1"/>
    <xf numFmtId="0" fontId="35" fillId="0" borderId="0" xfId="2" applyFont="1" applyAlignment="1" applyProtection="1">
      <alignment horizontal="right"/>
    </xf>
    <xf numFmtId="0" fontId="7" fillId="0" borderId="0" xfId="2" applyProtection="1"/>
    <xf numFmtId="40" fontId="45" fillId="0" borderId="0" xfId="2" applyNumberFormat="1" applyFont="1" applyFill="1" applyBorder="1" applyProtection="1"/>
    <xf numFmtId="40" fontId="39" fillId="0" borderId="0" xfId="2" applyNumberFormat="1" applyFont="1" applyBorder="1" applyProtection="1"/>
    <xf numFmtId="40" fontId="39" fillId="0" borderId="0" xfId="2" applyNumberFormat="1" applyFont="1" applyFill="1" applyBorder="1" applyProtection="1"/>
    <xf numFmtId="40" fontId="28" fillId="0" borderId="0" xfId="2" applyNumberFormat="1" applyFont="1" applyFill="1" applyBorder="1" applyProtection="1"/>
    <xf numFmtId="0" fontId="7" fillId="0" borderId="0" xfId="2" applyBorder="1" applyProtection="1"/>
    <xf numFmtId="0" fontId="29" fillId="0" borderId="0" xfId="2" applyFont="1" applyFill="1" applyProtection="1"/>
    <xf numFmtId="40" fontId="38" fillId="0" borderId="0" xfId="2" applyNumberFormat="1" applyFont="1" applyBorder="1" applyProtection="1"/>
    <xf numFmtId="40" fontId="7" fillId="0" borderId="0" xfId="2" applyNumberFormat="1" applyBorder="1" applyProtection="1"/>
    <xf numFmtId="40" fontId="7" fillId="0" borderId="0" xfId="2" applyNumberFormat="1" applyFill="1" applyBorder="1" applyProtection="1"/>
    <xf numFmtId="40" fontId="37" fillId="0" borderId="0" xfId="2" applyNumberFormat="1" applyFont="1" applyBorder="1" applyProtection="1"/>
    <xf numFmtId="40" fontId="39" fillId="0" borderId="37" xfId="2" applyNumberFormat="1" applyFont="1" applyBorder="1" applyProtection="1"/>
    <xf numFmtId="0" fontId="32" fillId="0" borderId="0" xfId="2" applyFont="1" applyBorder="1" applyAlignment="1" applyProtection="1">
      <alignment horizontal="center"/>
    </xf>
    <xf numFmtId="0" fontId="93" fillId="0" borderId="0" xfId="2" applyFont="1" applyBorder="1" applyAlignment="1" applyProtection="1">
      <alignment horizontal="center" vertical="center" wrapText="1"/>
    </xf>
    <xf numFmtId="0" fontId="7" fillId="0" borderId="37" xfId="2" applyBorder="1" applyProtection="1"/>
    <xf numFmtId="0" fontId="32" fillId="0" borderId="0" xfId="2" applyFont="1" applyBorder="1" applyAlignment="1" applyProtection="1">
      <alignment horizontal="center" vertical="center" wrapText="1"/>
    </xf>
    <xf numFmtId="40" fontId="35" fillId="0" borderId="0" xfId="2" applyNumberFormat="1" applyFont="1" applyBorder="1" applyProtection="1"/>
    <xf numFmtId="40" fontId="45" fillId="0" borderId="0" xfId="2" applyNumberFormat="1" applyFont="1" applyBorder="1" applyProtection="1"/>
    <xf numFmtId="40" fontId="35" fillId="0" borderId="28" xfId="2" applyNumberFormat="1" applyFont="1" applyBorder="1" applyProtection="1"/>
    <xf numFmtId="40" fontId="40" fillId="0" borderId="0" xfId="2" applyNumberFormat="1" applyFont="1" applyProtection="1"/>
    <xf numFmtId="0" fontId="12" fillId="6" borderId="26" xfId="0" applyFont="1" applyFill="1" applyBorder="1" applyAlignment="1" applyProtection="1">
      <alignment horizontal="center" vertical="center"/>
    </xf>
    <xf numFmtId="0" fontId="0" fillId="0" borderId="0" xfId="0" applyAlignment="1">
      <alignment horizontal="center" vertical="center"/>
    </xf>
    <xf numFmtId="38" fontId="12" fillId="6" borderId="60" xfId="0" applyNumberFormat="1" applyFont="1" applyFill="1" applyBorder="1" applyAlignment="1">
      <alignment horizontal="center" vertical="center"/>
    </xf>
    <xf numFmtId="49" fontId="26" fillId="2" borderId="36" xfId="0" applyNumberFormat="1" applyFont="1" applyFill="1" applyBorder="1" applyAlignment="1" applyProtection="1">
      <alignment vertical="center"/>
      <protection locked="0"/>
    </xf>
    <xf numFmtId="49" fontId="26" fillId="2" borderId="36" xfId="0" applyNumberFormat="1" applyFont="1" applyFill="1" applyBorder="1" applyAlignment="1" applyProtection="1">
      <alignment horizontal="left" vertical="center" wrapText="1"/>
      <protection locked="0"/>
    </xf>
    <xf numFmtId="38" fontId="15" fillId="29" borderId="0" xfId="0" applyNumberFormat="1" applyFont="1" applyFill="1" applyAlignment="1">
      <alignment horizontal="center" vertical="center"/>
    </xf>
    <xf numFmtId="38" fontId="12" fillId="6" borderId="17" xfId="4" applyNumberFormat="1" applyFont="1" applyFill="1" applyBorder="1" applyAlignment="1">
      <alignment horizontal="center" vertical="center"/>
    </xf>
    <xf numFmtId="0" fontId="4" fillId="0" borderId="58" xfId="0" applyFont="1" applyFill="1" applyBorder="1" applyAlignment="1" applyProtection="1">
      <alignment horizontal="center" vertical="center"/>
    </xf>
    <xf numFmtId="0" fontId="0" fillId="0" borderId="0" xfId="0" applyBorder="1" applyAlignment="1" applyProtection="1">
      <alignment horizontal="left" vertical="center"/>
    </xf>
    <xf numFmtId="38" fontId="12" fillId="6" borderId="61" xfId="0" applyNumberFormat="1" applyFont="1" applyFill="1" applyBorder="1" applyAlignment="1">
      <alignment horizontal="center" vertical="center"/>
    </xf>
    <xf numFmtId="38" fontId="15" fillId="29" borderId="0" xfId="0" applyNumberFormat="1" applyFont="1" applyFill="1" applyAlignment="1">
      <alignment horizontal="center" vertical="center"/>
    </xf>
    <xf numFmtId="38" fontId="4" fillId="0" borderId="0" xfId="0" applyNumberFormat="1" applyFont="1" applyBorder="1" applyAlignment="1" applyProtection="1">
      <alignment horizontal="center" vertical="center"/>
    </xf>
    <xf numFmtId="38" fontId="12" fillId="0" borderId="0" xfId="0" applyNumberFormat="1" applyFont="1" applyAlignment="1">
      <alignment horizontal="center" vertical="center"/>
    </xf>
    <xf numFmtId="0" fontId="95" fillId="0" borderId="0" xfId="0" applyFont="1" applyFill="1" applyAlignment="1">
      <alignment horizontal="left" vertical="center"/>
    </xf>
    <xf numFmtId="0" fontId="4" fillId="0" borderId="0" xfId="0" applyFont="1" applyFill="1" applyAlignment="1">
      <alignment horizontal="left" vertical="center"/>
    </xf>
    <xf numFmtId="38" fontId="12" fillId="6" borderId="60" xfId="0" applyNumberFormat="1" applyFont="1" applyFill="1" applyBorder="1" applyAlignment="1">
      <alignment horizontal="center" vertical="center"/>
    </xf>
    <xf numFmtId="38" fontId="15" fillId="11" borderId="0" xfId="0" applyNumberFormat="1" applyFont="1" applyFill="1" applyBorder="1" applyAlignment="1" applyProtection="1">
      <alignment horizontal="center" vertical="center"/>
    </xf>
    <xf numFmtId="38" fontId="15" fillId="11" borderId="0" xfId="0" applyNumberFormat="1" applyFont="1" applyFill="1" applyBorder="1" applyAlignment="1">
      <alignment horizontal="center" vertical="center"/>
    </xf>
    <xf numFmtId="38" fontId="15" fillId="29" borderId="121" xfId="0" applyNumberFormat="1" applyFont="1" applyFill="1" applyBorder="1" applyAlignment="1">
      <alignment horizontal="center" vertical="center"/>
    </xf>
    <xf numFmtId="0" fontId="25" fillId="0" borderId="17" xfId="0" applyFont="1" applyFill="1" applyBorder="1" applyAlignment="1">
      <alignment vertical="center"/>
    </xf>
    <xf numFmtId="0" fontId="0" fillId="0" borderId="18" xfId="0" applyFill="1" applyBorder="1" applyProtection="1"/>
    <xf numFmtId="38" fontId="15" fillId="29" borderId="0" xfId="0" applyNumberFormat="1" applyFont="1" applyFill="1" applyAlignment="1">
      <alignment horizontal="center" vertical="center"/>
    </xf>
    <xf numFmtId="38" fontId="15" fillId="11" borderId="0" xfId="0" applyNumberFormat="1" applyFont="1" applyFill="1" applyAlignment="1">
      <alignment horizontal="center" vertical="center"/>
    </xf>
    <xf numFmtId="0" fontId="133" fillId="8" borderId="0" xfId="0" applyFont="1" applyFill="1" applyAlignment="1">
      <alignment horizontal="left" vertical="center"/>
    </xf>
    <xf numFmtId="38" fontId="12" fillId="6" borderId="60" xfId="0" applyNumberFormat="1" applyFont="1" applyFill="1" applyBorder="1" applyAlignment="1">
      <alignment horizontal="center" vertical="center"/>
    </xf>
    <xf numFmtId="38" fontId="4" fillId="8" borderId="0" xfId="0" applyNumberFormat="1" applyFont="1" applyFill="1" applyAlignment="1">
      <alignment horizontal="center" vertical="center"/>
    </xf>
    <xf numFmtId="0" fontId="12" fillId="2" borderId="8" xfId="0" applyFont="1" applyFill="1" applyBorder="1" applyAlignment="1" applyProtection="1">
      <alignment horizontal="center" vertical="center"/>
      <protection locked="0"/>
    </xf>
    <xf numFmtId="38" fontId="15" fillId="29" borderId="0" xfId="0" applyNumberFormat="1" applyFont="1" applyFill="1" applyAlignment="1">
      <alignment horizontal="center" vertical="center"/>
    </xf>
    <xf numFmtId="6" fontId="0" fillId="0" borderId="187" xfId="0" applyNumberFormat="1" applyFill="1" applyBorder="1" applyAlignment="1" applyProtection="1">
      <alignment horizontal="right" vertical="top"/>
    </xf>
    <xf numFmtId="0" fontId="4" fillId="11" borderId="0" xfId="0" applyFont="1" applyFill="1"/>
    <xf numFmtId="1" fontId="15" fillId="0" borderId="48" xfId="0" applyNumberFormat="1" applyFont="1" applyBorder="1" applyAlignment="1">
      <alignment horizontal="center" vertical="center"/>
    </xf>
    <xf numFmtId="0" fontId="2" fillId="0" borderId="59" xfId="0" applyFont="1" applyBorder="1" applyAlignment="1">
      <alignment horizontal="center" vertical="center" wrapText="1"/>
    </xf>
    <xf numFmtId="0" fontId="104" fillId="0" borderId="0" xfId="0" applyFont="1" applyFill="1" applyAlignment="1" applyProtection="1">
      <alignment vertical="center"/>
    </xf>
    <xf numFmtId="40" fontId="40" fillId="0" borderId="0" xfId="2" quotePrefix="1" applyNumberFormat="1" applyFont="1" applyFill="1"/>
    <xf numFmtId="0" fontId="7" fillId="0" borderId="0" xfId="2" applyFont="1" applyFill="1" applyAlignment="1">
      <alignment horizontal="right" indent="1"/>
    </xf>
    <xf numFmtId="40" fontId="40" fillId="0" borderId="28" xfId="2" quotePrefix="1" applyNumberFormat="1" applyFont="1" applyFill="1" applyBorder="1"/>
    <xf numFmtId="6" fontId="0" fillId="0" borderId="18" xfId="0" applyNumberFormat="1" applyBorder="1" applyAlignment="1">
      <alignment horizontal="center" vertical="center"/>
    </xf>
    <xf numFmtId="0" fontId="2" fillId="17" borderId="18" xfId="0" applyFont="1" applyFill="1" applyBorder="1" applyAlignment="1">
      <alignment horizontal="center" vertical="center"/>
    </xf>
    <xf numFmtId="218" fontId="0" fillId="0" borderId="18" xfId="0" applyNumberFormat="1" applyBorder="1" applyAlignment="1">
      <alignment horizontal="center" vertical="center"/>
    </xf>
    <xf numFmtId="9" fontId="2" fillId="0" borderId="18" xfId="4" applyFont="1" applyBorder="1" applyAlignment="1">
      <alignment horizontal="center" vertical="center"/>
    </xf>
    <xf numFmtId="164" fontId="4" fillId="0" borderId="18" xfId="4" applyNumberFormat="1" applyFont="1" applyBorder="1" applyAlignment="1">
      <alignment horizontal="center" vertical="center"/>
    </xf>
    <xf numFmtId="38" fontId="4" fillId="0" borderId="18" xfId="0" applyNumberFormat="1" applyFont="1" applyBorder="1" applyAlignment="1">
      <alignment horizontal="center" vertical="center"/>
    </xf>
    <xf numFmtId="0" fontId="2" fillId="0" borderId="162" xfId="0" quotePrefix="1" applyFont="1" applyBorder="1" applyAlignment="1">
      <alignment horizontal="center" vertical="center"/>
    </xf>
    <xf numFmtId="0" fontId="2" fillId="0" borderId="162" xfId="0" applyFont="1" applyBorder="1" applyAlignment="1">
      <alignment horizontal="center" vertical="center"/>
    </xf>
    <xf numFmtId="212" fontId="12" fillId="6" borderId="18" xfId="0" applyNumberFormat="1" applyFont="1" applyFill="1" applyBorder="1" applyAlignment="1">
      <alignment horizontal="center" vertical="center" wrapText="1"/>
    </xf>
    <xf numFmtId="6" fontId="0" fillId="0" borderId="18" xfId="0" applyNumberFormat="1" applyFill="1" applyBorder="1" applyAlignment="1">
      <alignment horizontal="center" vertical="center"/>
    </xf>
    <xf numFmtId="8" fontId="0" fillId="0" borderId="18" xfId="0" applyNumberFormat="1" applyBorder="1" applyAlignment="1">
      <alignment horizontal="center" vertical="center"/>
    </xf>
    <xf numFmtId="9" fontId="0" fillId="0" borderId="18" xfId="4" applyFont="1" applyBorder="1" applyAlignment="1">
      <alignment horizontal="center" vertical="center"/>
    </xf>
    <xf numFmtId="185" fontId="4" fillId="0" borderId="18" xfId="0" applyNumberFormat="1" applyFont="1" applyBorder="1" applyAlignment="1">
      <alignment horizontal="center" vertical="center"/>
    </xf>
    <xf numFmtId="6" fontId="12" fillId="6" borderId="18" xfId="0" applyNumberFormat="1" applyFont="1" applyFill="1" applyBorder="1" applyAlignment="1">
      <alignment horizontal="center" vertical="center"/>
    </xf>
    <xf numFmtId="0" fontId="2" fillId="0" borderId="18" xfId="0" applyFont="1" applyBorder="1" applyAlignment="1">
      <alignment horizontal="center" vertical="center"/>
    </xf>
    <xf numFmtId="8" fontId="2" fillId="0" borderId="18" xfId="0" applyNumberFormat="1" applyFont="1" applyBorder="1" applyAlignment="1">
      <alignment horizontal="center" vertical="center"/>
    </xf>
    <xf numFmtId="38" fontId="4" fillId="0" borderId="18" xfId="0" applyNumberFormat="1" applyFont="1" applyFill="1" applyBorder="1" applyAlignment="1">
      <alignment horizontal="center" vertical="center" wrapText="1"/>
    </xf>
    <xf numFmtId="0" fontId="0" fillId="0" borderId="13" xfId="0" applyBorder="1" applyAlignment="1">
      <alignment horizontal="left" wrapText="1"/>
    </xf>
    <xf numFmtId="0" fontId="0" fillId="0" borderId="2" xfId="0" applyBorder="1" applyAlignment="1">
      <alignment horizontal="left" wrapText="1"/>
    </xf>
    <xf numFmtId="0" fontId="0" fillId="0" borderId="50" xfId="0" applyBorder="1" applyAlignment="1">
      <alignment horizontal="left" wrapText="1"/>
    </xf>
    <xf numFmtId="0" fontId="0" fillId="0" borderId="142" xfId="0" applyBorder="1" applyAlignment="1">
      <alignment horizontal="left" wrapText="1"/>
    </xf>
    <xf numFmtId="9" fontId="0" fillId="0" borderId="18" xfId="4" applyFont="1" applyFill="1" applyBorder="1" applyAlignment="1">
      <alignment horizontal="center" vertical="center"/>
    </xf>
    <xf numFmtId="212" fontId="12" fillId="6" borderId="17" xfId="0" applyNumberFormat="1" applyFont="1" applyFill="1" applyBorder="1" applyAlignment="1">
      <alignment horizontal="center" vertical="center" wrapText="1"/>
    </xf>
    <xf numFmtId="213" fontId="12" fillId="6" borderId="17" xfId="0" applyNumberFormat="1" applyFont="1" applyFill="1" applyBorder="1" applyAlignment="1">
      <alignment horizontal="center" vertical="center"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0" fillId="0" borderId="50" xfId="0" applyBorder="1" applyAlignment="1">
      <alignment horizontal="left" vertical="top" wrapText="1"/>
    </xf>
    <xf numFmtId="0" fontId="0" fillId="0" borderId="142" xfId="0" applyBorder="1" applyAlignment="1">
      <alignment horizontal="left" vertical="top" wrapText="1"/>
    </xf>
    <xf numFmtId="0" fontId="0" fillId="0" borderId="13"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50" xfId="0" applyFont="1" applyBorder="1" applyAlignment="1" applyProtection="1">
      <alignment horizontal="left" vertical="top" wrapText="1"/>
    </xf>
    <xf numFmtId="0" fontId="0" fillId="0" borderId="160" xfId="0" applyFont="1" applyBorder="1" applyAlignment="1" applyProtection="1">
      <alignment horizontal="left" vertical="top" wrapText="1"/>
    </xf>
    <xf numFmtId="0" fontId="12" fillId="6" borderId="36" xfId="0" applyFont="1" applyFill="1" applyBorder="1" applyAlignment="1" applyProtection="1">
      <alignment horizontal="center" vertical="center"/>
    </xf>
    <xf numFmtId="0" fontId="12" fillId="6" borderId="60" xfId="0" applyFont="1" applyFill="1" applyBorder="1" applyAlignment="1">
      <alignment horizontal="left" vertical="center"/>
    </xf>
    <xf numFmtId="9" fontId="12" fillId="6" borderId="17" xfId="4" applyFont="1" applyFill="1" applyBorder="1" applyAlignment="1">
      <alignment horizontal="center" vertical="center"/>
    </xf>
    <xf numFmtId="0" fontId="12" fillId="6" borderId="80" xfId="4" applyNumberFormat="1" applyFont="1" applyFill="1" applyBorder="1" applyAlignment="1">
      <alignment horizontal="center" vertical="center"/>
    </xf>
    <xf numFmtId="0" fontId="12" fillId="6" borderId="17" xfId="0" applyFont="1" applyFill="1" applyBorder="1" applyAlignment="1">
      <alignment horizontal="left" vertical="center" indent="1"/>
    </xf>
    <xf numFmtId="191" fontId="0" fillId="0" borderId="28" xfId="0" applyNumberFormat="1" applyBorder="1" applyAlignment="1">
      <alignment horizontal="center" vertical="center"/>
    </xf>
    <xf numFmtId="191" fontId="0" fillId="0" borderId="14" xfId="0" applyNumberFormat="1" applyBorder="1" applyAlignment="1">
      <alignment horizontal="center" vertical="center"/>
    </xf>
    <xf numFmtId="38" fontId="4" fillId="0" borderId="2" xfId="0" applyNumberFormat="1" applyFont="1" applyFill="1" applyBorder="1" applyAlignment="1">
      <alignment horizontal="center"/>
    </xf>
    <xf numFmtId="38" fontId="4" fillId="0" borderId="56" xfId="0" applyNumberFormat="1" applyFont="1" applyFill="1" applyBorder="1" applyAlignment="1">
      <alignment horizontal="center"/>
    </xf>
    <xf numFmtId="198" fontId="0" fillId="0" borderId="0" xfId="0" applyNumberFormat="1" applyBorder="1" applyAlignment="1">
      <alignment horizontal="center" vertical="center"/>
    </xf>
    <xf numFmtId="198" fontId="0" fillId="0" borderId="8" xfId="0" applyNumberFormat="1" applyBorder="1" applyAlignment="1">
      <alignment horizontal="center" vertical="center"/>
    </xf>
    <xf numFmtId="0" fontId="12" fillId="6" borderId="24"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0" fillId="0" borderId="90" xfId="0" applyBorder="1" applyAlignment="1">
      <alignment horizontal="left" vertical="center" wrapText="1"/>
    </xf>
    <xf numFmtId="0" fontId="0" fillId="0" borderId="79" xfId="0" applyBorder="1" applyAlignment="1">
      <alignment horizontal="left" vertical="center" wrapText="1"/>
    </xf>
    <xf numFmtId="6" fontId="0" fillId="0" borderId="18" xfId="0" quotePrefix="1" applyNumberFormat="1" applyBorder="1" applyAlignment="1">
      <alignment horizontal="center" vertical="center"/>
    </xf>
    <xf numFmtId="38" fontId="0" fillId="0" borderId="18" xfId="0" applyNumberFormat="1"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136"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0" fillId="0" borderId="56" xfId="0" applyFont="1" applyBorder="1" applyAlignment="1">
      <alignment horizontal="left" vertical="center"/>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50" xfId="0" applyFont="1" applyBorder="1" applyAlignment="1">
      <alignment horizontal="left" vertical="center"/>
    </xf>
    <xf numFmtId="0" fontId="0" fillId="0" borderId="160" xfId="0" applyFont="1" applyBorder="1" applyAlignment="1">
      <alignment horizontal="left" vertical="center"/>
    </xf>
    <xf numFmtId="0" fontId="0" fillId="0" borderId="161" xfId="0" applyFont="1" applyBorder="1" applyAlignment="1">
      <alignment horizontal="left" vertical="center"/>
    </xf>
    <xf numFmtId="0" fontId="0" fillId="0" borderId="121" xfId="0" applyBorder="1" applyAlignment="1">
      <alignment horizontal="right" vertical="center" wrapText="1"/>
    </xf>
    <xf numFmtId="0" fontId="0" fillId="0" borderId="79" xfId="0" applyBorder="1" applyAlignment="1">
      <alignment horizontal="right" vertical="center" wrapText="1"/>
    </xf>
    <xf numFmtId="0" fontId="12" fillId="6" borderId="121" xfId="0" applyFont="1" applyFill="1" applyBorder="1" applyAlignment="1" applyProtection="1">
      <alignment horizontal="center" vertical="center"/>
    </xf>
    <xf numFmtId="0" fontId="12" fillId="6" borderId="160" xfId="0" applyFont="1" applyFill="1" applyBorder="1" applyAlignment="1" applyProtection="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139" fillId="10" borderId="0" xfId="0" applyFont="1" applyFill="1" applyAlignment="1">
      <alignment horizontal="left" vertical="top" wrapText="1"/>
    </xf>
    <xf numFmtId="0" fontId="134" fillId="0" borderId="0" xfId="0" applyFont="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209" fontId="0" fillId="0" borderId="3" xfId="0" applyNumberFormat="1" applyBorder="1" applyAlignment="1">
      <alignment horizontal="center" vertical="center"/>
    </xf>
    <xf numFmtId="209" fontId="0" fillId="0" borderId="10" xfId="0" applyNumberFormat="1" applyBorder="1" applyAlignment="1">
      <alignment horizontal="center" vertical="center"/>
    </xf>
    <xf numFmtId="210" fontId="0" fillId="0" borderId="3" xfId="0" applyNumberFormat="1" applyBorder="1" applyAlignment="1">
      <alignment horizontal="center" vertical="center"/>
    </xf>
    <xf numFmtId="210" fontId="0" fillId="0" borderId="10" xfId="0" applyNumberFormat="1" applyBorder="1" applyAlignment="1">
      <alignment horizontal="center" vertical="center"/>
    </xf>
    <xf numFmtId="0" fontId="0" fillId="0" borderId="141"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48" xfId="0" applyBorder="1" applyAlignment="1">
      <alignment horizontal="left" vertical="top" wrapText="1"/>
    </xf>
    <xf numFmtId="0" fontId="0" fillId="0" borderId="14" xfId="0" applyBorder="1" applyAlignment="1">
      <alignment horizontal="left" vertical="top" wrapText="1"/>
    </xf>
    <xf numFmtId="211" fontId="0" fillId="0" borderId="3" xfId="0" applyNumberFormat="1" applyBorder="1" applyAlignment="1">
      <alignment horizontal="center" vertical="center"/>
    </xf>
    <xf numFmtId="211" fontId="0" fillId="0" borderId="10" xfId="0" applyNumberFormat="1" applyBorder="1" applyAlignment="1">
      <alignment horizontal="center" vertical="center"/>
    </xf>
    <xf numFmtId="208" fontId="2" fillId="0" borderId="3" xfId="0" applyNumberFormat="1" applyFont="1" applyBorder="1" applyAlignment="1">
      <alignment horizontal="center"/>
    </xf>
    <xf numFmtId="208" fontId="2" fillId="0" borderId="4" xfId="0" applyNumberFormat="1" applyFont="1" applyBorder="1" applyAlignment="1">
      <alignment horizontal="center"/>
    </xf>
    <xf numFmtId="208" fontId="2" fillId="0" borderId="10" xfId="0" applyNumberFormat="1"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xf numFmtId="0" fontId="2" fillId="0" borderId="50" xfId="0" applyFont="1" applyBorder="1" applyAlignment="1">
      <alignment horizontal="center"/>
    </xf>
    <xf numFmtId="0" fontId="2" fillId="0" borderId="135" xfId="0" applyFont="1" applyBorder="1" applyAlignment="1">
      <alignment horizontal="center"/>
    </xf>
    <xf numFmtId="0" fontId="2" fillId="0" borderId="137" xfId="0" applyFont="1" applyBorder="1" applyAlignment="1">
      <alignment horizontal="center"/>
    </xf>
    <xf numFmtId="0" fontId="2" fillId="0" borderId="138" xfId="0" applyFont="1" applyBorder="1" applyAlignment="1">
      <alignment horizontal="center"/>
    </xf>
    <xf numFmtId="0" fontId="2" fillId="0" borderId="4" xfId="0" applyFont="1" applyBorder="1" applyAlignment="1">
      <alignment horizontal="center"/>
    </xf>
    <xf numFmtId="0" fontId="2" fillId="9" borderId="16" xfId="0" applyFont="1" applyFill="1" applyBorder="1" applyAlignment="1">
      <alignment horizontal="left"/>
    </xf>
    <xf numFmtId="0" fontId="2" fillId="9" borderId="0" xfId="0" applyFont="1" applyFill="1" applyBorder="1" applyAlignment="1">
      <alignment horizontal="left"/>
    </xf>
    <xf numFmtId="0" fontId="0" fillId="14" borderId="0" xfId="0" quotePrefix="1" applyFill="1" applyAlignment="1">
      <alignment horizontal="left"/>
    </xf>
    <xf numFmtId="0" fontId="0" fillId="14" borderId="0" xfId="0" applyFill="1" applyAlignment="1">
      <alignment horizontal="left"/>
    </xf>
    <xf numFmtId="0" fontId="0" fillId="33" borderId="5" xfId="0" applyFill="1" applyBorder="1" applyAlignment="1">
      <alignment horizontal="center" vertical="center" wrapText="1"/>
    </xf>
    <xf numFmtId="0" fontId="0" fillId="33" borderId="6"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25" fillId="32" borderId="5" xfId="0" applyFont="1" applyFill="1" applyBorder="1" applyAlignment="1">
      <alignment horizontal="center" vertical="center"/>
    </xf>
    <xf numFmtId="0" fontId="25" fillId="32" borderId="6" xfId="0" applyFont="1" applyFill="1" applyBorder="1" applyAlignment="1">
      <alignment horizontal="center" vertic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0" fillId="23" borderId="0" xfId="0" applyFill="1" applyAlignment="1">
      <alignment horizontal="left"/>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24" borderId="5" xfId="0" applyFont="1" applyFill="1" applyBorder="1" applyAlignment="1">
      <alignment horizontal="center"/>
    </xf>
    <xf numFmtId="0" fontId="2" fillId="24" borderId="1" xfId="0" applyFont="1" applyFill="1" applyBorder="1" applyAlignment="1">
      <alignment horizontal="center"/>
    </xf>
    <xf numFmtId="0" fontId="2" fillId="24" borderId="6" xfId="0" applyFont="1" applyFill="1" applyBorder="1" applyAlignment="1">
      <alignment horizontal="center"/>
    </xf>
    <xf numFmtId="0" fontId="4" fillId="32" borderId="5" xfId="0" applyFont="1" applyFill="1" applyBorder="1" applyAlignment="1">
      <alignment horizontal="center" vertical="center" wrapText="1"/>
    </xf>
    <xf numFmtId="0" fontId="4" fillId="32" borderId="6" xfId="0" applyFont="1" applyFill="1" applyBorder="1" applyAlignment="1">
      <alignment horizontal="center" vertical="center" wrapText="1"/>
    </xf>
    <xf numFmtId="0" fontId="2" fillId="10" borderId="5" xfId="0" applyFont="1" applyFill="1" applyBorder="1" applyAlignment="1">
      <alignment horizontal="center" wrapText="1"/>
    </xf>
    <xf numFmtId="0" fontId="2" fillId="10" borderId="6" xfId="0" applyFont="1" applyFill="1" applyBorder="1" applyAlignment="1">
      <alignment horizontal="center"/>
    </xf>
    <xf numFmtId="0" fontId="10" fillId="10" borderId="5" xfId="0" applyFont="1" applyFill="1" applyBorder="1" applyAlignment="1">
      <alignment horizontal="center"/>
    </xf>
    <xf numFmtId="0" fontId="10" fillId="1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57" fillId="8" borderId="0" xfId="0" applyFont="1" applyFill="1" applyBorder="1" applyAlignment="1">
      <alignment horizontal="center" textRotation="90"/>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5" fillId="0" borderId="0" xfId="0" applyFont="1" applyAlignment="1">
      <alignment horizontal="right" vertical="center" wrapText="1"/>
    </xf>
    <xf numFmtId="0" fontId="0" fillId="0" borderId="0" xfId="0" applyAlignment="1">
      <alignment horizontal="left" vertical="top" wrapText="1"/>
    </xf>
    <xf numFmtId="49" fontId="0" fillId="2" borderId="3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left" vertical="top" wrapText="1"/>
    </xf>
    <xf numFmtId="0" fontId="26" fillId="2" borderId="36" xfId="0" applyFont="1" applyFill="1" applyBorder="1" applyAlignment="1" applyProtection="1">
      <alignment horizontal="left" vertical="center" wrapText="1"/>
      <protection locked="0"/>
    </xf>
    <xf numFmtId="49" fontId="0" fillId="2" borderId="26" xfId="0" applyNumberFormat="1" applyFont="1" applyFill="1" applyBorder="1" applyAlignment="1" applyProtection="1">
      <alignment horizontal="left" vertical="center" wrapText="1"/>
      <protection locked="0"/>
    </xf>
    <xf numFmtId="0" fontId="2" fillId="0" borderId="0" xfId="0" applyFont="1" applyAlignment="1">
      <alignment horizontal="left" vertical="top" wrapText="1"/>
    </xf>
    <xf numFmtId="0" fontId="0" fillId="0" borderId="0" xfId="0" applyFont="1" applyBorder="1" applyAlignment="1" applyProtection="1">
      <alignment horizontal="left" vertical="center" wrapText="1"/>
    </xf>
    <xf numFmtId="49" fontId="0" fillId="0" borderId="0" xfId="0" applyNumberFormat="1" applyFont="1" applyBorder="1" applyAlignment="1" applyProtection="1">
      <alignment horizontal="left" vertical="top" wrapText="1"/>
    </xf>
    <xf numFmtId="0" fontId="12" fillId="2" borderId="26" xfId="0" applyFont="1" applyFill="1" applyBorder="1" applyAlignment="1" applyProtection="1">
      <alignment horizontal="left" vertical="center"/>
      <protection locked="0"/>
    </xf>
    <xf numFmtId="0" fontId="4" fillId="8" borderId="0" xfId="0" applyFont="1" applyFill="1" applyAlignment="1">
      <alignment horizontal="left" vertical="center" wrapText="1"/>
    </xf>
    <xf numFmtId="0" fontId="0" fillId="0" borderId="0" xfId="0" applyAlignment="1">
      <alignment horizontal="left" vertical="center" wrapText="1"/>
    </xf>
    <xf numFmtId="0" fontId="0" fillId="0" borderId="0" xfId="0" applyFont="1" applyFill="1" applyBorder="1" applyAlignment="1" applyProtection="1">
      <alignment horizontal="left" vertical="top" wrapText="1"/>
    </xf>
    <xf numFmtId="0" fontId="12" fillId="2" borderId="36"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0" fillId="0" borderId="0" xfId="0" applyFill="1" applyAlignment="1">
      <alignment horizontal="left" vertical="top" wrapText="1"/>
    </xf>
    <xf numFmtId="0" fontId="25" fillId="0" borderId="0" xfId="0" applyFont="1" applyAlignment="1">
      <alignment horizontal="right" vertical="center"/>
    </xf>
    <xf numFmtId="0" fontId="105" fillId="0" borderId="0" xfId="0" applyFont="1" applyAlignment="1">
      <alignment horizontal="left" vertical="center" wrapText="1"/>
    </xf>
    <xf numFmtId="0" fontId="12" fillId="2" borderId="26" xfId="0" applyFont="1"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Border="1" applyAlignment="1" applyProtection="1">
      <alignment horizontal="left" vertical="top"/>
    </xf>
    <xf numFmtId="0" fontId="25" fillId="0" borderId="0" xfId="0" applyFont="1" applyBorder="1" applyAlignment="1" applyProtection="1">
      <alignment horizontal="right" vertical="center" wrapText="1"/>
    </xf>
    <xf numFmtId="0" fontId="26" fillId="2" borderId="26" xfId="0" applyFont="1" applyFill="1" applyBorder="1" applyAlignment="1" applyProtection="1">
      <alignment horizontal="left" vertical="center" wrapText="1"/>
      <protection locked="0"/>
    </xf>
    <xf numFmtId="0" fontId="20" fillId="2" borderId="26" xfId="5" applyFont="1" applyFill="1" applyBorder="1" applyAlignment="1" applyProtection="1">
      <alignment horizontal="left" vertical="center" wrapText="1"/>
      <protection locked="0"/>
    </xf>
    <xf numFmtId="0" fontId="25" fillId="0" borderId="0" xfId="0" applyFont="1" applyBorder="1" applyAlignment="1" applyProtection="1">
      <alignment horizontal="right" vertical="center"/>
    </xf>
    <xf numFmtId="0" fontId="25" fillId="0" borderId="0" xfId="0" applyFont="1" applyFill="1" applyBorder="1" applyAlignment="1" applyProtection="1">
      <alignment horizontal="right" vertical="center"/>
    </xf>
    <xf numFmtId="0" fontId="3" fillId="0" borderId="0" xfId="0" applyFont="1" applyBorder="1" applyAlignment="1" applyProtection="1">
      <alignment horizontal="right" vertical="center" wrapText="1"/>
    </xf>
    <xf numFmtId="0" fontId="0" fillId="0" borderId="0" xfId="0" applyBorder="1" applyAlignment="1" applyProtection="1">
      <alignment horizontal="lef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0" xfId="0" applyBorder="1" applyAlignment="1" applyProtection="1">
      <alignment horizontal="left" vertical="top" wrapText="1"/>
    </xf>
    <xf numFmtId="0" fontId="20" fillId="2" borderId="26" xfId="5" applyFont="1" applyFill="1" applyBorder="1" applyAlignment="1" applyProtection="1">
      <alignment horizontal="left" vertical="center"/>
      <protection locked="0"/>
    </xf>
    <xf numFmtId="0" fontId="26" fillId="2" borderId="26" xfId="0" applyFont="1" applyFill="1" applyBorder="1" applyAlignment="1" applyProtection="1">
      <alignment horizontal="left" vertical="center"/>
      <protection locked="0"/>
    </xf>
    <xf numFmtId="0" fontId="26" fillId="2" borderId="36" xfId="0" applyFont="1" applyFill="1" applyBorder="1" applyAlignment="1" applyProtection="1">
      <alignment horizontal="left" vertical="center"/>
      <protection locked="0"/>
    </xf>
    <xf numFmtId="0" fontId="25" fillId="0" borderId="0" xfId="0" applyFont="1" applyFill="1" applyBorder="1" applyAlignment="1" applyProtection="1">
      <alignment horizontal="right" vertical="center" wrapText="1"/>
    </xf>
    <xf numFmtId="0" fontId="12" fillId="2" borderId="2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top"/>
    </xf>
    <xf numFmtId="0" fontId="0" fillId="8" borderId="0" xfId="0" applyFill="1" applyBorder="1" applyAlignment="1" applyProtection="1">
      <alignment horizontal="left" vertical="top" wrapText="1"/>
    </xf>
    <xf numFmtId="0" fontId="2" fillId="8" borderId="0" xfId="0" applyFont="1" applyFill="1" applyAlignment="1">
      <alignment horizontal="left" vertical="top"/>
    </xf>
    <xf numFmtId="0" fontId="2" fillId="0" borderId="0" xfId="0" applyFont="1" applyFill="1" applyBorder="1" applyAlignment="1" applyProtection="1">
      <alignment horizontal="left" vertical="top"/>
    </xf>
    <xf numFmtId="0" fontId="105" fillId="0" borderId="0" xfId="0" applyFont="1" applyBorder="1" applyAlignment="1">
      <alignment horizontal="left" vertical="center" wrapText="1"/>
    </xf>
    <xf numFmtId="0" fontId="2" fillId="0" borderId="0" xfId="0" applyFont="1" applyBorder="1" applyAlignment="1" applyProtection="1">
      <alignment horizontal="left" vertical="top" wrapText="1"/>
    </xf>
    <xf numFmtId="0" fontId="104" fillId="28" borderId="0" xfId="0" applyFont="1" applyFill="1" applyBorder="1" applyAlignment="1" applyProtection="1">
      <alignment horizontal="center" vertical="center"/>
    </xf>
    <xf numFmtId="0" fontId="0" fillId="0" borderId="0" xfId="0" applyFont="1" applyAlignment="1">
      <alignment horizontal="left" vertical="top"/>
    </xf>
    <xf numFmtId="0" fontId="25" fillId="0" borderId="121" xfId="0" applyFont="1" applyBorder="1" applyAlignment="1" applyProtection="1">
      <alignment horizontal="center" vertical="top" wrapText="1"/>
    </xf>
    <xf numFmtId="0" fontId="25" fillId="0" borderId="0" xfId="0" applyFont="1" applyAlignment="1" applyProtection="1">
      <alignment horizontal="center" vertical="top" wrapText="1"/>
    </xf>
    <xf numFmtId="0" fontId="63" fillId="0" borderId="160" xfId="0" applyFont="1" applyFill="1" applyBorder="1" applyAlignment="1" applyProtection="1">
      <alignment horizontal="left" vertical="center"/>
    </xf>
    <xf numFmtId="0" fontId="12" fillId="2" borderId="8" xfId="0" applyFont="1" applyFill="1" applyBorder="1" applyAlignment="1" applyProtection="1">
      <alignment horizontal="left" vertical="center"/>
      <protection locked="0"/>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4" borderId="7" xfId="0" applyFont="1" applyFill="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0" xfId="0" applyBorder="1" applyAlignment="1" applyProtection="1">
      <alignment horizontal="right" vertical="center" wrapText="1"/>
    </xf>
    <xf numFmtId="0" fontId="10" fillId="0" borderId="13" xfId="0" applyFont="1" applyFill="1" applyBorder="1" applyAlignment="1" applyProtection="1">
      <alignment horizontal="center" vertical="center" textRotation="90"/>
    </xf>
    <xf numFmtId="0" fontId="10" fillId="0" borderId="56" xfId="0" applyFont="1" applyFill="1" applyBorder="1" applyAlignment="1" applyProtection="1">
      <alignment horizontal="center" vertical="center" textRotation="90"/>
    </xf>
    <xf numFmtId="0" fontId="10" fillId="0" borderId="16" xfId="0" applyFont="1" applyFill="1" applyBorder="1" applyAlignment="1" applyProtection="1">
      <alignment horizontal="center" vertical="center" textRotation="90"/>
    </xf>
    <xf numFmtId="0" fontId="10" fillId="0" borderId="48" xfId="0" applyFont="1" applyFill="1" applyBorder="1" applyAlignment="1" applyProtection="1">
      <alignment horizontal="center" vertical="center" textRotation="90"/>
    </xf>
    <xf numFmtId="0" fontId="10" fillId="0" borderId="50" xfId="0" applyFont="1" applyFill="1" applyBorder="1" applyAlignment="1" applyProtection="1">
      <alignment horizontal="center" vertical="center" textRotation="90"/>
    </xf>
    <xf numFmtId="0" fontId="10" fillId="0" borderId="14" xfId="0" applyFont="1" applyFill="1" applyBorder="1" applyAlignment="1" applyProtection="1">
      <alignment horizontal="center" vertical="center" textRotation="90"/>
    </xf>
    <xf numFmtId="0" fontId="23" fillId="0" borderId="13"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10" fillId="0" borderId="13" xfId="0" applyFont="1" applyFill="1" applyBorder="1" applyAlignment="1" applyProtection="1">
      <alignment horizontal="center" vertical="center" textRotation="90" wrapText="1"/>
    </xf>
    <xf numFmtId="0" fontId="10" fillId="0" borderId="56" xfId="0" applyFont="1" applyFill="1" applyBorder="1" applyAlignment="1" applyProtection="1">
      <alignment horizontal="center" vertical="center" textRotation="90" wrapText="1"/>
    </xf>
    <xf numFmtId="0" fontId="10" fillId="0" borderId="16" xfId="0" applyFont="1" applyFill="1" applyBorder="1" applyAlignment="1" applyProtection="1">
      <alignment horizontal="center" vertical="center" textRotation="90" wrapText="1"/>
    </xf>
    <xf numFmtId="0" fontId="10" fillId="0" borderId="48" xfId="0" applyFont="1" applyFill="1" applyBorder="1" applyAlignment="1" applyProtection="1">
      <alignment horizontal="center" vertical="center" textRotation="90" wrapText="1"/>
    </xf>
    <xf numFmtId="0" fontId="10" fillId="0" borderId="50" xfId="0" applyFont="1" applyFill="1" applyBorder="1" applyAlignment="1" applyProtection="1">
      <alignment horizontal="center" vertical="center" textRotation="90" wrapText="1"/>
    </xf>
    <xf numFmtId="0" fontId="10" fillId="0" borderId="14" xfId="0" applyFont="1" applyFill="1" applyBorder="1" applyAlignment="1" applyProtection="1">
      <alignment horizontal="center" vertical="center" textRotation="90" wrapText="1"/>
    </xf>
    <xf numFmtId="0" fontId="103" fillId="0" borderId="7" xfId="0" applyFont="1" applyBorder="1" applyAlignment="1">
      <alignment horizontal="center" vertical="center" wrapText="1"/>
    </xf>
    <xf numFmtId="0" fontId="19" fillId="0" borderId="7" xfId="0" applyFont="1" applyBorder="1" applyAlignment="1" applyProtection="1">
      <alignment horizontal="center" vertical="center" wrapText="1"/>
    </xf>
    <xf numFmtId="0" fontId="0" fillId="0" borderId="0" xfId="0" applyFont="1" applyFill="1" applyAlignment="1">
      <alignment horizontal="left" vertical="center" wrapText="1"/>
    </xf>
    <xf numFmtId="0" fontId="0" fillId="0" borderId="0" xfId="0" quotePrefix="1"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3" fillId="0" borderId="0" xfId="0" quotePrefix="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Alignment="1">
      <alignment horizontal="left" vertical="center" wrapText="1"/>
    </xf>
    <xf numFmtId="0" fontId="121" fillId="8" borderId="0" xfId="0" applyFont="1" applyFill="1" applyBorder="1" applyAlignment="1" applyProtection="1">
      <alignment horizontal="left" vertical="center" wrapText="1"/>
    </xf>
    <xf numFmtId="0" fontId="0" fillId="8" borderId="0" xfId="0" applyFill="1" applyAlignment="1">
      <alignment horizontal="left" vertical="top" wrapText="1"/>
    </xf>
    <xf numFmtId="0" fontId="0" fillId="8" borderId="0" xfId="0" applyFill="1" applyAlignment="1">
      <alignment horizontal="right" vertical="center" wrapText="1"/>
    </xf>
    <xf numFmtId="49" fontId="2" fillId="0" borderId="0" xfId="0" applyNumberFormat="1" applyFont="1" applyBorder="1" applyAlignment="1" applyProtection="1">
      <alignment horizontal="center" vertical="center"/>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xf>
    <xf numFmtId="0" fontId="0" fillId="0" borderId="0"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0" fillId="0" borderId="0" xfId="0" applyAlignment="1" applyProtection="1">
      <alignment horizontal="right" vertical="center"/>
    </xf>
    <xf numFmtId="0" fontId="2" fillId="0" borderId="0" xfId="0" applyFont="1" applyBorder="1" applyAlignment="1" applyProtection="1">
      <alignment horizontal="left" vertical="center"/>
    </xf>
    <xf numFmtId="0" fontId="12" fillId="2" borderId="16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2" fillId="0" borderId="0" xfId="0" applyFont="1" applyBorder="1" applyAlignment="1" applyProtection="1">
      <alignment horizontal="left"/>
    </xf>
    <xf numFmtId="0" fontId="12" fillId="2" borderId="8"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center" vertical="center" wrapText="1"/>
      <protection locked="0"/>
    </xf>
    <xf numFmtId="38" fontId="15" fillId="29" borderId="0" xfId="0" applyNumberFormat="1" applyFont="1" applyFill="1" applyAlignment="1">
      <alignment horizontal="center" vertical="center"/>
    </xf>
    <xf numFmtId="0" fontId="0" fillId="0" borderId="0" xfId="0" applyBorder="1" applyAlignment="1" applyProtection="1">
      <alignment horizontal="center" vertical="center" wrapText="1"/>
    </xf>
    <xf numFmtId="38" fontId="4" fillId="0" borderId="0" xfId="0" applyNumberFormat="1" applyFont="1" applyBorder="1" applyAlignment="1" applyProtection="1">
      <alignment horizontal="center" vertical="center"/>
    </xf>
    <xf numFmtId="49" fontId="12" fillId="2" borderId="8"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xf>
    <xf numFmtId="0" fontId="4" fillId="8" borderId="15"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12" fillId="2" borderId="1" xfId="0" applyFont="1" applyFill="1" applyBorder="1" applyAlignment="1" applyProtection="1">
      <alignment horizontal="left" vertical="center"/>
      <protection locked="0"/>
    </xf>
    <xf numFmtId="0" fontId="0" fillId="0" borderId="0" xfId="0" applyAlignment="1">
      <alignment horizontal="center" vertical="top" wrapText="1"/>
    </xf>
    <xf numFmtId="0" fontId="0" fillId="0" borderId="0" xfId="0" applyAlignment="1" applyProtection="1">
      <alignment horizontal="left" vertical="center" wrapText="1"/>
    </xf>
    <xf numFmtId="0" fontId="12" fillId="2" borderId="28" xfId="0" applyFont="1" applyFill="1" applyBorder="1" applyAlignment="1" applyProtection="1">
      <alignment horizontal="left" vertical="center"/>
      <protection locked="0"/>
    </xf>
    <xf numFmtId="0" fontId="0" fillId="0" borderId="0" xfId="0" applyBorder="1" applyAlignment="1" applyProtection="1">
      <alignment horizontal="left"/>
    </xf>
    <xf numFmtId="0" fontId="90" fillId="0" borderId="0" xfId="0" applyFont="1" applyBorder="1" applyAlignment="1" applyProtection="1">
      <alignment horizontal="left" vertical="top" wrapText="1"/>
    </xf>
    <xf numFmtId="0" fontId="12" fillId="2" borderId="0" xfId="0" applyFont="1" applyFill="1" applyAlignment="1" applyProtection="1">
      <alignment horizontal="center" vertical="center"/>
      <protection locked="0"/>
    </xf>
    <xf numFmtId="0" fontId="4" fillId="0" borderId="0" xfId="0" applyFont="1" applyBorder="1" applyAlignment="1" applyProtection="1">
      <alignment horizontal="left" vertical="center"/>
    </xf>
    <xf numFmtId="0" fontId="0" fillId="0" borderId="0" xfId="0" applyBorder="1" applyAlignment="1" applyProtection="1">
      <alignment horizontal="right" vertical="center"/>
    </xf>
    <xf numFmtId="0" fontId="0" fillId="0" borderId="0" xfId="0" quotePrefix="1" applyBorder="1" applyAlignment="1" applyProtection="1">
      <alignment horizontal="left" vertical="top" wrapText="1"/>
    </xf>
    <xf numFmtId="0" fontId="138" fillId="0" borderId="0" xfId="0" applyFont="1" applyBorder="1" applyAlignment="1" applyProtection="1">
      <alignment horizontal="left" vertical="top" wrapText="1"/>
    </xf>
    <xf numFmtId="0" fontId="0" fillId="0" borderId="0" xfId="0" quotePrefix="1" applyAlignment="1" applyProtection="1">
      <alignment horizontal="left" vertical="top" wrapText="1"/>
    </xf>
    <xf numFmtId="0" fontId="0" fillId="0" borderId="0" xfId="0" applyFill="1" applyBorder="1" applyAlignment="1" applyProtection="1">
      <alignment horizontal="left" vertical="top" wrapText="1"/>
    </xf>
    <xf numFmtId="0" fontId="12" fillId="2" borderId="156" xfId="0" applyFont="1" applyFill="1" applyBorder="1" applyAlignment="1" applyProtection="1">
      <alignment horizontal="center" vertical="center" wrapText="1"/>
      <protection locked="0"/>
    </xf>
    <xf numFmtId="0" fontId="12" fillId="2" borderId="157" xfId="0" applyFont="1" applyFill="1" applyBorder="1" applyAlignment="1" applyProtection="1">
      <alignment horizontal="center" vertical="center" wrapText="1"/>
      <protection locked="0"/>
    </xf>
    <xf numFmtId="0" fontId="0" fillId="0" borderId="102"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12" fillId="2" borderId="158"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0" xfId="0" applyBorder="1" applyAlignment="1" applyProtection="1">
      <alignment horizontal="center" wrapText="1"/>
    </xf>
    <xf numFmtId="0" fontId="0" fillId="0" borderId="28" xfId="0" applyBorder="1" applyAlignment="1" applyProtection="1">
      <alignment horizontal="center" wrapText="1"/>
    </xf>
    <xf numFmtId="0" fontId="0" fillId="0" borderId="0" xfId="0" applyBorder="1" applyAlignment="1" applyProtection="1">
      <alignment horizontal="left" wrapText="1"/>
    </xf>
    <xf numFmtId="0" fontId="0" fillId="0" borderId="0" xfId="0" applyAlignment="1" applyProtection="1">
      <alignment horizontal="left" vertical="top" wrapText="1"/>
    </xf>
    <xf numFmtId="9" fontId="4" fillId="0" borderId="39" xfId="4" applyFont="1" applyFill="1" applyBorder="1" applyAlignment="1" applyProtection="1">
      <alignment horizontal="center" vertical="center"/>
    </xf>
    <xf numFmtId="9" fontId="4" fillId="0" borderId="40" xfId="4" applyFont="1" applyFill="1" applyBorder="1" applyAlignment="1" applyProtection="1">
      <alignment horizontal="center" vertical="center"/>
    </xf>
    <xf numFmtId="9" fontId="4" fillId="0" borderId="16" xfId="4" applyFont="1" applyFill="1" applyBorder="1" applyAlignment="1" applyProtection="1">
      <alignment horizontal="center" vertical="center"/>
    </xf>
    <xf numFmtId="9" fontId="4" fillId="0" borderId="48" xfId="4" applyFont="1" applyFill="1" applyBorder="1" applyAlignment="1" applyProtection="1">
      <alignment horizontal="center" vertical="center"/>
    </xf>
    <xf numFmtId="9" fontId="12" fillId="2" borderId="145" xfId="4" applyFont="1" applyFill="1" applyBorder="1" applyAlignment="1" applyProtection="1">
      <alignment horizontal="center" vertical="center"/>
      <protection locked="0"/>
    </xf>
    <xf numFmtId="9" fontId="12" fillId="2" borderId="146" xfId="4" applyFont="1" applyFill="1" applyBorder="1" applyAlignment="1" applyProtection="1">
      <alignment horizontal="center" vertical="center"/>
      <protection locked="0"/>
    </xf>
    <xf numFmtId="0" fontId="2" fillId="0" borderId="177"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61" xfId="0" applyFont="1" applyBorder="1" applyAlignment="1" applyProtection="1">
      <alignment horizontal="center" vertical="center" wrapText="1"/>
    </xf>
    <xf numFmtId="9" fontId="0" fillId="0" borderId="84" xfId="4" applyFont="1" applyFill="1" applyBorder="1" applyAlignment="1" applyProtection="1">
      <alignment horizontal="center" vertical="center"/>
    </xf>
    <xf numFmtId="9" fontId="0" fillId="0" borderId="86" xfId="4" applyFont="1" applyFill="1" applyBorder="1" applyAlignment="1" applyProtection="1">
      <alignment horizontal="center" vertical="center"/>
    </xf>
    <xf numFmtId="0" fontId="0" fillId="0" borderId="100" xfId="0" applyBorder="1" applyAlignment="1" applyProtection="1">
      <alignment horizontal="center" wrapText="1"/>
    </xf>
    <xf numFmtId="0" fontId="0" fillId="0" borderId="101" xfId="0" applyBorder="1" applyAlignment="1" applyProtection="1">
      <alignment horizontal="center" wrapText="1"/>
    </xf>
    <xf numFmtId="9" fontId="12" fillId="2" borderId="143" xfId="4" applyNumberFormat="1" applyFont="1" applyFill="1" applyBorder="1" applyAlignment="1" applyProtection="1">
      <alignment horizontal="center" vertical="center"/>
      <protection locked="0"/>
    </xf>
    <xf numFmtId="9" fontId="12" fillId="2" borderId="144" xfId="4" applyNumberFormat="1" applyFont="1" applyFill="1" applyBorder="1" applyAlignment="1" applyProtection="1">
      <alignment horizontal="center" vertical="center"/>
      <protection locked="0"/>
    </xf>
    <xf numFmtId="9" fontId="12" fillId="2" borderId="150" xfId="4" applyFont="1" applyFill="1" applyBorder="1" applyAlignment="1" applyProtection="1">
      <alignment horizontal="center" vertical="center"/>
      <protection locked="0"/>
    </xf>
    <xf numFmtId="9" fontId="12" fillId="2" borderId="151" xfId="4" applyFont="1" applyFill="1" applyBorder="1" applyAlignment="1" applyProtection="1">
      <alignment horizontal="center" vertical="center"/>
      <protection locked="0"/>
    </xf>
    <xf numFmtId="9" fontId="12" fillId="2" borderId="145" xfId="4" applyNumberFormat="1" applyFont="1" applyFill="1" applyBorder="1" applyAlignment="1" applyProtection="1">
      <alignment horizontal="center" vertical="center"/>
      <protection locked="0"/>
    </xf>
    <xf numFmtId="9" fontId="12" fillId="2" borderId="146" xfId="4" applyNumberFormat="1" applyFont="1" applyFill="1" applyBorder="1" applyAlignment="1" applyProtection="1">
      <alignment horizontal="center" vertical="center"/>
      <protection locked="0"/>
    </xf>
    <xf numFmtId="9" fontId="0" fillId="0" borderId="98" xfId="4" applyFont="1" applyFill="1" applyBorder="1" applyAlignment="1" applyProtection="1">
      <alignment horizontal="center" vertical="center" wrapText="1"/>
    </xf>
    <xf numFmtId="9" fontId="0" fillId="0" borderId="42" xfId="4" applyFont="1" applyFill="1" applyBorder="1" applyAlignment="1" applyProtection="1">
      <alignment horizontal="center" vertical="center" wrapText="1"/>
    </xf>
    <xf numFmtId="38" fontId="4" fillId="0" borderId="182" xfId="0" applyNumberFormat="1" applyFont="1" applyFill="1" applyBorder="1" applyAlignment="1" applyProtection="1">
      <alignment horizontal="center" vertical="center"/>
    </xf>
    <xf numFmtId="0" fontId="4" fillId="0" borderId="183" xfId="0" applyFont="1" applyFill="1" applyBorder="1" applyAlignment="1" applyProtection="1">
      <alignment horizontal="center" vertical="center"/>
    </xf>
    <xf numFmtId="0" fontId="10" fillId="0" borderId="84" xfId="0" applyFont="1" applyFill="1" applyBorder="1" applyAlignment="1" applyProtection="1">
      <alignment horizontal="center" vertical="center" wrapText="1"/>
    </xf>
    <xf numFmtId="0" fontId="10" fillId="0" borderId="86" xfId="0" applyFont="1" applyFill="1" applyBorder="1" applyAlignment="1" applyProtection="1">
      <alignment horizontal="center" vertical="center" wrapText="1"/>
    </xf>
    <xf numFmtId="0" fontId="2" fillId="0" borderId="9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0" fillId="0" borderId="184"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12" fillId="2" borderId="155"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xf>
    <xf numFmtId="0" fontId="0" fillId="0" borderId="105" xfId="0" applyFont="1" applyBorder="1" applyAlignment="1" applyProtection="1">
      <alignment horizontal="left" vertical="center" wrapText="1"/>
    </xf>
    <xf numFmtId="0" fontId="12" fillId="2" borderId="185" xfId="0" applyFont="1" applyFill="1" applyBorder="1" applyAlignment="1" applyProtection="1">
      <alignment horizontal="center" vertical="center" wrapText="1"/>
      <protection locked="0"/>
    </xf>
    <xf numFmtId="0" fontId="104" fillId="0" borderId="0" xfId="0" applyFont="1" applyBorder="1" applyAlignment="1" applyProtection="1">
      <alignment horizontal="right" vertical="center"/>
    </xf>
    <xf numFmtId="0" fontId="4" fillId="0" borderId="179" xfId="0" applyFont="1" applyFill="1" applyBorder="1" applyAlignment="1" applyProtection="1">
      <alignment horizontal="center" vertical="center"/>
    </xf>
    <xf numFmtId="9" fontId="0" fillId="0" borderId="100" xfId="4" applyFont="1" applyFill="1" applyBorder="1" applyAlignment="1" applyProtection="1">
      <alignment horizontal="center" vertical="center"/>
    </xf>
    <xf numFmtId="9" fontId="0" fillId="0" borderId="101" xfId="4" applyFont="1" applyFill="1" applyBorder="1" applyAlignment="1" applyProtection="1">
      <alignment horizontal="center" vertical="center"/>
    </xf>
    <xf numFmtId="0" fontId="0" fillId="0" borderId="180"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2" fillId="0" borderId="178" xfId="0" applyFont="1" applyBorder="1" applyAlignment="1" applyProtection="1">
      <alignment horizontal="center" vertical="center" wrapText="1"/>
    </xf>
    <xf numFmtId="0" fontId="2" fillId="0" borderId="179" xfId="0" applyFont="1" applyBorder="1" applyAlignment="1" applyProtection="1">
      <alignment horizontal="center" vertical="center" wrapText="1"/>
    </xf>
    <xf numFmtId="38" fontId="0" fillId="0" borderId="98" xfId="4" applyNumberFormat="1" applyFont="1" applyBorder="1" applyAlignment="1">
      <alignment horizontal="center" vertical="center" wrapText="1"/>
    </xf>
    <xf numFmtId="38" fontId="0" fillId="0" borderId="42" xfId="4" applyNumberFormat="1" applyFont="1" applyBorder="1" applyAlignment="1">
      <alignment horizontal="center" vertical="center" wrapText="1"/>
    </xf>
    <xf numFmtId="9" fontId="12" fillId="17" borderId="77" xfId="4" applyNumberFormat="1" applyFont="1" applyFill="1" applyBorder="1" applyAlignment="1" applyProtection="1">
      <alignment horizontal="center" vertical="center"/>
    </xf>
    <xf numFmtId="9" fontId="12" fillId="17" borderId="78" xfId="4" applyNumberFormat="1" applyFont="1" applyFill="1" applyBorder="1" applyAlignment="1" applyProtection="1">
      <alignment horizontal="center" vertical="center"/>
    </xf>
    <xf numFmtId="9" fontId="0" fillId="0" borderId="98" xfId="4" applyFont="1" applyBorder="1" applyAlignment="1" applyProtection="1">
      <alignment horizontal="center" vertical="center" wrapText="1"/>
    </xf>
    <xf numFmtId="9" fontId="0" fillId="0" borderId="42" xfId="4" applyFont="1" applyBorder="1" applyAlignment="1" applyProtection="1">
      <alignment horizontal="center" vertical="center" wrapText="1"/>
    </xf>
    <xf numFmtId="9" fontId="12" fillId="17" borderId="68" xfId="4" applyNumberFormat="1" applyFont="1" applyFill="1" applyBorder="1" applyAlignment="1" applyProtection="1">
      <alignment horizontal="center" vertical="center"/>
    </xf>
    <xf numFmtId="9" fontId="12" fillId="17" borderId="69" xfId="4" applyNumberFormat="1" applyFont="1" applyFill="1" applyBorder="1" applyAlignment="1" applyProtection="1">
      <alignment horizontal="center" vertical="center"/>
    </xf>
    <xf numFmtId="9" fontId="12" fillId="17" borderId="68" xfId="4" applyFont="1" applyFill="1" applyBorder="1" applyAlignment="1" applyProtection="1">
      <alignment horizontal="center" vertical="center"/>
    </xf>
    <xf numFmtId="9" fontId="12" fillId="17" borderId="69" xfId="4" applyFont="1" applyFill="1" applyBorder="1" applyAlignment="1" applyProtection="1">
      <alignment horizontal="center" vertical="center"/>
    </xf>
    <xf numFmtId="164" fontId="0" fillId="0" borderId="77" xfId="4" applyNumberFormat="1" applyFont="1" applyBorder="1" applyAlignment="1" applyProtection="1">
      <alignment horizontal="center" vertical="center"/>
    </xf>
    <xf numFmtId="164" fontId="0" fillId="0" borderId="78" xfId="4" applyNumberFormat="1" applyFont="1" applyBorder="1" applyAlignment="1" applyProtection="1">
      <alignment horizontal="center" vertical="center"/>
    </xf>
    <xf numFmtId="0" fontId="2" fillId="0" borderId="100"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164" fontId="0" fillId="0" borderId="68" xfId="4" applyNumberFormat="1" applyFont="1" applyBorder="1" applyAlignment="1" applyProtection="1">
      <alignment horizontal="center" vertical="center"/>
    </xf>
    <xf numFmtId="164" fontId="0" fillId="0" borderId="69" xfId="4" applyNumberFormat="1" applyFont="1" applyBorder="1" applyAlignment="1" applyProtection="1">
      <alignment horizontal="center" vertical="center"/>
    </xf>
    <xf numFmtId="0" fontId="12" fillId="2" borderId="26" xfId="0" applyFont="1" applyFill="1" applyBorder="1" applyAlignment="1" applyProtection="1">
      <alignment horizontal="left" vertical="center" wrapText="1"/>
    </xf>
    <xf numFmtId="9" fontId="0" fillId="0" borderId="49" xfId="4" applyFont="1" applyFill="1" applyBorder="1" applyAlignment="1" applyProtection="1">
      <alignment horizontal="center" vertical="center" wrapText="1"/>
    </xf>
    <xf numFmtId="164" fontId="0" fillId="0" borderId="82" xfId="4" applyNumberFormat="1" applyFont="1" applyBorder="1" applyAlignment="1" applyProtection="1">
      <alignment horizontal="center" vertical="center"/>
    </xf>
    <xf numFmtId="164" fontId="0" fillId="0" borderId="83" xfId="4" applyNumberFormat="1" applyFont="1" applyBorder="1" applyAlignment="1" applyProtection="1">
      <alignment horizontal="center" vertical="center"/>
    </xf>
    <xf numFmtId="9" fontId="4" fillId="0" borderId="112" xfId="4" applyFont="1" applyFill="1" applyBorder="1" applyAlignment="1" applyProtection="1">
      <alignment horizontal="center" vertical="center"/>
    </xf>
    <xf numFmtId="9" fontId="4" fillId="0" borderId="113" xfId="4" applyFont="1" applyFill="1" applyBorder="1" applyAlignment="1" applyProtection="1">
      <alignment horizontal="center" vertical="center"/>
    </xf>
    <xf numFmtId="0" fontId="12" fillId="2" borderId="152" xfId="0" applyFont="1" applyFill="1" applyBorder="1" applyAlignment="1" applyProtection="1">
      <alignment horizontal="center" vertical="center" wrapText="1"/>
      <protection locked="0"/>
    </xf>
    <xf numFmtId="0" fontId="12" fillId="2" borderId="153" xfId="0" applyFont="1" applyFill="1" applyBorder="1" applyAlignment="1" applyProtection="1">
      <alignment horizontal="center" vertical="center" wrapText="1"/>
      <protection locked="0"/>
    </xf>
    <xf numFmtId="0" fontId="12" fillId="2" borderId="154" xfId="0" applyFont="1" applyFill="1" applyBorder="1" applyAlignment="1" applyProtection="1">
      <alignment horizontal="center" vertical="center" wrapText="1"/>
      <protection locked="0"/>
    </xf>
    <xf numFmtId="224" fontId="12" fillId="6" borderId="11" xfId="0" applyNumberFormat="1" applyFont="1" applyFill="1" applyBorder="1" applyAlignment="1" applyProtection="1">
      <alignment horizontal="center" vertical="center" textRotation="90" wrapText="1"/>
    </xf>
    <xf numFmtId="224" fontId="12" fillId="6" borderId="15" xfId="0" applyNumberFormat="1" applyFont="1" applyFill="1" applyBorder="1" applyAlignment="1" applyProtection="1">
      <alignment horizontal="center" vertical="center" textRotation="90" wrapText="1"/>
    </xf>
    <xf numFmtId="224" fontId="12" fillId="6" borderId="12" xfId="0" applyNumberFormat="1" applyFont="1" applyFill="1" applyBorder="1" applyAlignment="1" applyProtection="1">
      <alignment horizontal="center" vertical="center" textRotation="90" wrapText="1"/>
    </xf>
    <xf numFmtId="9" fontId="4" fillId="0" borderId="68" xfId="4" applyFont="1" applyFill="1" applyBorder="1" applyAlignment="1" applyProtection="1">
      <alignment horizontal="center" vertical="center"/>
    </xf>
    <xf numFmtId="9" fontId="4" fillId="0" borderId="69" xfId="4" applyFont="1" applyFill="1" applyBorder="1" applyAlignment="1" applyProtection="1">
      <alignment horizontal="center" vertical="center"/>
    </xf>
    <xf numFmtId="9" fontId="4" fillId="0" borderId="82" xfId="4" applyFont="1" applyFill="1" applyBorder="1" applyAlignment="1" applyProtection="1">
      <alignment horizontal="center" vertical="center"/>
    </xf>
    <xf numFmtId="9" fontId="4" fillId="0" borderId="83" xfId="4" applyFont="1" applyFill="1" applyBorder="1" applyAlignment="1" applyProtection="1">
      <alignment horizontal="center" vertical="center"/>
    </xf>
    <xf numFmtId="9" fontId="0" fillId="0" borderId="112" xfId="4" applyFont="1" applyBorder="1" applyAlignment="1">
      <alignment horizontal="center" vertical="center"/>
    </xf>
    <xf numFmtId="9" fontId="0" fillId="0" borderId="113" xfId="4" applyFont="1" applyBorder="1" applyAlignment="1">
      <alignment horizontal="center" vertical="center"/>
    </xf>
    <xf numFmtId="9" fontId="0" fillId="0" borderId="50" xfId="4" applyFont="1" applyBorder="1" applyAlignment="1">
      <alignment horizontal="center" vertical="center"/>
    </xf>
    <xf numFmtId="9" fontId="0" fillId="0" borderId="28" xfId="4" applyFont="1" applyBorder="1" applyAlignment="1">
      <alignment horizontal="center" vertical="center"/>
    </xf>
    <xf numFmtId="164" fontId="0" fillId="0" borderId="84" xfId="0" applyNumberFormat="1" applyFill="1" applyBorder="1" applyAlignment="1">
      <alignment horizontal="center" vertical="center"/>
    </xf>
    <xf numFmtId="164" fontId="0" fillId="0" borderId="85" xfId="0" applyNumberFormat="1" applyFill="1" applyBorder="1" applyAlignment="1">
      <alignment horizontal="center" vertical="center"/>
    </xf>
    <xf numFmtId="164" fontId="0" fillId="0" borderId="39" xfId="4" applyNumberFormat="1" applyFont="1" applyBorder="1" applyAlignment="1" applyProtection="1">
      <alignment horizontal="center" vertical="center"/>
    </xf>
    <xf numFmtId="164" fontId="0" fillId="0" borderId="40" xfId="4" applyNumberFormat="1" applyFont="1" applyBorder="1" applyAlignment="1" applyProtection="1">
      <alignment horizontal="center" vertical="center"/>
    </xf>
    <xf numFmtId="164" fontId="0" fillId="0" borderId="107" xfId="4" applyNumberFormat="1" applyFont="1" applyBorder="1" applyAlignment="1" applyProtection="1">
      <alignment horizontal="center" vertical="center"/>
    </xf>
    <xf numFmtId="164" fontId="0" fillId="0" borderId="108" xfId="4" applyNumberFormat="1" applyFont="1" applyBorder="1" applyAlignment="1" applyProtection="1">
      <alignment horizontal="center" vertical="center"/>
    </xf>
    <xf numFmtId="164" fontId="0" fillId="0" borderId="16"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0" fillId="0" borderId="0" xfId="0" applyFont="1" applyBorder="1" applyAlignment="1" applyProtection="1">
      <alignment horizontal="left" vertical="top"/>
    </xf>
    <xf numFmtId="0" fontId="8" fillId="0" borderId="0" xfId="0" applyFont="1" applyBorder="1" applyAlignment="1" applyProtection="1">
      <alignment horizontal="left" vertical="top"/>
    </xf>
    <xf numFmtId="0" fontId="4" fillId="0" borderId="0" xfId="0" applyFont="1" applyAlignment="1">
      <alignment horizontal="center" vertical="top" wrapText="1"/>
    </xf>
    <xf numFmtId="0" fontId="0" fillId="0" borderId="90" xfId="0" applyBorder="1" applyAlignment="1">
      <alignment horizontal="left" vertical="top" wrapText="1"/>
    </xf>
    <xf numFmtId="0" fontId="0" fillId="0" borderId="121" xfId="0" applyBorder="1" applyAlignment="1">
      <alignment horizontal="left" vertical="top" wrapText="1"/>
    </xf>
    <xf numFmtId="0" fontId="0" fillId="0" borderId="0" xfId="0" applyAlignment="1">
      <alignment horizontal="righ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2" fillId="0" borderId="0" xfId="0" applyFont="1" applyBorder="1" applyAlignment="1" applyProtection="1">
      <alignment horizontal="left" wrapText="1"/>
    </xf>
    <xf numFmtId="0" fontId="104" fillId="28" borderId="0" xfId="0" applyFont="1" applyFill="1" applyAlignment="1" applyProtection="1">
      <alignment horizontal="center"/>
    </xf>
    <xf numFmtId="0" fontId="11" fillId="0" borderId="0" xfId="0" applyFont="1" applyFill="1" applyBorder="1" applyAlignment="1" applyProtection="1">
      <alignment horizontal="left" vertical="center" wrapText="1"/>
    </xf>
    <xf numFmtId="0" fontId="4" fillId="0" borderId="8" xfId="0" quotePrefix="1"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0" fillId="0" borderId="0" xfId="0" applyAlignment="1">
      <alignment horizontal="right" vertical="center" wrapText="1"/>
    </xf>
    <xf numFmtId="0" fontId="11" fillId="0" borderId="0" xfId="0" applyFont="1" applyAlignment="1">
      <alignment horizontal="right" wrapText="1"/>
    </xf>
    <xf numFmtId="0" fontId="0" fillId="8" borderId="0" xfId="0" applyFill="1" applyAlignment="1" applyProtection="1">
      <alignment horizontal="left" vertical="center" wrapText="1"/>
    </xf>
    <xf numFmtId="0" fontId="0" fillId="8" borderId="0" xfId="0" quotePrefix="1" applyFill="1" applyAlignment="1" applyProtection="1">
      <alignment horizontal="left" vertical="center" wrapText="1"/>
    </xf>
    <xf numFmtId="0" fontId="4" fillId="0" borderId="5" xfId="0" applyFont="1" applyFill="1" applyBorder="1" applyAlignment="1" applyProtection="1">
      <alignment horizontal="left" vertical="center" indent="2"/>
    </xf>
    <xf numFmtId="0" fontId="4" fillId="0" borderId="6" xfId="0" applyFont="1" applyFill="1" applyBorder="1" applyAlignment="1" applyProtection="1">
      <alignment horizontal="left" vertical="center" indent="2"/>
    </xf>
    <xf numFmtId="0" fontId="0" fillId="0" borderId="17" xfId="0" applyBorder="1" applyAlignment="1">
      <alignment horizontal="left" vertical="center" wrapText="1"/>
    </xf>
    <xf numFmtId="0" fontId="0" fillId="0" borderId="0" xfId="0" applyAlignment="1" applyProtection="1">
      <alignment horizontal="right" vertical="center" wrapText="1"/>
    </xf>
    <xf numFmtId="0" fontId="0" fillId="2" borderId="8" xfId="0" applyFill="1" applyBorder="1" applyAlignment="1" applyProtection="1">
      <alignment horizontal="left" vertical="center"/>
      <protection locked="0"/>
    </xf>
    <xf numFmtId="8" fontId="0" fillId="0" borderId="2" xfId="0" applyNumberFormat="1" applyBorder="1" applyAlignment="1" applyProtection="1">
      <alignment horizontal="center" vertical="center"/>
    </xf>
    <xf numFmtId="8" fontId="0" fillId="0" borderId="160" xfId="0" applyNumberFormat="1" applyBorder="1" applyAlignment="1" applyProtection="1">
      <alignment horizontal="center" vertical="center"/>
    </xf>
    <xf numFmtId="0" fontId="138" fillId="0" borderId="0" xfId="0" applyFont="1" applyAlignment="1">
      <alignment horizontal="left" vertical="center" wrapText="1"/>
    </xf>
    <xf numFmtId="0" fontId="97" fillId="16" borderId="0" xfId="0" quotePrefix="1" applyFont="1" applyFill="1" applyBorder="1" applyAlignment="1" applyProtection="1">
      <alignment horizontal="left" vertical="center" wrapText="1"/>
    </xf>
    <xf numFmtId="0" fontId="97" fillId="16" borderId="0" xfId="0" applyFont="1" applyFill="1" applyBorder="1" applyAlignment="1" applyProtection="1">
      <alignment horizontal="left" vertical="center" wrapText="1"/>
    </xf>
    <xf numFmtId="0" fontId="4" fillId="0" borderId="5" xfId="0" applyFont="1" applyFill="1" applyBorder="1" applyAlignment="1" applyProtection="1">
      <alignment horizontal="center" vertical="top" wrapText="1"/>
    </xf>
    <xf numFmtId="0" fontId="4" fillId="0" borderId="6" xfId="0" applyFont="1" applyFill="1" applyBorder="1" applyAlignment="1" applyProtection="1">
      <alignment horizontal="center" vertical="top" wrapText="1"/>
    </xf>
    <xf numFmtId="0" fontId="0" fillId="0" borderId="187" xfId="0" applyBorder="1" applyAlignment="1" applyProtection="1">
      <alignment horizontal="left" vertical="center"/>
    </xf>
    <xf numFmtId="0" fontId="100" fillId="0" borderId="0" xfId="0" applyFont="1" applyFill="1" applyBorder="1" applyAlignment="1" applyProtection="1">
      <alignment horizontal="right" vertical="center"/>
    </xf>
    <xf numFmtId="0" fontId="0" fillId="0" borderId="0" xfId="0" applyBorder="1" applyAlignment="1" applyProtection="1">
      <alignment vertical="center"/>
    </xf>
    <xf numFmtId="0" fontId="0" fillId="0" borderId="0" xfId="0" applyBorder="1" applyAlignment="1" applyProtection="1">
      <alignment vertical="top"/>
    </xf>
    <xf numFmtId="0" fontId="90" fillId="0" borderId="16" xfId="0" applyFont="1" applyBorder="1" applyAlignment="1" applyProtection="1">
      <alignment horizontal="left" vertical="top" wrapText="1"/>
    </xf>
    <xf numFmtId="0" fontId="0" fillId="0" borderId="17" xfId="0" applyBorder="1" applyAlignment="1" applyProtection="1">
      <alignment vertical="top"/>
    </xf>
    <xf numFmtId="0" fontId="0" fillId="0" borderId="17" xfId="0" applyBorder="1" applyAlignment="1">
      <alignment vertical="top"/>
    </xf>
    <xf numFmtId="0" fontId="0" fillId="0" borderId="17" xfId="0" applyBorder="1" applyAlignment="1" applyProtection="1">
      <alignment horizontal="left"/>
    </xf>
    <xf numFmtId="0" fontId="0" fillId="0" borderId="17" xfId="0" applyBorder="1" applyAlignment="1" applyProtection="1">
      <alignment horizontal="left" vertical="center"/>
    </xf>
    <xf numFmtId="0" fontId="25" fillId="0" borderId="17" xfId="0" quotePrefix="1" applyFont="1" applyBorder="1" applyAlignment="1" applyProtection="1">
      <alignment horizontal="left" vertical="top" wrapText="1"/>
    </xf>
    <xf numFmtId="0" fontId="25" fillId="0" borderId="17" xfId="0" applyFont="1" applyBorder="1" applyAlignment="1" applyProtection="1">
      <alignment horizontal="left" vertical="top" wrapText="1"/>
    </xf>
    <xf numFmtId="0" fontId="0" fillId="0" borderId="0" xfId="0" applyBorder="1" applyAlignment="1" applyProtection="1">
      <alignment horizontal="center" vertical="center"/>
    </xf>
    <xf numFmtId="38" fontId="15" fillId="11" borderId="0" xfId="0" applyNumberFormat="1" applyFont="1" applyFill="1" applyAlignment="1">
      <alignment horizontal="center" vertical="center"/>
    </xf>
    <xf numFmtId="0" fontId="12" fillId="2" borderId="0"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xf>
    <xf numFmtId="0" fontId="97" fillId="0" borderId="0" xfId="0" applyFont="1" applyFill="1" applyBorder="1" applyAlignment="1" applyProtection="1">
      <alignment horizontal="left" vertical="center" wrapText="1"/>
    </xf>
    <xf numFmtId="0" fontId="97" fillId="0" borderId="0" xfId="0" quotePrefix="1" applyFont="1" applyFill="1" applyBorder="1" applyAlignment="1" applyProtection="1">
      <alignment horizontal="left" vertical="center" wrapText="1"/>
    </xf>
    <xf numFmtId="0" fontId="0" fillId="0" borderId="80" xfId="0" applyBorder="1" applyAlignment="1" applyProtection="1">
      <alignment horizontal="left" vertical="top" wrapText="1"/>
    </xf>
    <xf numFmtId="6" fontId="58" fillId="36" borderId="190" xfId="0" applyNumberFormat="1" applyFont="1" applyFill="1" applyBorder="1" applyAlignment="1" applyProtection="1">
      <alignment horizontal="center" vertical="center" wrapText="1"/>
      <protection locked="0"/>
    </xf>
    <xf numFmtId="6" fontId="58" fillId="36" borderId="191" xfId="0" applyNumberFormat="1" applyFont="1" applyFill="1" applyBorder="1" applyAlignment="1" applyProtection="1">
      <alignment horizontal="center" vertical="center" wrapText="1"/>
      <protection locked="0"/>
    </xf>
    <xf numFmtId="6" fontId="58" fillId="36" borderId="192" xfId="0" applyNumberFormat="1" applyFont="1" applyFill="1" applyBorder="1" applyAlignment="1" applyProtection="1">
      <alignment horizontal="center" vertical="center" wrapText="1"/>
      <protection locked="0"/>
    </xf>
    <xf numFmtId="0" fontId="25" fillId="0" borderId="0" xfId="0" quotePrefix="1" applyFont="1" applyAlignment="1">
      <alignment horizontal="left" vertical="top" wrapText="1"/>
    </xf>
    <xf numFmtId="0" fontId="25" fillId="0" borderId="0" xfId="0" applyFont="1" applyAlignment="1">
      <alignment horizontal="left" vertical="top" wrapText="1"/>
    </xf>
    <xf numFmtId="0" fontId="0" fillId="0" borderId="0" xfId="0" quotePrefix="1" applyAlignment="1">
      <alignment horizontal="left" vertical="top" wrapText="1"/>
    </xf>
    <xf numFmtId="0" fontId="4" fillId="0" borderId="0" xfId="0" applyFont="1" applyAlignment="1">
      <alignment horizontal="left" vertical="top" wrapText="1"/>
    </xf>
    <xf numFmtId="0" fontId="0" fillId="0" borderId="0" xfId="0" applyAlignment="1">
      <alignment vertical="top"/>
    </xf>
    <xf numFmtId="0" fontId="12" fillId="2" borderId="8" xfId="0" applyNumberFormat="1" applyFont="1" applyFill="1" applyBorder="1" applyAlignment="1" applyProtection="1">
      <alignment horizontal="left" vertical="center"/>
      <protection locked="0"/>
    </xf>
    <xf numFmtId="0" fontId="87" fillId="0" borderId="0" xfId="2" quotePrefix="1" applyFont="1" applyAlignment="1">
      <alignment horizontal="right"/>
    </xf>
    <xf numFmtId="8" fontId="28" fillId="0" borderId="28" xfId="2" applyNumberFormat="1" applyFont="1" applyFill="1" applyBorder="1" applyAlignment="1">
      <alignment horizontal="center"/>
    </xf>
    <xf numFmtId="8" fontId="34" fillId="0" borderId="44" xfId="2" applyNumberFormat="1" applyFont="1" applyFill="1" applyBorder="1" applyAlignment="1">
      <alignment horizontal="center"/>
    </xf>
    <xf numFmtId="0" fontId="81" fillId="0" borderId="0" xfId="2" applyFont="1" applyFill="1" applyAlignment="1">
      <alignment horizontal="center"/>
    </xf>
    <xf numFmtId="0" fontId="81" fillId="0" borderId="28" xfId="2" applyFont="1" applyFill="1" applyBorder="1" applyAlignment="1">
      <alignment horizontal="center"/>
    </xf>
    <xf numFmtId="0" fontId="50" fillId="0" borderId="27" xfId="2" applyFont="1" applyBorder="1" applyAlignment="1">
      <alignment horizontal="left" vertical="center" wrapText="1"/>
    </xf>
    <xf numFmtId="0" fontId="50" fillId="0" borderId="0" xfId="2" applyFont="1" applyAlignment="1">
      <alignment horizontal="left" vertical="center" wrapText="1"/>
    </xf>
    <xf numFmtId="0" fontId="42" fillId="0" borderId="0" xfId="2" applyFont="1" applyFill="1" applyAlignment="1">
      <alignment horizontal="center"/>
    </xf>
    <xf numFmtId="173" fontId="7" fillId="0" borderId="0" xfId="2" applyNumberFormat="1" applyFill="1" applyAlignment="1">
      <alignment horizontal="center"/>
    </xf>
    <xf numFmtId="173" fontId="108" fillId="0" borderId="0" xfId="2" applyNumberFormat="1" applyFont="1" applyFill="1" applyAlignment="1">
      <alignment horizontal="center"/>
    </xf>
    <xf numFmtId="173" fontId="28" fillId="0" borderId="0" xfId="2" applyNumberFormat="1" applyFont="1" applyAlignment="1">
      <alignment horizontal="center"/>
    </xf>
    <xf numFmtId="0" fontId="7" fillId="0" borderId="0" xfId="2" applyBorder="1" applyAlignment="1">
      <alignment horizontal="center"/>
    </xf>
    <xf numFmtId="0" fontId="7" fillId="0" borderId="0" xfId="2" applyAlignment="1">
      <alignment horizontal="center"/>
    </xf>
    <xf numFmtId="6" fontId="7" fillId="0" borderId="28" xfId="2" applyNumberFormat="1" applyFill="1" applyBorder="1" applyAlignment="1">
      <alignment horizontal="center"/>
    </xf>
    <xf numFmtId="6" fontId="81" fillId="0" borderId="44" xfId="2" applyNumberFormat="1" applyFont="1" applyFill="1" applyBorder="1" applyAlignment="1">
      <alignment horizontal="center"/>
    </xf>
    <xf numFmtId="173" fontId="7" fillId="0" borderId="16" xfId="2" applyNumberFormat="1" applyFill="1" applyBorder="1" applyAlignment="1">
      <alignment horizontal="center" vertical="center" wrapText="1"/>
    </xf>
    <xf numFmtId="173" fontId="7" fillId="0" borderId="0" xfId="2" applyNumberFormat="1" applyFill="1" applyAlignment="1">
      <alignment horizontal="center" vertical="center" wrapText="1"/>
    </xf>
    <xf numFmtId="173" fontId="7" fillId="0" borderId="42" xfId="2" applyNumberFormat="1" applyFill="1" applyBorder="1" applyAlignment="1">
      <alignment horizontal="center" vertical="center" wrapText="1"/>
    </xf>
    <xf numFmtId="0" fontId="81" fillId="0" borderId="39" xfId="2" applyFont="1" applyFill="1" applyBorder="1" applyAlignment="1">
      <alignment horizontal="center" vertical="center"/>
    </xf>
    <xf numFmtId="0" fontId="81" fillId="0" borderId="40" xfId="2" applyFont="1" applyFill="1" applyBorder="1" applyAlignment="1">
      <alignment horizontal="center" vertical="center"/>
    </xf>
    <xf numFmtId="173" fontId="7" fillId="0" borderId="16" xfId="2" applyNumberFormat="1" applyBorder="1" applyAlignment="1">
      <alignment horizontal="center" vertical="center"/>
    </xf>
    <xf numFmtId="173" fontId="7" fillId="0" borderId="0" xfId="2" quotePrefix="1" applyNumberFormat="1" applyAlignment="1">
      <alignment horizontal="center" vertical="center"/>
    </xf>
    <xf numFmtId="173" fontId="7" fillId="0" borderId="0" xfId="2" applyNumberFormat="1" applyAlignment="1">
      <alignment horizontal="center" vertical="center"/>
    </xf>
    <xf numFmtId="0" fontId="28" fillId="0" borderId="16" xfId="2" applyFont="1" applyFill="1" applyBorder="1" applyAlignment="1" applyProtection="1">
      <alignment horizontal="center" vertical="center"/>
    </xf>
    <xf numFmtId="0" fontId="28" fillId="0" borderId="48" xfId="2" applyFont="1" applyFill="1" applyBorder="1" applyAlignment="1" applyProtection="1">
      <alignment horizontal="center" vertical="center"/>
    </xf>
    <xf numFmtId="173" fontId="81" fillId="0" borderId="39" xfId="2" applyNumberFormat="1" applyFont="1" applyFill="1" applyBorder="1" applyAlignment="1">
      <alignment horizontal="center" vertical="center" wrapText="1"/>
    </xf>
    <xf numFmtId="173" fontId="81" fillId="0" borderId="37" xfId="2" applyNumberFormat="1" applyFont="1" applyFill="1" applyBorder="1" applyAlignment="1">
      <alignment horizontal="center" vertical="center" wrapText="1"/>
    </xf>
    <xf numFmtId="173" fontId="81" fillId="0" borderId="38" xfId="2" applyNumberFormat="1" applyFont="1" applyFill="1" applyBorder="1" applyAlignment="1">
      <alignment horizontal="center" vertical="center" wrapText="1"/>
    </xf>
    <xf numFmtId="173" fontId="7" fillId="0" borderId="16" xfId="2" applyNumberFormat="1" applyFill="1" applyBorder="1" applyAlignment="1">
      <alignment horizontal="center" vertical="center"/>
    </xf>
    <xf numFmtId="173" fontId="7" fillId="0" borderId="0" xfId="2" applyNumberFormat="1" applyFill="1" applyAlignment="1">
      <alignment horizontal="center" vertical="center"/>
    </xf>
    <xf numFmtId="173" fontId="7" fillId="0" borderId="42" xfId="2" applyNumberFormat="1" applyFill="1" applyBorder="1" applyAlignment="1">
      <alignment horizontal="center" vertical="center"/>
    </xf>
    <xf numFmtId="49" fontId="52" fillId="0" borderId="29" xfId="2" applyNumberFormat="1" applyFont="1" applyBorder="1" applyAlignment="1" applyProtection="1">
      <alignment horizontal="left" vertical="top" wrapText="1"/>
      <protection locked="0"/>
    </xf>
    <xf numFmtId="49" fontId="52" fillId="0" borderId="24"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49" fontId="52" fillId="0" borderId="31"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32" xfId="2" applyNumberFormat="1" applyFont="1" applyBorder="1" applyAlignment="1" applyProtection="1">
      <alignment horizontal="left" vertical="top" wrapText="1"/>
      <protection locked="0"/>
    </xf>
    <xf numFmtId="49" fontId="52" fillId="0" borderId="33"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34" xfId="2" applyNumberFormat="1" applyFont="1" applyBorder="1" applyAlignment="1" applyProtection="1">
      <alignment horizontal="left" vertical="top" wrapText="1"/>
      <protection locked="0"/>
    </xf>
    <xf numFmtId="0" fontId="76" fillId="0" borderId="18" xfId="2" applyFont="1" applyBorder="1" applyAlignment="1">
      <alignment horizontal="left" vertical="center" wrapText="1"/>
    </xf>
    <xf numFmtId="0" fontId="143" fillId="0" borderId="18" xfId="2" applyFont="1" applyBorder="1" applyAlignment="1">
      <alignment horizontal="left" vertical="center" wrapText="1"/>
    </xf>
    <xf numFmtId="0" fontId="76" fillId="0" borderId="57" xfId="2" applyFont="1" applyBorder="1" applyAlignment="1">
      <alignment horizontal="left" vertical="center" wrapText="1"/>
    </xf>
    <xf numFmtId="0" fontId="76" fillId="0" borderId="17" xfId="2" applyFont="1" applyBorder="1" applyAlignment="1">
      <alignment horizontal="left" vertical="center" wrapText="1"/>
    </xf>
    <xf numFmtId="0" fontId="76" fillId="0" borderId="18" xfId="2" applyFont="1" applyFill="1" applyBorder="1" applyAlignment="1">
      <alignment horizontal="left" vertical="center" wrapText="1"/>
    </xf>
    <xf numFmtId="0" fontId="75" fillId="0" borderId="18" xfId="2" applyFont="1" applyBorder="1" applyAlignment="1">
      <alignment horizontal="left" vertical="center" wrapText="1"/>
    </xf>
    <xf numFmtId="0" fontId="75" fillId="0" borderId="18" xfId="2" applyFont="1" applyFill="1" applyBorder="1" applyAlignment="1">
      <alignment horizontal="left" vertical="center" wrapText="1"/>
    </xf>
    <xf numFmtId="49" fontId="52" fillId="0" borderId="24"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49" fontId="52" fillId="0" borderId="31"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32" xfId="2" applyNumberFormat="1" applyFont="1" applyBorder="1" applyAlignment="1" applyProtection="1">
      <alignment horizontal="left" vertical="top"/>
      <protection locked="0"/>
    </xf>
    <xf numFmtId="49" fontId="52" fillId="0" borderId="33"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34" xfId="2" applyNumberFormat="1" applyFont="1" applyBorder="1" applyAlignment="1" applyProtection="1">
      <alignment horizontal="left" vertical="top"/>
      <protection locked="0"/>
    </xf>
    <xf numFmtId="0" fontId="67" fillId="0" borderId="57" xfId="2" quotePrefix="1" applyFont="1" applyFill="1" applyBorder="1" applyAlignment="1">
      <alignment horizontal="left" vertical="top" wrapText="1"/>
    </xf>
    <xf numFmtId="0" fontId="67" fillId="0" borderId="57" xfId="2" applyFont="1" applyFill="1" applyBorder="1" applyAlignment="1">
      <alignment horizontal="left" vertical="top" wrapText="1"/>
    </xf>
    <xf numFmtId="0" fontId="67" fillId="0" borderId="17" xfId="2" applyFont="1" applyFill="1" applyBorder="1" applyAlignment="1">
      <alignment horizontal="left" vertical="top" wrapText="1"/>
    </xf>
    <xf numFmtId="0" fontId="67" fillId="0" borderId="0" xfId="2" quotePrefix="1" applyFont="1" applyFill="1" applyBorder="1" applyAlignment="1">
      <alignment horizontal="left" vertical="top" wrapText="1"/>
    </xf>
    <xf numFmtId="0" fontId="67" fillId="0" borderId="0" xfId="2" applyFont="1" applyFill="1" applyBorder="1" applyAlignment="1">
      <alignment horizontal="left" vertical="top" wrapText="1"/>
    </xf>
    <xf numFmtId="0" fontId="113" fillId="0" borderId="18" xfId="2" quotePrefix="1" applyFont="1" applyFill="1" applyBorder="1" applyAlignment="1">
      <alignment horizontal="left" vertical="center" wrapText="1"/>
    </xf>
    <xf numFmtId="0" fontId="113" fillId="0" borderId="18" xfId="2" applyFont="1" applyFill="1" applyBorder="1" applyAlignment="1">
      <alignment horizontal="left" vertical="center" wrapText="1"/>
    </xf>
    <xf numFmtId="0" fontId="82" fillId="0" borderId="18" xfId="2" quotePrefix="1" applyFont="1" applyBorder="1" applyAlignment="1">
      <alignment horizontal="left" vertical="center" wrapText="1"/>
    </xf>
    <xf numFmtId="0" fontId="82" fillId="0" borderId="18" xfId="2" applyFont="1" applyBorder="1" applyAlignment="1">
      <alignment horizontal="left"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39" fillId="0" borderId="26" xfId="2" applyFont="1" applyBorder="1" applyAlignment="1" applyProtection="1">
      <alignment horizontal="left"/>
      <protection locked="0"/>
    </xf>
    <xf numFmtId="0" fontId="35" fillId="0" borderId="28" xfId="2" applyFont="1" applyBorder="1" applyAlignment="1" applyProtection="1">
      <alignment horizontal="left"/>
    </xf>
    <xf numFmtId="0" fontId="7" fillId="0" borderId="28" xfId="2" applyFont="1" applyFill="1" applyBorder="1" applyAlignment="1">
      <alignment horizontal="center" vertical="center"/>
    </xf>
    <xf numFmtId="0" fontId="81" fillId="0" borderId="13" xfId="2" applyFont="1" applyBorder="1" applyAlignment="1">
      <alignment horizontal="center" vertical="top"/>
    </xf>
    <xf numFmtId="0" fontId="81" fillId="0" borderId="2" xfId="2" applyFont="1" applyBorder="1" applyAlignment="1">
      <alignment horizontal="center" vertical="top"/>
    </xf>
    <xf numFmtId="0" fontId="81" fillId="0" borderId="56" xfId="2" applyFont="1" applyBorder="1" applyAlignment="1">
      <alignment horizontal="center" vertical="top"/>
    </xf>
    <xf numFmtId="0" fontId="81" fillId="0" borderId="16" xfId="2" applyFont="1" applyBorder="1" applyAlignment="1">
      <alignment horizontal="center" vertical="top"/>
    </xf>
    <xf numFmtId="0" fontId="81" fillId="0" borderId="0" xfId="2" applyFont="1" applyAlignment="1">
      <alignment horizontal="center" vertical="top"/>
    </xf>
    <xf numFmtId="0" fontId="81" fillId="0" borderId="48" xfId="2" applyFont="1" applyBorder="1" applyAlignment="1">
      <alignment horizontal="center" vertical="top"/>
    </xf>
    <xf numFmtId="0" fontId="81" fillId="0" borderId="39" xfId="2" applyFont="1" applyBorder="1" applyAlignment="1">
      <alignment horizontal="center" vertical="top"/>
    </xf>
    <xf numFmtId="0" fontId="81" fillId="0" borderId="37" xfId="2" applyFont="1" applyBorder="1" applyAlignment="1">
      <alignment horizontal="center" vertical="top"/>
    </xf>
    <xf numFmtId="0" fontId="81" fillId="0" borderId="40" xfId="2" applyFont="1" applyBorder="1" applyAlignment="1">
      <alignment horizontal="center" vertical="top"/>
    </xf>
    <xf numFmtId="0" fontId="76" fillId="0" borderId="57" xfId="2" applyFont="1" applyFill="1" applyBorder="1" applyAlignment="1">
      <alignment horizontal="left" vertical="top" wrapText="1"/>
    </xf>
    <xf numFmtId="0" fontId="76" fillId="0" borderId="0" xfId="2" applyFont="1" applyFill="1" applyAlignment="1">
      <alignment horizontal="left" vertical="top" wrapText="1"/>
    </xf>
    <xf numFmtId="0" fontId="76" fillId="0" borderId="17" xfId="2" applyFont="1" applyFill="1" applyBorder="1" applyAlignment="1">
      <alignment horizontal="left" vertical="top" wrapText="1"/>
    </xf>
    <xf numFmtId="0" fontId="80" fillId="0" borderId="57" xfId="2" quotePrefix="1" applyFont="1" applyFill="1" applyBorder="1" applyAlignment="1">
      <alignment horizontal="left" vertical="center" wrapText="1"/>
    </xf>
    <xf numFmtId="0" fontId="80" fillId="0" borderId="57" xfId="2" applyFont="1" applyFill="1" applyBorder="1" applyAlignment="1">
      <alignment horizontal="left" vertical="center" wrapText="1"/>
    </xf>
    <xf numFmtId="0" fontId="80" fillId="0" borderId="17" xfId="2" applyFont="1" applyFill="1" applyBorder="1" applyAlignment="1">
      <alignment horizontal="left" vertical="center" wrapText="1"/>
    </xf>
    <xf numFmtId="0" fontId="34" fillId="0" borderId="0" xfId="2" applyFont="1" applyAlignment="1">
      <alignment horizontal="center"/>
    </xf>
    <xf numFmtId="0" fontId="81" fillId="0" borderId="13" xfId="2" applyFont="1" applyBorder="1" applyAlignment="1">
      <alignment horizontal="center" vertical="center" wrapText="1"/>
    </xf>
    <xf numFmtId="0" fontId="81" fillId="0" borderId="2" xfId="2" applyFont="1" applyBorder="1" applyAlignment="1">
      <alignment horizontal="center" vertical="center" wrapText="1"/>
    </xf>
    <xf numFmtId="0" fontId="81" fillId="0" borderId="56" xfId="2" applyFont="1" applyBorder="1" applyAlignment="1">
      <alignment horizontal="center" vertical="center" wrapText="1"/>
    </xf>
    <xf numFmtId="0" fontId="81" fillId="0" borderId="16" xfId="2" applyFont="1" applyBorder="1" applyAlignment="1">
      <alignment horizontal="center" vertical="center" wrapText="1"/>
    </xf>
    <xf numFmtId="0" fontId="81" fillId="0" borderId="0" xfId="2" applyFont="1" applyAlignment="1">
      <alignment horizontal="center" vertical="center" wrapText="1"/>
    </xf>
    <xf numFmtId="0" fontId="81" fillId="0" borderId="48" xfId="2" applyFont="1" applyBorder="1" applyAlignment="1">
      <alignment horizontal="center" vertical="center" wrapText="1"/>
    </xf>
    <xf numFmtId="0" fontId="81" fillId="0" borderId="39" xfId="2" applyFont="1" applyBorder="1" applyAlignment="1">
      <alignment horizontal="center" vertical="center" wrapText="1"/>
    </xf>
    <xf numFmtId="0" fontId="81" fillId="0" borderId="37" xfId="2" applyFont="1" applyBorder="1" applyAlignment="1">
      <alignment horizontal="center" vertical="center" wrapText="1"/>
    </xf>
    <xf numFmtId="0" fontId="81" fillId="0" borderId="40" xfId="2" applyFont="1" applyBorder="1" applyAlignment="1">
      <alignment horizontal="center" vertical="center" wrapText="1"/>
    </xf>
    <xf numFmtId="0" fontId="29" fillId="0" borderId="0" xfId="2" applyFont="1" applyAlignment="1">
      <alignment horizontal="center" vertical="center" wrapText="1"/>
    </xf>
    <xf numFmtId="0" fontId="7" fillId="0" borderId="18" xfId="2" applyFill="1" applyBorder="1" applyAlignment="1">
      <alignment horizontal="left" vertical="center"/>
    </xf>
    <xf numFmtId="0" fontId="52" fillId="0" borderId="26" xfId="2" applyFont="1" applyBorder="1" applyAlignment="1" applyProtection="1">
      <alignment horizontal="left"/>
      <protection locked="0"/>
    </xf>
    <xf numFmtId="0" fontId="81" fillId="0" borderId="13" xfId="2" applyFont="1" applyBorder="1" applyAlignment="1">
      <alignment horizontal="center" vertical="top" wrapText="1"/>
    </xf>
    <xf numFmtId="0" fontId="81" fillId="0" borderId="2" xfId="2" applyFont="1" applyBorder="1" applyAlignment="1">
      <alignment horizontal="center" vertical="top" wrapText="1"/>
    </xf>
    <xf numFmtId="0" fontId="81" fillId="0" borderId="56" xfId="2" applyFont="1" applyBorder="1" applyAlignment="1">
      <alignment horizontal="center" vertical="top" wrapText="1"/>
    </xf>
    <xf numFmtId="0" fontId="81" fillId="0" borderId="16" xfId="2" applyFont="1" applyBorder="1" applyAlignment="1">
      <alignment horizontal="center" vertical="top" wrapText="1"/>
    </xf>
    <xf numFmtId="0" fontId="81" fillId="0" borderId="0" xfId="2" applyFont="1" applyAlignment="1">
      <alignment horizontal="center" vertical="top" wrapText="1"/>
    </xf>
    <xf numFmtId="0" fontId="81" fillId="0" borderId="48" xfId="2" applyFont="1" applyBorder="1" applyAlignment="1">
      <alignment horizontal="center" vertical="top" wrapText="1"/>
    </xf>
    <xf numFmtId="0" fontId="81" fillId="0" borderId="39" xfId="2" applyFont="1" applyBorder="1" applyAlignment="1">
      <alignment horizontal="center" vertical="top" wrapText="1"/>
    </xf>
    <xf numFmtId="0" fontId="81" fillId="0" borderId="37" xfId="2" applyFont="1" applyBorder="1" applyAlignment="1">
      <alignment horizontal="center" vertical="top" wrapText="1"/>
    </xf>
    <xf numFmtId="0" fontId="81" fillId="0" borderId="40" xfId="2" applyFont="1" applyBorder="1" applyAlignment="1">
      <alignment horizontal="center" vertical="top" wrapText="1"/>
    </xf>
    <xf numFmtId="0" fontId="38" fillId="0" borderId="57" xfId="2" quotePrefix="1" applyFont="1" applyBorder="1" applyAlignment="1">
      <alignment horizontal="left" vertical="center" wrapText="1"/>
    </xf>
    <xf numFmtId="0" fontId="38" fillId="0" borderId="17" xfId="2" quotePrefix="1" applyFont="1" applyBorder="1" applyAlignment="1">
      <alignment horizontal="left" vertical="center" wrapText="1"/>
    </xf>
    <xf numFmtId="0" fontId="130" fillId="0" borderId="0" xfId="0" applyFont="1" applyBorder="1" applyAlignment="1">
      <alignment horizontal="left" vertical="top" wrapText="1"/>
    </xf>
    <xf numFmtId="0" fontId="35" fillId="0" borderId="8" xfId="2" applyFont="1" applyBorder="1" applyAlignment="1" applyProtection="1">
      <alignment horizontal="left"/>
    </xf>
    <xf numFmtId="0" fontId="81" fillId="0" borderId="37" xfId="2" applyFont="1" applyBorder="1" applyAlignment="1">
      <alignment horizontal="center"/>
    </xf>
    <xf numFmtId="0" fontId="7" fillId="0" borderId="18" xfId="2" applyFill="1" applyBorder="1" applyAlignment="1">
      <alignment horizontal="left"/>
    </xf>
    <xf numFmtId="0" fontId="7" fillId="0" borderId="28" xfId="2" quotePrefix="1" applyFill="1" applyBorder="1" applyAlignment="1">
      <alignment horizontal="center" shrinkToFit="1"/>
    </xf>
    <xf numFmtId="0" fontId="7" fillId="0" borderId="28" xfId="2" applyFill="1" applyBorder="1" applyAlignment="1">
      <alignment horizontal="center" shrinkToFit="1"/>
    </xf>
    <xf numFmtId="0" fontId="81" fillId="0" borderId="51" xfId="2" applyFont="1" applyBorder="1" applyAlignment="1">
      <alignment horizontal="right" vertical="center" wrapText="1"/>
    </xf>
    <xf numFmtId="0" fontId="81" fillId="0" borderId="28" xfId="2" applyFont="1" applyBorder="1" applyAlignment="1">
      <alignment horizontal="right" vertical="center" wrapText="1"/>
    </xf>
    <xf numFmtId="0" fontId="7" fillId="0" borderId="23" xfId="2" applyBorder="1" applyAlignment="1">
      <alignment horizontal="right" vertical="center"/>
    </xf>
    <xf numFmtId="0" fontId="7" fillId="0" borderId="0" xfId="2" applyAlignment="1">
      <alignment horizontal="right" vertical="center"/>
    </xf>
    <xf numFmtId="0" fontId="81" fillId="0" borderId="50" xfId="2" applyFont="1" applyBorder="1" applyAlignment="1">
      <alignment horizontal="center" vertical="center" wrapText="1"/>
    </xf>
    <xf numFmtId="0" fontId="81" fillId="0" borderId="14" xfId="2" applyFont="1" applyBorder="1" applyAlignment="1">
      <alignment horizontal="center" vertical="center" wrapText="1"/>
    </xf>
    <xf numFmtId="0" fontId="81" fillId="0" borderId="28" xfId="2" applyFont="1" applyBorder="1" applyAlignment="1">
      <alignment horizontal="center" vertical="center" wrapText="1"/>
    </xf>
    <xf numFmtId="0" fontId="81" fillId="0" borderId="49" xfId="2" applyFont="1" applyBorder="1" applyAlignment="1">
      <alignment horizontal="center" vertical="center" wrapText="1"/>
    </xf>
    <xf numFmtId="10" fontId="7" fillId="0" borderId="1" xfId="4" applyNumberFormat="1" applyFont="1" applyFill="1" applyBorder="1" applyAlignment="1">
      <alignment horizontal="right"/>
    </xf>
    <xf numFmtId="173" fontId="7" fillId="0" borderId="28" xfId="2" applyNumberFormat="1" applyFont="1" applyFill="1" applyBorder="1" applyAlignment="1">
      <alignment horizontal="right"/>
    </xf>
    <xf numFmtId="175" fontId="7" fillId="0" borderId="28" xfId="2" applyNumberFormat="1" applyFont="1" applyFill="1" applyBorder="1" applyAlignment="1">
      <alignment horizontal="right"/>
    </xf>
    <xf numFmtId="175" fontId="7" fillId="0" borderId="1" xfId="2" applyNumberFormat="1" applyFont="1" applyFill="1" applyBorder="1" applyAlignment="1">
      <alignment horizontal="right"/>
    </xf>
    <xf numFmtId="10" fontId="81" fillId="0" borderId="1" xfId="4" applyNumberFormat="1" applyFont="1" applyFill="1" applyBorder="1" applyAlignment="1">
      <alignment horizontal="right"/>
    </xf>
    <xf numFmtId="175" fontId="81" fillId="0" borderId="44" xfId="2" applyNumberFormat="1" applyFont="1" applyFill="1" applyBorder="1" applyAlignment="1">
      <alignment horizontal="right"/>
    </xf>
    <xf numFmtId="164" fontId="52" fillId="0" borderId="119" xfId="4" applyNumberFormat="1" applyFont="1" applyFill="1" applyBorder="1" applyAlignment="1">
      <alignment horizontal="right"/>
    </xf>
    <xf numFmtId="188" fontId="7" fillId="0" borderId="92" xfId="2" applyNumberFormat="1" applyFont="1" applyFill="1" applyBorder="1" applyAlignment="1">
      <alignment horizontal="right"/>
    </xf>
    <xf numFmtId="173" fontId="7" fillId="0" borderId="91" xfId="2" applyNumberFormat="1" applyFont="1" applyFill="1" applyBorder="1" applyAlignment="1">
      <alignment horizontal="right"/>
    </xf>
    <xf numFmtId="173" fontId="7" fillId="0" borderId="1" xfId="2" applyNumberFormat="1" applyFont="1" applyFill="1" applyBorder="1" applyAlignment="1">
      <alignment horizontal="right"/>
    </xf>
    <xf numFmtId="173" fontId="81" fillId="0" borderId="1" xfId="2" applyNumberFormat="1" applyFont="1" applyFill="1" applyBorder="1" applyAlignment="1">
      <alignment horizontal="right"/>
    </xf>
    <xf numFmtId="9" fontId="28" fillId="0" borderId="1" xfId="4" applyNumberFormat="1" applyFont="1" applyFill="1" applyBorder="1" applyAlignment="1">
      <alignment horizontal="right"/>
    </xf>
    <xf numFmtId="9" fontId="7" fillId="0" borderId="1" xfId="4" applyNumberFormat="1" applyFont="1" applyFill="1" applyBorder="1" applyAlignment="1">
      <alignment horizontal="right"/>
    </xf>
    <xf numFmtId="0" fontId="75" fillId="0" borderId="57" xfId="2" applyFont="1" applyBorder="1" applyAlignment="1">
      <alignment horizontal="left" vertical="center" wrapText="1"/>
    </xf>
    <xf numFmtId="0" fontId="75" fillId="0" borderId="17" xfId="2" applyFont="1" applyBorder="1" applyAlignment="1">
      <alignment horizontal="left" vertical="center" wrapText="1"/>
    </xf>
    <xf numFmtId="173" fontId="7" fillId="0" borderId="45" xfId="2" applyNumberFormat="1" applyBorder="1" applyAlignment="1">
      <alignment horizontal="center" vertical="center"/>
    </xf>
    <xf numFmtId="173" fontId="7" fillId="0" borderId="44" xfId="2" applyNumberFormat="1" applyBorder="1" applyAlignment="1">
      <alignment horizontal="center" vertical="center"/>
    </xf>
    <xf numFmtId="173" fontId="7" fillId="0" borderId="46" xfId="2" applyNumberFormat="1" applyBorder="1" applyAlignment="1">
      <alignment horizontal="center" vertical="center"/>
    </xf>
    <xf numFmtId="173" fontId="81" fillId="12" borderId="39" xfId="2" applyNumberFormat="1" applyFont="1" applyFill="1" applyBorder="1" applyAlignment="1">
      <alignment horizontal="center" vertical="center" wrapText="1"/>
    </xf>
    <xf numFmtId="173" fontId="81" fillId="12" borderId="37" xfId="2" applyNumberFormat="1" applyFont="1" applyFill="1" applyBorder="1" applyAlignment="1">
      <alignment horizontal="center" vertical="center" wrapText="1"/>
    </xf>
    <xf numFmtId="0" fontId="83" fillId="0" borderId="54" xfId="2" applyFont="1" applyBorder="1" applyAlignment="1">
      <alignment horizontal="center" vertical="center"/>
    </xf>
    <xf numFmtId="0" fontId="83" fillId="0" borderId="53" xfId="2" applyFont="1" applyBorder="1" applyAlignment="1">
      <alignment horizontal="center" vertical="center"/>
    </xf>
    <xf numFmtId="0" fontId="83" fillId="0" borderId="52" xfId="2" applyFont="1" applyBorder="1" applyAlignment="1">
      <alignment horizontal="center" vertical="center"/>
    </xf>
    <xf numFmtId="0" fontId="28" fillId="0" borderId="45" xfId="2" applyFont="1" applyFill="1" applyBorder="1" applyAlignment="1" applyProtection="1">
      <alignment horizontal="center" vertical="center"/>
    </xf>
    <xf numFmtId="0" fontId="28" fillId="0" borderId="46" xfId="2" applyFont="1" applyFill="1" applyBorder="1" applyAlignment="1" applyProtection="1">
      <alignment horizontal="center" vertical="center"/>
    </xf>
    <xf numFmtId="0" fontId="7" fillId="0" borderId="47" xfId="2" applyBorder="1" applyAlignment="1">
      <alignment horizontal="right" vertical="center"/>
    </xf>
    <xf numFmtId="0" fontId="7" fillId="0" borderId="44" xfId="2" applyBorder="1" applyAlignment="1">
      <alignment horizontal="right" vertical="center"/>
    </xf>
    <xf numFmtId="0" fontId="81" fillId="0" borderId="41" xfId="2" applyFont="1" applyBorder="1" applyAlignment="1">
      <alignment horizontal="right" vertical="center" wrapText="1"/>
    </xf>
    <xf numFmtId="0" fontId="81" fillId="0" borderId="37" xfId="2" applyFont="1" applyBorder="1" applyAlignment="1">
      <alignment horizontal="right" vertical="center" wrapText="1"/>
    </xf>
    <xf numFmtId="173" fontId="7" fillId="0" borderId="45" xfId="2" applyNumberFormat="1" applyFill="1" applyBorder="1" applyAlignment="1">
      <alignment horizontal="center" vertical="center" wrapText="1"/>
    </xf>
    <xf numFmtId="173" fontId="7" fillId="0" borderId="44" xfId="2" applyNumberFormat="1" applyFill="1" applyBorder="1" applyAlignment="1">
      <alignment horizontal="center" vertical="center" wrapText="1"/>
    </xf>
    <xf numFmtId="173" fontId="7" fillId="0" borderId="43" xfId="2" applyNumberFormat="1" applyFill="1" applyBorder="1" applyAlignment="1">
      <alignment horizontal="center" vertical="center" wrapText="1"/>
    </xf>
    <xf numFmtId="0" fontId="87" fillId="0" borderId="0" xfId="2" applyFont="1" applyAlignment="1">
      <alignment horizontal="right"/>
    </xf>
    <xf numFmtId="9" fontId="87" fillId="0" borderId="0" xfId="4" quotePrefix="1" applyFont="1" applyAlignment="1">
      <alignment horizontal="right"/>
    </xf>
    <xf numFmtId="0" fontId="130" fillId="8" borderId="0" xfId="0" applyFont="1" applyFill="1" applyBorder="1" applyAlignment="1">
      <alignment horizontal="right" wrapText="1"/>
    </xf>
    <xf numFmtId="0" fontId="133" fillId="8" borderId="0" xfId="0" applyFont="1" applyFill="1" applyAlignment="1">
      <alignment horizontal="left" vertical="center"/>
    </xf>
    <xf numFmtId="49" fontId="0" fillId="8" borderId="0" xfId="0" applyNumberFormat="1" applyFill="1" applyAlignment="1">
      <alignment horizontal="left" vertical="center" wrapText="1"/>
    </xf>
    <xf numFmtId="0" fontId="12" fillId="2" borderId="8" xfId="0" applyFont="1" applyFill="1" applyBorder="1" applyAlignment="1" applyProtection="1">
      <alignment horizontal="center" vertical="center"/>
      <protection locked="0"/>
    </xf>
    <xf numFmtId="0" fontId="104" fillId="28" borderId="0" xfId="0" applyFont="1" applyFill="1" applyAlignment="1">
      <alignment horizontal="center" vertical="center"/>
    </xf>
    <xf numFmtId="38" fontId="4" fillId="8" borderId="0" xfId="0" applyNumberFormat="1" applyFont="1" applyFill="1" applyAlignment="1">
      <alignment horizontal="center" vertical="center"/>
    </xf>
    <xf numFmtId="0" fontId="130" fillId="8" borderId="0" xfId="0" applyFont="1" applyFill="1" applyAlignment="1">
      <alignment horizontal="right" wrapText="1"/>
    </xf>
    <xf numFmtId="38" fontId="12" fillId="6" borderId="121" xfId="0" applyNumberFormat="1" applyFont="1" applyFill="1" applyBorder="1" applyAlignment="1">
      <alignment horizontal="center" vertical="center"/>
    </xf>
    <xf numFmtId="38" fontId="12" fillId="6" borderId="60" xfId="0" applyNumberFormat="1" applyFont="1" applyFill="1" applyBorder="1" applyAlignment="1">
      <alignment horizontal="center" vertical="center"/>
    </xf>
    <xf numFmtId="0" fontId="3" fillId="0" borderId="0" xfId="0" applyFont="1" applyAlignment="1">
      <alignment horizontal="left" vertical="top" wrapText="1"/>
    </xf>
    <xf numFmtId="0" fontId="2" fillId="0" borderId="0" xfId="0" applyFont="1" applyFill="1" applyAlignment="1" applyProtection="1">
      <alignment horizontal="left" vertical="top" wrapText="1"/>
    </xf>
    <xf numFmtId="0" fontId="12" fillId="15" borderId="68" xfId="0" applyFont="1" applyFill="1" applyBorder="1" applyAlignment="1" applyProtection="1">
      <alignment horizontal="left" vertical="center" wrapText="1"/>
      <protection locked="0"/>
    </xf>
    <xf numFmtId="0" fontId="12" fillId="15" borderId="18" xfId="0" applyFont="1" applyFill="1" applyBorder="1" applyAlignment="1" applyProtection="1">
      <alignment horizontal="left" vertical="center" wrapText="1"/>
      <protection locked="0"/>
    </xf>
    <xf numFmtId="0" fontId="2" fillId="0" borderId="62" xfId="0" applyFont="1" applyBorder="1" applyAlignment="1" applyProtection="1">
      <alignment horizontal="left"/>
    </xf>
    <xf numFmtId="0" fontId="2" fillId="0" borderId="63" xfId="0" applyFont="1" applyBorder="1" applyAlignment="1" applyProtection="1">
      <alignment horizontal="left"/>
    </xf>
    <xf numFmtId="0" fontId="12" fillId="15" borderId="75" xfId="0" applyFont="1" applyFill="1" applyBorder="1" applyAlignment="1" applyProtection="1">
      <alignment horizontal="left" vertical="center" wrapText="1"/>
      <protection locked="0"/>
    </xf>
    <xf numFmtId="0" fontId="12" fillId="15" borderId="17"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pplyProtection="1">
      <alignment horizontal="left" wrapText="1"/>
    </xf>
    <xf numFmtId="0" fontId="0" fillId="0" borderId="0" xfId="0" applyBorder="1" applyAlignment="1" applyProtection="1">
      <alignment vertical="top" wrapText="1"/>
    </xf>
    <xf numFmtId="0" fontId="12" fillId="2" borderId="8" xfId="0" applyFont="1" applyFill="1" applyBorder="1" applyAlignment="1" applyProtection="1">
      <alignment vertical="top"/>
      <protection locked="0"/>
    </xf>
    <xf numFmtId="0" fontId="19" fillId="5" borderId="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19" fillId="5" borderId="10" xfId="0" applyFont="1" applyFill="1" applyBorder="1" applyAlignment="1" applyProtection="1">
      <alignment horizontal="center" vertical="center" wrapText="1"/>
    </xf>
    <xf numFmtId="0" fontId="21" fillId="0" borderId="0" xfId="0" applyFont="1" applyBorder="1" applyAlignment="1" applyProtection="1">
      <alignment vertical="top" wrapText="1"/>
    </xf>
    <xf numFmtId="0" fontId="21" fillId="0" borderId="0" xfId="0" applyFont="1" applyAlignment="1">
      <alignment horizontal="left" wrapText="1"/>
    </xf>
  </cellXfs>
  <cellStyles count="12">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800">
    <dxf>
      <font>
        <color theme="0"/>
      </font>
      <fill>
        <patternFill>
          <bgColor theme="0"/>
        </patternFill>
      </fill>
      <border>
        <left/>
        <right/>
        <top/>
        <bottom/>
        <vertical/>
        <horizontal/>
      </border>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ont>
        <color theme="0"/>
      </font>
    </dxf>
    <dxf>
      <font>
        <color auto="1"/>
      </font>
      <fill>
        <patternFill patternType="darkUp">
          <fgColor theme="0" tint="-0.24994659260841701"/>
          <bgColor auto="1"/>
        </patternFill>
      </fill>
      <border>
        <left/>
        <right/>
        <top/>
        <bottom/>
        <vertical/>
        <horizontal/>
      </border>
    </dxf>
    <dxf>
      <fill>
        <patternFill patternType="darkUp">
          <fgColor theme="0" tint="-0.24994659260841701"/>
        </patternFill>
      </fill>
    </dxf>
    <dxf>
      <font>
        <color theme="0" tint="-0.24994659260841701"/>
      </font>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patternType="darkUp">
          <fgColor theme="0" tint="-0.24994659260841701"/>
        </patternFill>
      </fill>
    </dxf>
    <dxf>
      <font>
        <color theme="0"/>
      </font>
      <fill>
        <patternFill>
          <bgColor theme="0"/>
        </patternFill>
      </fill>
      <border>
        <left/>
        <right/>
        <top/>
        <bottom/>
        <vertical/>
        <horizontal/>
      </border>
    </dxf>
    <dxf>
      <font>
        <color theme="0" tint="-0.14996795556505021"/>
      </font>
      <fill>
        <patternFill patternType="darkUp">
          <fgColor theme="0" tint="-0.24994659260841701"/>
        </patternFill>
      </fill>
    </dxf>
    <dxf>
      <font>
        <color theme="0" tint="-0.14996795556505021"/>
      </font>
      <fill>
        <patternFill patternType="darkUp">
          <fgColor theme="0" tint="-0.14996795556505021"/>
        </patternFill>
      </fill>
    </dxf>
    <dxf>
      <font>
        <color theme="0" tint="-0.14996795556505021"/>
      </font>
      <fill>
        <patternFill patternType="darkUp">
          <fgColor theme="0" tint="-0.24994659260841701"/>
        </patternFill>
      </fill>
    </dxf>
    <dxf>
      <font>
        <color theme="0" tint="-0.14996795556505021"/>
      </font>
      <fill>
        <patternFill patternType="light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val="0"/>
        <i val="0"/>
        <strike val="0"/>
        <u val="none"/>
      </font>
      <fill>
        <patternFill>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ont>
        <color rgb="FF0000FF"/>
      </font>
      <fill>
        <patternFill patternType="none">
          <bgColor auto="1"/>
        </patternFill>
      </fill>
      <border>
        <bottom style="thin">
          <color rgb="FF0000FF"/>
        </bottom>
        <vertical/>
        <horizontal/>
      </border>
    </dxf>
    <dxf>
      <fill>
        <patternFill>
          <bgColor theme="1"/>
        </patternFill>
      </fill>
    </dxf>
    <dxf>
      <font>
        <color theme="0"/>
      </font>
      <fill>
        <patternFill patternType="none">
          <bgColor auto="1"/>
        </patternFill>
      </fill>
      <border>
        <left/>
        <right/>
        <top/>
        <bottom/>
        <vertical/>
        <horizontal/>
      </border>
    </dxf>
    <dxf>
      <font>
        <b/>
        <i val="0"/>
      </font>
      <fill>
        <patternFill patternType="none">
          <bgColor auto="1"/>
        </patternFill>
      </fill>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rgb="FFC00000"/>
      </font>
      <fill>
        <patternFill>
          <bgColor rgb="FFFFEBFF"/>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ont>
        <b val="0"/>
        <i/>
        <color rgb="FFC00000"/>
      </font>
      <fill>
        <patternFill>
          <bgColor rgb="FFFFE6FF"/>
        </patternFill>
      </fill>
    </dxf>
    <dxf>
      <font>
        <b/>
        <i/>
        <color theme="1"/>
      </font>
    </dxf>
    <dxf>
      <fill>
        <patternFill patternType="lightUp">
          <fgColor theme="0" tint="-0.34998626667073579"/>
        </patternFill>
      </fill>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bgColor rgb="FFFFE6FF"/>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patternType="lightUp">
          <fgColor theme="0" tint="-0.499984740745262"/>
        </patternFill>
      </fill>
    </dxf>
    <dxf>
      <font>
        <color theme="0"/>
      </font>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theme="0"/>
      </font>
      <fill>
        <patternFill>
          <bgColor theme="0"/>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C00000"/>
      </font>
      <fill>
        <patternFill>
          <bgColor rgb="FFFFE6FF"/>
        </patternFill>
      </fill>
    </dxf>
    <dxf>
      <fill>
        <patternFill>
          <bgColor theme="9" tint="0.79998168889431442"/>
        </patternFill>
      </fill>
    </dxf>
    <dxf>
      <font>
        <color theme="0"/>
      </font>
      <fill>
        <patternFill>
          <bgColor theme="0"/>
        </patternFill>
      </fill>
      <border>
        <left/>
        <right/>
        <top/>
        <bottom/>
        <vertical/>
        <horizontal/>
      </border>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b/>
        <i val="0"/>
        <color rgb="FF7030A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i val="0"/>
        <color rgb="FF7030A0"/>
      </font>
    </dxf>
    <dxf>
      <font>
        <color theme="0" tint="-0.14996795556505021"/>
      </font>
    </dxf>
    <dxf>
      <font>
        <b/>
        <i val="0"/>
        <color rgb="FF7030A0"/>
      </font>
    </dxf>
    <dxf>
      <font>
        <color theme="0" tint="-0.14996795556505021"/>
      </font>
    </dxf>
    <dxf>
      <font>
        <color theme="0" tint="-0.14996795556505021"/>
      </font>
    </dxf>
    <dxf>
      <font>
        <color theme="0" tint="-0.14996795556505021"/>
      </font>
    </dxf>
    <dxf>
      <font>
        <color theme="0" tint="-0.14996795556505021"/>
      </font>
    </dxf>
    <dxf>
      <font>
        <b/>
        <i val="0"/>
        <color rgb="FF7030A0"/>
      </font>
    </dxf>
    <dxf>
      <font>
        <color theme="0" tint="-0.14996795556505021"/>
      </font>
    </dxf>
    <dxf>
      <font>
        <b/>
        <i val="0"/>
        <color rgb="FF7030A0"/>
      </font>
    </dxf>
    <dxf>
      <font>
        <color theme="0" tint="-0.14996795556505021"/>
      </font>
    </dxf>
    <dxf>
      <font>
        <b/>
        <i val="0"/>
        <color rgb="FF7030A0"/>
      </font>
    </dxf>
    <dxf>
      <font>
        <color theme="0" tint="-0.14996795556505021"/>
      </font>
    </dxf>
    <dxf>
      <font>
        <color theme="0" tint="-0.14996795556505021"/>
      </font>
    </dxf>
    <dxf>
      <font>
        <b/>
        <i val="0"/>
        <color rgb="FF7030A0"/>
      </font>
    </dxf>
    <dxf>
      <font>
        <b/>
        <i val="0"/>
        <color rgb="FF7030A0"/>
      </font>
    </dxf>
    <dxf>
      <font>
        <b/>
        <i val="0"/>
        <color rgb="FF7030A0"/>
      </font>
    </dxf>
    <dxf>
      <font>
        <b/>
        <i val="0"/>
        <color rgb="FF7030A0"/>
      </font>
    </dxf>
    <dxf>
      <font>
        <b val="0"/>
        <i val="0"/>
        <strike val="0"/>
        <u val="none"/>
      </font>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rgb="FFFFFF00"/>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ill>
        <patternFill>
          <bgColor theme="9" tint="0.79998168889431442"/>
        </patternFill>
      </fill>
    </dxf>
    <dxf>
      <font>
        <color rgb="FFC00000"/>
      </font>
      <fill>
        <patternFill>
          <bgColor rgb="FFFFE6FF"/>
        </patternFill>
      </fill>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ill>
        <patternFill patternType="none">
          <bgColor auto="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font>
    </dxf>
    <dxf>
      <font>
        <b val="0"/>
        <i/>
      </font>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b val="0"/>
        <i/>
      </font>
    </dxf>
    <dxf>
      <font>
        <color rgb="FFC00000"/>
      </font>
      <fill>
        <patternFill>
          <bgColor rgb="FFFFDC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0" tint="-0.34998626667073579"/>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dxf>
    <dxf>
      <fill>
        <patternFill patternType="darkUp">
          <f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34998626667073579"/>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ill>
        <patternFill patternType="darkUp">
          <fgColor theme="0" tint="-0.24994659260841701"/>
          <bgColor theme="0"/>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none">
          <bgColor auto="1"/>
        </patternFill>
      </fill>
    </dxf>
    <dxf>
      <font>
        <color auto="1"/>
      </font>
      <fill>
        <patternFill patternType="none">
          <bgColor auto="1"/>
        </patternFill>
      </fill>
    </dxf>
    <dxf>
      <font>
        <color rgb="FFC00000"/>
      </font>
      <fill>
        <patternFill>
          <bgColor rgb="FFFFE6FF"/>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border>
        <top style="hair">
          <color auto="1"/>
        </top>
        <vertical/>
        <horizontal/>
      </border>
    </dxf>
    <dxf>
      <font>
        <color theme="0" tint="-0.34998626667073579"/>
      </font>
    </dxf>
    <dxf>
      <fill>
        <patternFill patternType="darkUp">
          <fgColor theme="0" tint="-0.24994659260841701"/>
        </patternFill>
      </fill>
    </dxf>
    <dxf>
      <font>
        <b/>
        <i val="0"/>
      </font>
    </dxf>
    <dxf>
      <font>
        <color rgb="FFC00000"/>
      </font>
      <fill>
        <patternFill>
          <bgColor rgb="FFFFE6FF"/>
        </patternFill>
      </fill>
    </dxf>
    <dxf>
      <fill>
        <patternFill patternType="none">
          <bgColor auto="1"/>
        </patternFill>
      </fill>
    </dxf>
    <dxf>
      <font>
        <b val="0"/>
        <i val="0"/>
      </font>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bgColor theme="9" tint="0.79998168889431442"/>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ont>
        <color rgb="FFC00000"/>
      </font>
      <fill>
        <patternFill>
          <bgColor rgb="FFFFE6FF"/>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b val="0"/>
        <i val="0"/>
        <strike val="0"/>
        <color rgb="FFC00000"/>
      </font>
      <fill>
        <patternFill>
          <bgColor rgb="FFFFE6FF"/>
        </patternFill>
      </fill>
    </dxf>
    <dxf>
      <fill>
        <patternFill patternType="darkUp">
          <fgColor theme="0" tint="-0.24994659260841701"/>
        </patternFill>
      </fill>
    </dxf>
    <dxf>
      <font>
        <color theme="0"/>
      </font>
      <fill>
        <patternFill>
          <bgColor theme="0"/>
        </patternFill>
      </fill>
      <border>
        <left/>
        <right/>
        <top/>
        <bottom/>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ont>
        <b val="0"/>
        <i/>
      </font>
    </dxf>
    <dxf>
      <font>
        <color rgb="FF0000FF"/>
      </font>
      <fill>
        <patternFill>
          <bgColor theme="9" tint="0.79998168889431442"/>
        </patternFill>
      </fill>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bottom style="thin">
          <color auto="1"/>
        </bottom>
        <vertical/>
        <horizontal/>
      </border>
    </dxf>
    <dxf>
      <border>
        <top style="thin">
          <color auto="1"/>
        </top>
        <vertical/>
        <horizontal/>
      </border>
    </dxf>
    <dxf>
      <border>
        <right style="thin">
          <color auto="1"/>
        </right>
        <vertical/>
        <horizontal/>
      </border>
    </dxf>
    <dxf>
      <fill>
        <patternFill patternType="darkUp">
          <fgColor theme="0" tint="-0.24994659260841701"/>
        </patternFill>
      </fill>
    </dxf>
    <dxf>
      <font>
        <color rgb="FFC00000"/>
      </font>
    </dxf>
    <dxf>
      <font>
        <color rgb="FFC00000"/>
      </font>
      <fill>
        <patternFill patternType="none">
          <bgColor auto="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patternType="none">
          <bgColor auto="1"/>
        </patternFill>
      </fill>
    </dxf>
    <dxf>
      <font>
        <color rgb="FFC00000"/>
      </font>
    </dxf>
    <dxf>
      <font>
        <color theme="0"/>
      </font>
      <border>
        <left/>
        <right style="thin">
          <color auto="1"/>
        </right>
        <top/>
        <bottom/>
        <vertical/>
        <horizontal/>
      </border>
    </dxf>
    <dxf>
      <font>
        <color theme="0"/>
      </font>
      <border>
        <left/>
        <right style="thin">
          <color auto="1"/>
        </right>
        <top/>
        <bottom/>
        <vertical/>
        <horizontal/>
      </border>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rgb="FFE2EFDA"/>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bgColor rgb="FFCCFF99"/>
        </patternFill>
      </fill>
    </dxf>
    <dxf>
      <fill>
        <patternFill patternType="lightUp">
          <fgColor theme="0"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border>
        <bottom style="thin">
          <color auto="1"/>
        </bottom>
        <vertical/>
        <horizontal/>
      </border>
    </dxf>
    <dxf>
      <font>
        <b/>
        <i val="0"/>
      </font>
      <border>
        <bottom style="thin">
          <color auto="1"/>
        </bottom>
        <vertical/>
        <horizontal/>
      </border>
    </dxf>
    <dxf>
      <font>
        <b/>
        <i val="0"/>
      </font>
      <border>
        <bottom style="thin">
          <color auto="1"/>
        </bottom>
        <vertical/>
        <horizontal/>
      </border>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bgColor theme="8" tint="0.79998168889431442"/>
        </patternFill>
      </fill>
    </dxf>
    <dxf>
      <border>
        <bottom style="dotted">
          <color auto="1"/>
        </bottom>
        <vertical/>
        <horizontal/>
      </border>
    </dxf>
    <dxf>
      <fill>
        <patternFill patternType="lightUp">
          <fgColor theme="0" tint="-0.24994659260841701"/>
          <bgColor auto="1"/>
        </patternFill>
      </fill>
    </dxf>
    <dxf>
      <font>
        <color theme="0"/>
      </font>
    </dxf>
    <dxf>
      <font>
        <color theme="0"/>
      </font>
    </dxf>
    <dxf>
      <fill>
        <patternFill>
          <bgColor theme="7" tint="0.59996337778862885"/>
        </patternFill>
      </fill>
    </dxf>
    <dxf>
      <fill>
        <patternFill>
          <bgColor rgb="FFCCFFCC"/>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colors>
    <mruColors>
      <color rgb="FFFFEBFF"/>
      <color rgb="FFFFE6FF"/>
      <color rgb="FF20F009"/>
      <color rgb="FF91FA87"/>
      <color rgb="FF0000FF"/>
      <color rgb="FFC00000"/>
      <color rgb="FF00DC00"/>
      <color rgb="FFCCFFCC"/>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ata1!$B$25"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thermostat" lockText="1" noThreeD="1"/>
</file>

<file path=xl/ctrlProps/ctrlProp9.xml><?xml version="1.0" encoding="utf-8"?>
<formControlPr xmlns="http://schemas.microsoft.com/office/spreadsheetml/2009/9/main" objectType="CheckBox" fmlaLink="DS_ExcelCheckbox_Humidistat" lockText="1" noThreeD="1"/>
</file>

<file path=xl/ctrlProps/ctrlProp10.xml><?xml version="1.0" encoding="utf-8"?>
<formControlPr xmlns="http://schemas.microsoft.com/office/spreadsheetml/2009/9/main" objectType="CheckBox" fmlaLink="DS_ExcelCheckbox_dual_flush" lockText="1" noThreeD="1"/>
</file>

<file path=xl/ctrlProps/ctrlProp11.xml><?xml version="1.0" encoding="utf-8"?>
<formControlPr xmlns="http://schemas.microsoft.com/office/spreadsheetml/2009/9/main" objectType="CheckBox" fmlaLink="DS_ExcelCheckbox_light_pavement" lockText="1" noThreeD="1"/>
</file>

<file path=xl/ctrlProps/ctrlProp12.xml><?xml version="1.0" encoding="utf-8"?>
<formControlPr xmlns="http://schemas.microsoft.com/office/spreadsheetml/2009/9/main" objectType="CheckBox" fmlaLink="DS_ExcelCheckbox_ES_roof_coating" lockText="1" noThreeD="1"/>
</file>

<file path=xl/ctrlProps/ctrlProp13.xml><?xml version="1.0" encoding="utf-8"?>
<formControlPr xmlns="http://schemas.microsoft.com/office/spreadsheetml/2009/9/main" objectType="CheckBox" fmlaLink="DS_ExcelCheckbox_ES_roof_materials" lockText="1" noThreeD="1"/>
</file>

<file path=xl/ctrlProps/ctrlProp14.xml><?xml version="1.0" encoding="utf-8"?>
<formControlPr xmlns="http://schemas.microsoft.com/office/spreadsheetml/2009/9/main" objectType="CheckBox" fmlaLink="DS_ExcelCheckbox_cabinets" lockText="1" noThreeD="1"/>
</file>

<file path=xl/ctrlProps/ctrlProp15.xml><?xml version="1.0" encoding="utf-8"?>
<formControlPr xmlns="http://schemas.microsoft.com/office/spreadsheetml/2009/9/main" objectType="CheckBox" fmlaLink="DS_ExcelCheckbox_flooring" lockText="1" noThreeD="1"/>
</file>

<file path=xl/ctrlProps/ctrlProp16.xml><?xml version="1.0" encoding="utf-8"?>
<formControlPr xmlns="http://schemas.microsoft.com/office/spreadsheetml/2009/9/main" objectType="CheckBox" fmlaLink="DS_ExcelCheckbox_SEER_for_AC" lockText="1" noThreeD="1"/>
</file>

<file path=xl/ctrlProps/ctrlProp17.xml><?xml version="1.0" encoding="utf-8"?>
<formControlPr xmlns="http://schemas.microsoft.com/office/spreadsheetml/2009/9/main" objectType="CheckBox" fmlaLink="DS_ExcelCheckbox_windows" lockText="1" noThreeD="1"/>
</file>

<file path=xl/ctrlProps/ctrlProp18.xml><?xml version="1.0" encoding="utf-8"?>
<formControlPr xmlns="http://schemas.microsoft.com/office/spreadsheetml/2009/9/main" objectType="CheckBox" fmlaLink="DS_ExcelCheckbox_Yards" lockText="1" noThreeD="1"/>
</file>

<file path=xl/ctrlProps/ctrlProp19.xml><?xml version="1.0" encoding="utf-8"?>
<formControlPr xmlns="http://schemas.microsoft.com/office/spreadsheetml/2009/9/main" objectType="CheckBox" fmlaLink="DS_ExcelCheckbox_sensors" lockText="1" noThreeD="1"/>
</file>

<file path=xl/ctrlProps/ctrlProp20.xml><?xml version="1.0" encoding="utf-8"?>
<formControlPr xmlns="http://schemas.microsoft.com/office/spreadsheetml/2009/9/main" objectType="CheckBox" fmlaLink="DS_ExcelCheckbox_Coordination_Exp_3rd_party" lockText="1" noThreeD="1"/>
</file>

<file path=xl/ctrlProps/ctrlProp21.xml><?xml version="1.0" encoding="utf-8"?>
<formControlPr xmlns="http://schemas.microsoft.com/office/spreadsheetml/2009/9/main" objectType="CheckBox" fmlaLink="DS_ExcelCheckbox_ExpApplicant" lockText="1" noThreeD="1"/>
</file>

<file path=xl/ctrlProps/ctrlProp22.xml><?xml version="1.0" encoding="utf-8"?>
<formControlPr xmlns="http://schemas.microsoft.com/office/spreadsheetml/2009/9/main" objectType="CheckBox" fmlaLink="DS_ExcelCheckbox_After_School" lockText="1" noThreeD="1"/>
</file>

<file path=xl/ctrlProps/ctrlProp23.xml><?xml version="1.0" encoding="utf-8"?>
<formControlPr xmlns="http://schemas.microsoft.com/office/spreadsheetml/2009/9/main" objectType="CheckBox" fmlaLink="DS_ExcelCheckbox_Literacy_Family" lockText="1" noThreeD="1"/>
</file>

<file path=xl/ctrlProps/ctrlProp24.xml><?xml version="1.0" encoding="utf-8"?>
<formControlPr xmlns="http://schemas.microsoft.com/office/spreadsheetml/2009/9/main" objectType="CheckBox" fmlaLink="DS_ExcelCheckbox_Employment_Assistance_general" lockText="1" noThreeD="1"/>
</file>

<file path=xl/ctrlProps/ctrlProp25.xml><?xml version="1.0" encoding="utf-8"?>
<formControlPr xmlns="http://schemas.microsoft.com/office/spreadsheetml/2009/9/main" objectType="CheckBox" fmlaLink="DS_ExcelCheckbox_Family_Support_Coordinator" lockText="1" noThreeD="1"/>
</file>

<file path=xl/ctrlProps/ctrlProp26.xml><?xml version="1.0" encoding="utf-8"?>
<formControlPr xmlns="http://schemas.microsoft.com/office/spreadsheetml/2009/9/main" objectType="CheckBox" fmlaLink="DS_ExcelCheckbox_Financial_Counseling" lockText="1" noThreeD="1"/>
</file>

<file path=xl/ctrlProps/ctrlProp27.xml><?xml version="1.0" encoding="utf-8"?>
<formControlPr xmlns="http://schemas.microsoft.com/office/spreadsheetml/2009/9/main" objectType="CheckBox" fmlaLink="DS_ExcelCheckbox_Homeownership_seminar" lockText="1" noThreeD="1"/>
</file>

<file path=xl/ctrlProps/ctrlProp28.xml><?xml version="1.0" encoding="utf-8"?>
<formControlPr xmlns="http://schemas.microsoft.com/office/spreadsheetml/2009/9/main" objectType="CheckBox" fmlaLink="DS_ExcelCheckbox_Literacy_Elderly" lockText="1" noThreeD="1"/>
</file>

<file path=xl/ctrlProps/ctrlProp29.xml><?xml version="1.0" encoding="utf-8"?>
<formControlPr xmlns="http://schemas.microsoft.com/office/spreadsheetml/2009/9/main" objectType="CheckBox" fmlaLink="DS_ExcelCheckbox_Computer_Training" lockText="1" noThreeD="1"/>
</file>

<file path=xl/ctrlProps/ctrlProp30.xml><?xml version="1.0" encoding="utf-8"?>
<formControlPr xmlns="http://schemas.microsoft.com/office/spreadsheetml/2009/9/main" objectType="CheckBox" fmlaLink="DS_ExcelCheckbox_Daily_Activities" lockText="1" noThreeD="1"/>
</file>

<file path=xl/ctrlProps/ctrlProp31.xml><?xml version="1.0" encoding="utf-8"?>
<formControlPr xmlns="http://schemas.microsoft.com/office/spreadsheetml/2009/9/main" objectType="CheckBox" fmlaLink="DS_ExcelCheckbox_Housekeeping" lockText="1" noThreeD="1"/>
</file>

<file path=xl/ctrlProps/ctrlProp32.xml><?xml version="1.0" encoding="utf-8"?>
<formControlPr xmlns="http://schemas.microsoft.com/office/spreadsheetml/2009/9/main" objectType="CheckBox" fmlaLink="DS_ExcelCheckbox_Resident_checkin" lockText="1" noThreeD="1"/>
</file>

<file path=xl/ctrlProps/ctrlProp33.xml><?xml version="1.0" encoding="utf-8"?>
<formControlPr xmlns="http://schemas.microsoft.com/office/spreadsheetml/2009/9/main" objectType="CheckBox" fmlaLink="DS_ExcelCheckBox_RD538" lockText="1" noThreeD="1"/>
</file>

<file path=xl/ctrlProps/ctrlProp34.xml><?xml version="1.0" encoding="utf-8"?>
<formControlPr xmlns="http://schemas.microsoft.com/office/spreadsheetml/2009/9/main" objectType="CheckBox" fmlaLink="DS_ExcelCheckBox_RD515" lockText="1" noThreeD="1"/>
</file>

<file path=xl/ctrlProps/ctrlProp35.xml><?xml version="1.0" encoding="utf-8"?>
<formControlPr xmlns="http://schemas.microsoft.com/office/spreadsheetml/2009/9/main" objectType="CheckBox" fmlaLink="Data1!$B$589" lockText="1" noThreeD="1"/>
</file>

<file path=xl/ctrlProps/ctrlProp36.xml><?xml version="1.0" encoding="utf-8"?>
<formControlPr xmlns="http://schemas.microsoft.com/office/spreadsheetml/2009/9/main" objectType="CheckBox" fmlaLink="Data1!$B$594" lockText="1" noThreeD="1"/>
</file>

<file path=xl/ctrlProps/ctrlProp37.xml><?xml version="1.0" encoding="utf-8"?>
<formControlPr xmlns="http://schemas.microsoft.com/office/spreadsheetml/2009/9/main" objectType="CheckBox" fmlaLink="Data1!$B$595" lockText="1" noThreeD="1"/>
</file>

<file path=xl/ctrlProps/ctrlProp38.xml><?xml version="1.0" encoding="utf-8"?>
<formControlPr xmlns="http://schemas.microsoft.com/office/spreadsheetml/2009/9/main" objectType="CheckBox" fmlaLink="Data1!$B$5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17</xdr:row>
          <xdr:rowOff>114300</xdr:rowOff>
        </xdr:from>
        <xdr:to>
          <xdr:col>4</xdr:col>
          <xdr:colOff>482600</xdr:colOff>
          <xdr:row>18</xdr:row>
          <xdr:rowOff>215900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3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xdr:row>
          <xdr:rowOff>374650</xdr:rowOff>
        </xdr:from>
        <xdr:to>
          <xdr:col>4</xdr:col>
          <xdr:colOff>482600</xdr:colOff>
          <xdr:row>19</xdr:row>
          <xdr:rowOff>222250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3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xdr:row>
          <xdr:rowOff>374650</xdr:rowOff>
        </xdr:from>
        <xdr:to>
          <xdr:col>4</xdr:col>
          <xdr:colOff>482600</xdr:colOff>
          <xdr:row>20</xdr:row>
          <xdr:rowOff>222250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3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533400</xdr:rowOff>
        </xdr:from>
        <xdr:to>
          <xdr:col>4</xdr:col>
          <xdr:colOff>482600</xdr:colOff>
          <xdr:row>21</xdr:row>
          <xdr:rowOff>215900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3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203200</xdr:rowOff>
        </xdr:from>
        <xdr:to>
          <xdr:col>4</xdr:col>
          <xdr:colOff>482600</xdr:colOff>
          <xdr:row>22</xdr:row>
          <xdr:rowOff>215900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3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114300</xdr:rowOff>
        </xdr:from>
        <xdr:to>
          <xdr:col>4</xdr:col>
          <xdr:colOff>482600</xdr:colOff>
          <xdr:row>13</xdr:row>
          <xdr:rowOff>222250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3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762000</xdr:rowOff>
        </xdr:from>
        <xdr:to>
          <xdr:col>4</xdr:col>
          <xdr:colOff>482600</xdr:colOff>
          <xdr:row>14</xdr:row>
          <xdr:rowOff>190500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3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5</xdr:col>
          <xdr:colOff>69850</xdr:colOff>
          <xdr:row>14</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222250</xdr:rowOff>
        </xdr:from>
        <xdr:to>
          <xdr:col>5</xdr:col>
          <xdr:colOff>69850</xdr:colOff>
          <xdr:row>15</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222250</xdr:rowOff>
        </xdr:from>
        <xdr:to>
          <xdr:col>5</xdr:col>
          <xdr:colOff>69850</xdr:colOff>
          <xdr:row>16</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69850</xdr:colOff>
          <xdr:row>16</xdr:row>
          <xdr:rowOff>222250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419100</xdr:rowOff>
        </xdr:from>
        <xdr:to>
          <xdr:col>5</xdr:col>
          <xdr:colOff>69850</xdr:colOff>
          <xdr:row>17</xdr:row>
          <xdr:rowOff>203200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222250</xdr:rowOff>
        </xdr:from>
        <xdr:to>
          <xdr:col>5</xdr:col>
          <xdr:colOff>69850</xdr:colOff>
          <xdr:row>18</xdr:row>
          <xdr:rowOff>222250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431800</xdr:rowOff>
        </xdr:from>
        <xdr:to>
          <xdr:col>5</xdr:col>
          <xdr:colOff>69850</xdr:colOff>
          <xdr:row>19</xdr:row>
          <xdr:rowOff>215900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660400</xdr:rowOff>
        </xdr:from>
        <xdr:to>
          <xdr:col>5</xdr:col>
          <xdr:colOff>69850</xdr:colOff>
          <xdr:row>20</xdr:row>
          <xdr:rowOff>222250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603250</xdr:rowOff>
        </xdr:from>
        <xdr:to>
          <xdr:col>5</xdr:col>
          <xdr:colOff>69850</xdr:colOff>
          <xdr:row>21</xdr:row>
          <xdr:rowOff>215900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5</xdr:col>
          <xdr:colOff>69850</xdr:colOff>
          <xdr:row>23</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5</xdr:col>
          <xdr:colOff>69850</xdr:colOff>
          <xdr:row>28</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222250</xdr:rowOff>
        </xdr:from>
        <xdr:to>
          <xdr:col>5</xdr:col>
          <xdr:colOff>69850</xdr:colOff>
          <xdr:row>28</xdr:row>
          <xdr:rowOff>222250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5</xdr:row>
          <xdr:rowOff>107950</xdr:rowOff>
        </xdr:from>
        <xdr:to>
          <xdr:col>3</xdr:col>
          <xdr:colOff>450850</xdr:colOff>
          <xdr:row>6</xdr:row>
          <xdr:rowOff>215900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xdr:row>
          <xdr:rowOff>1054100</xdr:rowOff>
        </xdr:from>
        <xdr:to>
          <xdr:col>3</xdr:col>
          <xdr:colOff>450850</xdr:colOff>
          <xdr:row>7</xdr:row>
          <xdr:rowOff>203200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3</xdr:row>
          <xdr:rowOff>107950</xdr:rowOff>
        </xdr:from>
        <xdr:to>
          <xdr:col>4</xdr:col>
          <xdr:colOff>177800</xdr:colOff>
          <xdr:row>4</xdr:row>
          <xdr:rowOff>215900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xdr:row>
          <xdr:rowOff>215900</xdr:rowOff>
        </xdr:from>
        <xdr:to>
          <xdr:col>4</xdr:col>
          <xdr:colOff>177800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215900</xdr:rowOff>
        </xdr:from>
        <xdr:to>
          <xdr:col>4</xdr:col>
          <xdr:colOff>177800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215900</xdr:rowOff>
        </xdr:from>
        <xdr:to>
          <xdr:col>4</xdr:col>
          <xdr:colOff>177800</xdr:colOff>
          <xdr:row>8</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215900</xdr:rowOff>
        </xdr:from>
        <xdr:to>
          <xdr:col>4</xdr:col>
          <xdr:colOff>177800</xdr:colOff>
          <xdr:row>9</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xdr:row>
          <xdr:rowOff>215900</xdr:rowOff>
        </xdr:from>
        <xdr:to>
          <xdr:col>4</xdr:col>
          <xdr:colOff>177800</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374650</xdr:rowOff>
        </xdr:from>
        <xdr:to>
          <xdr:col>4</xdr:col>
          <xdr:colOff>165100</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215900</xdr:rowOff>
        </xdr:from>
        <xdr:to>
          <xdr:col>4</xdr:col>
          <xdr:colOff>165100</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215900</xdr:rowOff>
        </xdr:from>
        <xdr:to>
          <xdr:col>4</xdr:col>
          <xdr:colOff>165100</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203200</xdr:rowOff>
        </xdr:from>
        <xdr:to>
          <xdr:col>4</xdr:col>
          <xdr:colOff>165100</xdr:colOff>
          <xdr:row>19</xdr:row>
          <xdr:rowOff>215900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203200</xdr:rowOff>
        </xdr:from>
        <xdr:to>
          <xdr:col>4</xdr:col>
          <xdr:colOff>165100</xdr:colOff>
          <xdr:row>20</xdr:row>
          <xdr:rowOff>215900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277</xdr:row>
          <xdr:rowOff>0</xdr:rowOff>
        </xdr:from>
        <xdr:to>
          <xdr:col>4</xdr:col>
          <xdr:colOff>660400</xdr:colOff>
          <xdr:row>280</xdr:row>
          <xdr:rowOff>50800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276</xdr:row>
          <xdr:rowOff>0</xdr:rowOff>
        </xdr:from>
        <xdr:to>
          <xdr:col>4</xdr:col>
          <xdr:colOff>660400</xdr:colOff>
          <xdr:row>280</xdr:row>
          <xdr:rowOff>50800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39</xdr:row>
          <xdr:rowOff>546100</xdr:rowOff>
        </xdr:from>
        <xdr:to>
          <xdr:col>4</xdr:col>
          <xdr:colOff>101600</xdr:colOff>
          <xdr:row>40</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546100</xdr:rowOff>
        </xdr:from>
        <xdr:to>
          <xdr:col>4</xdr:col>
          <xdr:colOff>101600</xdr:colOff>
          <xdr:row>40</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40</xdr:row>
          <xdr:rowOff>419100</xdr:rowOff>
        </xdr:from>
        <xdr:to>
          <xdr:col>4</xdr:col>
          <xdr:colOff>101600</xdr:colOff>
          <xdr:row>41</xdr:row>
          <xdr:rowOff>203200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41</xdr:row>
          <xdr:rowOff>596900</xdr:rowOff>
        </xdr:from>
        <xdr:to>
          <xdr:col>4</xdr:col>
          <xdr:colOff>101600</xdr:colOff>
          <xdr:row>42</xdr:row>
          <xdr:rowOff>184150</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pport.office.com/en-us/f1/topic/aa1f3067-05c9-44e4-b141-f75bb9bb89bd?showContactUsNav=False&amp;ns=EXCEL&amp;version=9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911"/>
  <sheetViews>
    <sheetView topLeftCell="A512" zoomScaleNormal="100" workbookViewId="0">
      <pane xSplit="1" topLeftCell="B1" activePane="topRight" state="frozen"/>
      <selection activeCell="B534" sqref="B534"/>
      <selection pane="topRight" activeCell="B534" sqref="B534"/>
    </sheetView>
  </sheetViews>
  <sheetFormatPr defaultRowHeight="14.5"/>
  <cols>
    <col min="1" max="1" width="74" customWidth="1"/>
    <col min="2" max="3" width="9.54296875" customWidth="1"/>
    <col min="4" max="4" width="11.1796875" customWidth="1"/>
    <col min="5" max="5" width="19.81640625" customWidth="1"/>
    <col min="6" max="6" width="49" customWidth="1"/>
    <col min="7" max="24" width="13.81640625" customWidth="1"/>
  </cols>
  <sheetData>
    <row r="1" spans="1:9">
      <c r="A1" s="12" t="s">
        <v>0</v>
      </c>
      <c r="B1" s="12"/>
      <c r="C1" s="12"/>
      <c r="D1" s="12"/>
      <c r="E1" s="12"/>
      <c r="F1" s="12" t="s">
        <v>1</v>
      </c>
      <c r="I1" s="402" t="s">
        <v>1859</v>
      </c>
    </row>
    <row r="2" spans="1:9">
      <c r="A2" s="2"/>
      <c r="B2" s="2"/>
      <c r="C2" s="2"/>
      <c r="D2" s="2"/>
      <c r="E2" s="2"/>
      <c r="I2" t="s">
        <v>1860</v>
      </c>
    </row>
    <row r="3" spans="1:9">
      <c r="A3" s="9" t="s">
        <v>1672</v>
      </c>
      <c r="B3" s="1758" t="s">
        <v>1660</v>
      </c>
      <c r="C3" s="1758"/>
      <c r="D3" s="1758"/>
      <c r="E3" s="1758"/>
      <c r="F3" s="1758"/>
      <c r="I3" s="460" t="s">
        <v>1662</v>
      </c>
    </row>
    <row r="4" spans="1:9" ht="18" customHeight="1">
      <c r="A4" s="2002" t="s">
        <v>2089</v>
      </c>
      <c r="B4" s="2002"/>
      <c r="C4" s="2002"/>
      <c r="D4" s="2002"/>
      <c r="E4" s="2002"/>
      <c r="F4" s="2002"/>
      <c r="I4" t="s">
        <v>1663</v>
      </c>
    </row>
    <row r="5" spans="1:9">
      <c r="B5" t="s">
        <v>2089</v>
      </c>
      <c r="I5" t="s">
        <v>1664</v>
      </c>
    </row>
    <row r="6" spans="1:9">
      <c r="A6" s="9" t="s">
        <v>1661</v>
      </c>
      <c r="I6" t="s">
        <v>1670</v>
      </c>
    </row>
    <row r="7" spans="1:9" ht="18" customHeight="1">
      <c r="A7" s="581" t="s">
        <v>2088</v>
      </c>
      <c r="B7" s="2041" t="s">
        <v>1812</v>
      </c>
      <c r="C7" s="2042"/>
      <c r="D7" s="2042"/>
      <c r="E7" s="2042"/>
      <c r="F7" s="381" t="str">
        <f>DS_TabLeftFooter</f>
        <v>RFA 2023-102</v>
      </c>
      <c r="I7" t="s">
        <v>1671</v>
      </c>
    </row>
    <row r="8" spans="1:9">
      <c r="A8" t="s">
        <v>2131</v>
      </c>
      <c r="E8" s="619">
        <v>44901</v>
      </c>
      <c r="I8" t="s">
        <v>1861</v>
      </c>
    </row>
    <row r="9" spans="1:9">
      <c r="A9" t="s">
        <v>948</v>
      </c>
      <c r="E9" s="619">
        <v>45006</v>
      </c>
      <c r="I9" t="s">
        <v>1665</v>
      </c>
    </row>
    <row r="10" spans="1:9">
      <c r="I10" t="s">
        <v>1862</v>
      </c>
    </row>
    <row r="11" spans="1:9" ht="18" customHeight="1">
      <c r="A11" s="1139" t="s">
        <v>3</v>
      </c>
      <c r="B11" s="1140" t="s">
        <v>4</v>
      </c>
      <c r="C11" s="1140" t="s">
        <v>5</v>
      </c>
      <c r="D11" s="1140" t="s">
        <v>6</v>
      </c>
      <c r="E11" s="986" t="s">
        <v>941</v>
      </c>
      <c r="F11" s="111" t="s">
        <v>2</v>
      </c>
      <c r="I11" t="s">
        <v>1666</v>
      </c>
    </row>
    <row r="12" spans="1:9">
      <c r="A12" s="104" t="s">
        <v>7</v>
      </c>
      <c r="B12" s="102"/>
      <c r="C12" s="105" t="str">
        <f>IF(B12&lt;&gt;1,"",SUM(B$12:B12))</f>
        <v/>
      </c>
      <c r="D12" s="102">
        <v>1</v>
      </c>
      <c r="F12" s="112" t="str">
        <f>IF(COUNTA($A$12:$A12)&lt;=MAX(DS_Demo_Sequence)=TRUE,LOOKUP(COUNTA($A$12:$A12),DS_Demo_Sequence,DS_Demo_DataNames),"")</f>
        <v>Persons with Special Needs</v>
      </c>
      <c r="I12" t="s">
        <v>1863</v>
      </c>
    </row>
    <row r="13" spans="1:9">
      <c r="A13" s="106" t="s">
        <v>8</v>
      </c>
      <c r="B13" s="103"/>
      <c r="C13" s="105" t="str">
        <f>IF(B13&lt;&gt;1,"",SUM(B$12:B13))</f>
        <v/>
      </c>
      <c r="D13" s="103">
        <v>2</v>
      </c>
      <c r="F13" s="112" t="str">
        <f>IF(COUNTA($A$12:$A13)&lt;=MAX(DS_Demo_Sequence)=TRUE,LOOKUP(COUNTA($A$12:$A13),DS_Demo_Sequence,DS_Demo_DataNames),"")</f>
        <v/>
      </c>
      <c r="I13" t="s">
        <v>1864</v>
      </c>
    </row>
    <row r="14" spans="1:9">
      <c r="A14" s="106" t="s">
        <v>9</v>
      </c>
      <c r="B14" s="103"/>
      <c r="C14" s="105" t="str">
        <f>IF(B14&lt;&gt;1,"",SUM(B$12:B14))</f>
        <v/>
      </c>
      <c r="D14" s="103">
        <v>3</v>
      </c>
      <c r="F14" s="112" t="str">
        <f>IF(COUNTA($A$12:$A14)&lt;=MAX(DS_Demo_Sequence)=TRUE,LOOKUP(COUNTA($A$12:$A14),DS_Demo_Sequence,DS_Demo_DataNames),"")</f>
        <v/>
      </c>
      <c r="I14" t="s">
        <v>1865</v>
      </c>
    </row>
    <row r="15" spans="1:9">
      <c r="A15" s="106" t="s">
        <v>10</v>
      </c>
      <c r="B15" s="103"/>
      <c r="C15" s="105" t="str">
        <f>IF(B15&lt;&gt;1,"",SUM(B$12:B15))</f>
        <v/>
      </c>
      <c r="D15" s="103">
        <v>4</v>
      </c>
      <c r="F15" s="112" t="str">
        <f>IF(COUNTA($A$12:$A15)&lt;=MAX(DS_Demo_Sequence)=TRUE,LOOKUP(COUNTA($A$12:$A15),DS_Demo_Sequence,DS_Demo_DataNames),"")</f>
        <v/>
      </c>
      <c r="I15" t="s">
        <v>1866</v>
      </c>
    </row>
    <row r="16" spans="1:9">
      <c r="A16" s="106" t="s">
        <v>858</v>
      </c>
      <c r="B16" s="103"/>
      <c r="C16" s="105" t="str">
        <f>IF(B16&lt;&gt;1,"",SUM(B$12:B16))</f>
        <v/>
      </c>
      <c r="D16" s="103">
        <v>5</v>
      </c>
      <c r="F16" s="112" t="str">
        <f>IF(COUNTA($A$12:$A16)&lt;=MAX(DS_Demo_Sequence)=TRUE,LOOKUP(COUNTA($A$12:$A16),DS_Demo_Sequence,DS_Demo_DataNames),"")</f>
        <v/>
      </c>
      <c r="I16" t="s">
        <v>1867</v>
      </c>
    </row>
    <row r="17" spans="1:9">
      <c r="A17" s="106" t="s">
        <v>11</v>
      </c>
      <c r="B17" s="103"/>
      <c r="C17" s="105" t="str">
        <f>IF(B17&lt;&gt;1,"",SUM(B$12:B17))</f>
        <v/>
      </c>
      <c r="D17" s="103">
        <v>6</v>
      </c>
      <c r="F17" s="112" t="str">
        <f>IF(COUNTA($A$12:$A17)&lt;=MAX(DS_Demo_Sequence)=TRUE,LOOKUP(COUNTA($A$12:$A17),DS_Demo_Sequence,DS_Demo_DataNames),"")</f>
        <v/>
      </c>
      <c r="I17" t="s">
        <v>1868</v>
      </c>
    </row>
    <row r="18" spans="1:9">
      <c r="A18" s="106" t="s">
        <v>2019</v>
      </c>
      <c r="B18" s="103"/>
      <c r="C18" s="105" t="str">
        <f>IF(B18&lt;&gt;1,"",SUM(B$12:B18))</f>
        <v/>
      </c>
      <c r="D18" s="103">
        <v>7</v>
      </c>
      <c r="F18" s="112" t="str">
        <f>IF(COUNTA($A$12:$A18)&lt;=MAX(DS_Demo_Sequence)=TRUE,LOOKUP(COUNTA($A$12:$A18),DS_Demo_Sequence,DS_Demo_DataNames),"")</f>
        <v/>
      </c>
      <c r="I18" t="s">
        <v>1869</v>
      </c>
    </row>
    <row r="19" spans="1:9">
      <c r="A19" s="106" t="s">
        <v>12</v>
      </c>
      <c r="B19" s="103"/>
      <c r="C19" s="105" t="str">
        <f>IF(B19&lt;&gt;1,"",SUM(B$12:B19))</f>
        <v/>
      </c>
      <c r="D19" s="103">
        <v>8</v>
      </c>
      <c r="F19" s="112" t="str">
        <f>IF(COUNTA($A$12:$A19)&lt;=MAX(DS_Demo_Sequence)=TRUE,LOOKUP(COUNTA($A$12:$A19),DS_Demo_Sequence,DS_Demo_DataNames),"")</f>
        <v/>
      </c>
      <c r="I19" t="s">
        <v>1870</v>
      </c>
    </row>
    <row r="20" spans="1:9">
      <c r="A20" s="106" t="s">
        <v>13</v>
      </c>
      <c r="B20" s="103">
        <v>1</v>
      </c>
      <c r="C20" s="105">
        <f>IF(B20&lt;&gt;1,"",SUM(B$12:B20))</f>
        <v>1</v>
      </c>
      <c r="D20" s="103">
        <v>9</v>
      </c>
      <c r="F20" s="112" t="str">
        <f>IF(COUNTA($A$12:$A20)&lt;=MAX(DS_Demo_Sequence)=TRUE,LOOKUP(COUNTA($A$12:$A20),DS_Demo_Sequence,DS_Demo_DataNames),"")</f>
        <v/>
      </c>
      <c r="I20" t="s">
        <v>1871</v>
      </c>
    </row>
    <row r="21" spans="1:9">
      <c r="A21" s="106" t="s">
        <v>14</v>
      </c>
      <c r="B21" s="103"/>
      <c r="C21" s="105" t="str">
        <f>IF(B21&lt;&gt;1,"",SUM(B$12:B21))</f>
        <v/>
      </c>
      <c r="D21" s="103">
        <v>10</v>
      </c>
      <c r="F21" s="112" t="str">
        <f>IF(COUNTA($A$12:$A21)&lt;=MAX(DS_Demo_Sequence)=TRUE,LOOKUP(COUNTA($A$12:$A21),DS_Demo_Sequence,DS_Demo_DataNames),"")</f>
        <v/>
      </c>
      <c r="I21" t="s">
        <v>1872</v>
      </c>
    </row>
    <row r="22" spans="1:9">
      <c r="I22" t="s">
        <v>1873</v>
      </c>
    </row>
    <row r="23" spans="1:9">
      <c r="A23" s="1139" t="s">
        <v>1524</v>
      </c>
      <c r="E23" s="986" t="s">
        <v>1523</v>
      </c>
      <c r="I23" t="s">
        <v>1874</v>
      </c>
    </row>
    <row r="24" spans="1:9">
      <c r="A24" s="792" t="s">
        <v>1526</v>
      </c>
      <c r="I24" t="s">
        <v>1875</v>
      </c>
    </row>
    <row r="25" spans="1:9">
      <c r="A25" s="1535" t="s">
        <v>1762</v>
      </c>
      <c r="B25" s="1309" t="b">
        <v>0</v>
      </c>
      <c r="I25" t="s">
        <v>1876</v>
      </c>
    </row>
    <row r="26" spans="1:9">
      <c r="A26" s="1535" t="s">
        <v>1763</v>
      </c>
      <c r="B26" s="1306" t="b">
        <v>0</v>
      </c>
      <c r="I26" t="s">
        <v>1877</v>
      </c>
    </row>
    <row r="27" spans="1:9">
      <c r="A27" s="792" t="s">
        <v>1525</v>
      </c>
      <c r="I27" t="s">
        <v>1878</v>
      </c>
    </row>
    <row r="28" spans="1:9">
      <c r="A28" s="1535" t="s">
        <v>1764</v>
      </c>
      <c r="B28" s="1306" t="b">
        <v>0</v>
      </c>
      <c r="I28" t="s">
        <v>1879</v>
      </c>
    </row>
    <row r="29" spans="1:9">
      <c r="A29" s="1535" t="s">
        <v>1765</v>
      </c>
      <c r="B29" s="1306" t="b">
        <v>0</v>
      </c>
      <c r="I29" t="s">
        <v>1880</v>
      </c>
    </row>
    <row r="30" spans="1:9">
      <c r="A30" s="1535" t="s">
        <v>1766</v>
      </c>
      <c r="B30" s="1306" t="b">
        <v>0</v>
      </c>
      <c r="I30" t="s">
        <v>1881</v>
      </c>
    </row>
    <row r="31" spans="1:9">
      <c r="A31" s="1535" t="s">
        <v>1767</v>
      </c>
      <c r="B31" s="1306" t="b">
        <v>0</v>
      </c>
      <c r="I31" t="s">
        <v>1882</v>
      </c>
    </row>
    <row r="32" spans="1:9">
      <c r="A32" s="1535" t="s">
        <v>1768</v>
      </c>
      <c r="B32" s="1306" t="b">
        <v>0</v>
      </c>
      <c r="I32" t="s">
        <v>1883</v>
      </c>
    </row>
    <row r="33" spans="1:9">
      <c r="I33" t="s">
        <v>1884</v>
      </c>
    </row>
    <row r="34" spans="1:9" ht="18" customHeight="1">
      <c r="A34" s="1139" t="s">
        <v>939</v>
      </c>
      <c r="B34" s="1140" t="s">
        <v>4</v>
      </c>
      <c r="C34" s="1140" t="s">
        <v>5</v>
      </c>
      <c r="D34" s="1140" t="s">
        <v>6</v>
      </c>
      <c r="E34" s="986" t="s">
        <v>942</v>
      </c>
      <c r="F34" s="111" t="s">
        <v>2</v>
      </c>
      <c r="I34" t="s">
        <v>1667</v>
      </c>
    </row>
    <row r="35" spans="1:9">
      <c r="A35" s="104" t="s">
        <v>947</v>
      </c>
      <c r="B35" s="102">
        <v>1</v>
      </c>
      <c r="C35" s="105">
        <f>IF(B35&lt;&gt;1,"",SUM(B$35:B35))</f>
        <v>1</v>
      </c>
      <c r="D35" s="102">
        <v>1</v>
      </c>
      <c r="F35" s="112" t="str">
        <f>IF(COUNTA($A35:$A$35)&lt;=MAX(DS_DevExpProgs_Sequence)=TRUE,LOOKUP(COUNTA($A35:$A$35),DS_DevExpProgs_Sequence,DS_DevExpProgs_DataNames),"")</f>
        <v>Housing Credits</v>
      </c>
      <c r="I35" t="s">
        <v>1668</v>
      </c>
    </row>
    <row r="36" spans="1:9">
      <c r="A36" s="104" t="s">
        <v>661</v>
      </c>
      <c r="B36" s="102">
        <v>1</v>
      </c>
      <c r="C36" s="105">
        <f>IF(B36&lt;&gt;1,"",SUM(B$35:B36))</f>
        <v>2</v>
      </c>
      <c r="D36" s="102">
        <v>2</v>
      </c>
      <c r="F36" s="112" t="str">
        <f>IF(COUNTA($A$35:$A36)&lt;=MAX(DS_DevExpProgs_Sequence)=TRUE,LOOKUP(COUNTA($A$35:$A36),DS_DevExpProgs_Sequence,DS_DevExpProgs_DataNames),"")</f>
        <v>Tax-Exempt Bonds</v>
      </c>
      <c r="I36" t="s">
        <v>1669</v>
      </c>
    </row>
    <row r="37" spans="1:9">
      <c r="A37" s="104" t="s">
        <v>466</v>
      </c>
      <c r="B37" s="102">
        <v>1</v>
      </c>
      <c r="C37" s="105">
        <f>IF(B37&lt;&gt;1,"",SUM(B$35:B37))</f>
        <v>3</v>
      </c>
      <c r="D37" s="102">
        <v>3</v>
      </c>
      <c r="F37" s="112" t="str">
        <f>IF(COUNTA($A$35:$A37)&lt;=MAX(DS_DevExpProgs_Sequence)=TRUE,LOOKUP(COUNTA($A$35:$A37),DS_DevExpProgs_Sequence,DS_DevExpProgs_DataNames),"")</f>
        <v>HOME</v>
      </c>
    </row>
    <row r="38" spans="1:9">
      <c r="A38" s="104" t="s">
        <v>922</v>
      </c>
      <c r="B38" s="102">
        <v>1</v>
      </c>
      <c r="C38" s="105">
        <f>IF(B38&lt;&gt;1,"",SUM(B$35:B38))</f>
        <v>4</v>
      </c>
      <c r="D38" s="102">
        <v>4</v>
      </c>
      <c r="F38" s="112" t="str">
        <f>IF(COUNTA($A$35:$A38)&lt;=MAX(DS_DevExpProgs_Sequence)=TRUE,LOOKUP(COUNTA($A$35:$A38),DS_DevExpProgs_Sequence,DS_DevExpProgs_DataNames),"")</f>
        <v>CDBG-DR</v>
      </c>
    </row>
    <row r="39" spans="1:9">
      <c r="A39" s="104" t="s">
        <v>619</v>
      </c>
      <c r="B39" s="102">
        <v>1</v>
      </c>
      <c r="C39" s="105">
        <f>IF(B39&lt;&gt;1,"",SUM(B$35:B39))</f>
        <v>5</v>
      </c>
      <c r="D39" s="102">
        <v>5</v>
      </c>
      <c r="F39" s="112" t="str">
        <f>IF(COUNTA($A$35:$A39)&lt;=MAX(DS_DevExpProgs_Sequence)=TRUE,LOOKUP(COUNTA($A$35:$A39),DS_DevExpProgs_Sequence,DS_DevExpProgs_DataNames),"")</f>
        <v>NHTF</v>
      </c>
    </row>
    <row r="40" spans="1:9">
      <c r="A40" s="104" t="s">
        <v>937</v>
      </c>
      <c r="B40" s="102">
        <v>1</v>
      </c>
      <c r="C40" s="105">
        <f>IF(B40&lt;&gt;1,"",SUM(B$35:B40))</f>
        <v>6</v>
      </c>
      <c r="D40" s="102">
        <v>6</v>
      </c>
      <c r="F40" s="112" t="str">
        <f>IF(COUNTA($A$35:$A40)&lt;=MAX(DS_DevExpProgs_Sequence)=TRUE,LOOKUP(COUNTA($A$35:$A40),DS_DevExpProgs_Sequence,DS_DevExpProgs_DataNames),"")</f>
        <v>HUD First Mortgage</v>
      </c>
    </row>
    <row r="41" spans="1:9">
      <c r="A41" s="104" t="s">
        <v>925</v>
      </c>
      <c r="B41" s="102"/>
      <c r="C41" s="105" t="str">
        <f>IF(B41&lt;&gt;1,"",SUM(B$35:B41))</f>
        <v/>
      </c>
      <c r="D41" s="102">
        <v>7</v>
      </c>
      <c r="F41" s="112" t="str">
        <f>IF(COUNTA($A$35:$A41)&lt;=MAX(DS_DevExpProgs_Sequence)=TRUE,LOOKUP(COUNTA($A$35:$A41),DS_DevExpProgs_Sequence,DS_DevExpProgs_DataNames),"")</f>
        <v>USDA RD 514/516</v>
      </c>
    </row>
    <row r="42" spans="1:9">
      <c r="A42" s="104" t="s">
        <v>936</v>
      </c>
      <c r="B42" s="102"/>
      <c r="C42" s="105" t="str">
        <f>IF(B42&lt;&gt;1,"",SUM(B$35:B42))</f>
        <v/>
      </c>
      <c r="D42" s="102">
        <v>8</v>
      </c>
      <c r="F42" s="112" t="str">
        <f>IF(COUNTA($A$35:$A42)&lt;=MAX(DS_DevExpProgs_Sequence)=TRUE,LOOKUP(COUNTA($A$35:$A42),DS_DevExpProgs_Sequence,DS_DevExpProgs_DataNames),"")</f>
        <v>USDA RD 515</v>
      </c>
    </row>
    <row r="43" spans="1:9">
      <c r="A43" s="104" t="s">
        <v>927</v>
      </c>
      <c r="B43" s="102"/>
      <c r="C43" s="105" t="str">
        <f>IF(B43&lt;&gt;1,"",SUM(B$35:B43))</f>
        <v/>
      </c>
      <c r="D43" s="102">
        <v>9</v>
      </c>
      <c r="F43" s="112" t="str">
        <f>IF(COUNTA($A$35:$A43)&lt;=MAX(DS_DevExpProgs_Sequence)=TRUE,LOOKUP(COUNTA($A$35:$A43),DS_DevExpProgs_Sequence,DS_DevExpProgs_DataNames),"")</f>
        <v>USDA RD 538</v>
      </c>
    </row>
    <row r="44" spans="1:9">
      <c r="A44" s="104" t="s">
        <v>928</v>
      </c>
      <c r="B44" s="102"/>
      <c r="C44" s="105" t="str">
        <f>IF(B44&lt;&gt;1,"",SUM(B$35:B44))</f>
        <v/>
      </c>
      <c r="D44" s="102">
        <v>10</v>
      </c>
      <c r="F44" s="112" t="str">
        <f>IF(COUNTA($A$35:$A44)&lt;=MAX(DS_DevExpProgs_Sequence)=TRUE,LOOKUP(COUNTA($A$35:$A44),DS_DevExpProgs_Sequence,DS_DevExpProgs_DataNames),"")</f>
        <v>Grant</v>
      </c>
    </row>
    <row r="45" spans="1:9">
      <c r="A45" s="104" t="s">
        <v>921</v>
      </c>
      <c r="B45" s="102"/>
      <c r="C45" s="105" t="str">
        <f>IF(B45&lt;&gt;1,"",SUM(B$35:B45))</f>
        <v/>
      </c>
      <c r="D45" s="102">
        <v>11</v>
      </c>
      <c r="F45" s="112" t="str">
        <f>IF(COUNTA($A$35:$A45)&lt;=MAX(DS_DevExpProgs_Sequence)=TRUE,LOOKUP(COUNTA($A$35:$A45),DS_DevExpProgs_Sequence,DS_DevExpProgs_DataNames),"")</f>
        <v>RRLP</v>
      </c>
    </row>
    <row r="46" spans="1:9">
      <c r="A46" s="104" t="s">
        <v>656</v>
      </c>
      <c r="B46" s="102">
        <v>1</v>
      </c>
      <c r="C46" s="105">
        <f>IF(B46&lt;&gt;1,"",SUM(B$35:B46))</f>
        <v>7</v>
      </c>
      <c r="D46" s="102">
        <v>12</v>
      </c>
      <c r="F46" s="112" t="str">
        <f>IF(COUNTA($A$35:$A46)&lt;=MAX(DS_DevExpProgs_Sequence)=TRUE,LOOKUP(COUNTA($A$35:$A46),DS_DevExpProgs_Sequence,DS_DevExpProgs_DataNames),"")</f>
        <v>SAIL</v>
      </c>
    </row>
    <row r="47" spans="1:9">
      <c r="A47" s="104" t="s">
        <v>655</v>
      </c>
      <c r="B47" s="102">
        <v>1</v>
      </c>
      <c r="C47" s="105">
        <f>IF(B47&lt;&gt;1,"",SUM(B$35:B47))</f>
        <v>8</v>
      </c>
      <c r="D47" s="102">
        <v>13</v>
      </c>
      <c r="F47" s="112" t="str">
        <f>IF(COUNTA($A$35:$A47)&lt;=MAX(DS_DevExpProgs_Sequence)=TRUE,LOOKUP(COUNTA($A$35:$A47),DS_DevExpProgs_Sequence,DS_DevExpProgs_DataNames),"")</f>
        <v>Workforce</v>
      </c>
    </row>
    <row r="48" spans="1:9">
      <c r="A48" s="104" t="s">
        <v>654</v>
      </c>
      <c r="B48" s="102">
        <v>1</v>
      </c>
      <c r="C48" s="105">
        <f>IF(B48&lt;&gt;1,"",SUM(B$35:B48))</f>
        <v>9</v>
      </c>
      <c r="D48" s="102">
        <v>14</v>
      </c>
      <c r="F48" s="112" t="str">
        <f>IF(COUNTA($A$35:$A48)&lt;=MAX(DS_DevExpProgs_Sequence)=TRUE,LOOKUP(COUNTA($A$35:$A48),DS_DevExpProgs_Sequence,DS_DevExpProgs_DataNames),"")</f>
        <v>Other</v>
      </c>
    </row>
    <row r="49" spans="1:6">
      <c r="A49" s="104" t="s">
        <v>923</v>
      </c>
      <c r="B49" s="102"/>
      <c r="C49" s="105" t="str">
        <f>IF(B49&lt;&gt;1,"",SUM(B$35:B49))</f>
        <v/>
      </c>
      <c r="D49" s="102">
        <v>15</v>
      </c>
      <c r="F49" s="112" t="str">
        <f>IF(COUNTA($A$35:$A49)&lt;=MAX(DS_DevExpProgs_Sequence)=TRUE,LOOKUP(COUNTA($A$35:$A49),DS_DevExpProgs_Sequence,DS_DevExpProgs_DataNames),"")</f>
        <v/>
      </c>
    </row>
    <row r="50" spans="1:6">
      <c r="A50" s="104" t="s">
        <v>924</v>
      </c>
      <c r="B50" s="102"/>
      <c r="C50" s="105" t="str">
        <f>IF(B50&lt;&gt;1,"",SUM(B$35:B50))</f>
        <v/>
      </c>
      <c r="D50" s="102">
        <v>16</v>
      </c>
      <c r="F50" s="112" t="str">
        <f>IF(COUNTA($A$35:$A50)&lt;=MAX(DS_DevExpProgs_Sequence)=TRUE,LOOKUP(COUNTA($A$35:$A50),DS_DevExpProgs_Sequence,DS_DevExpProgs_DataNames),"")</f>
        <v/>
      </c>
    </row>
    <row r="51" spans="1:6">
      <c r="A51" s="104" t="s">
        <v>421</v>
      </c>
      <c r="B51" s="102"/>
      <c r="C51" s="105" t="str">
        <f>IF(B51&lt;&gt;1,"",SUM(B$35:B51))</f>
        <v/>
      </c>
      <c r="D51" s="102">
        <v>17</v>
      </c>
      <c r="F51" s="112" t="str">
        <f>IF(COUNTA($A$35:$A51)&lt;=MAX(DS_DevExpProgs_Sequence)=TRUE,LOOKUP(COUNTA($A$35:$A51),DS_DevExpProgs_Sequence,DS_DevExpProgs_DataNames),"")</f>
        <v/>
      </c>
    </row>
    <row r="52" spans="1:6">
      <c r="A52" s="104" t="s">
        <v>618</v>
      </c>
      <c r="B52" s="102"/>
      <c r="C52" s="105" t="str">
        <f>IF(B52&lt;&gt;1,"",SUM(B$35:B52))</f>
        <v/>
      </c>
      <c r="D52" s="102">
        <v>18</v>
      </c>
      <c r="F52" s="112" t="str">
        <f>IF(COUNTA($A$35:$A52)&lt;=MAX(DS_DevExpProgs_Sequence)=TRUE,LOOKUP(COUNTA($A$35:$A52),DS_DevExpProgs_Sequence,DS_DevExpProgs_DataNames),"")</f>
        <v/>
      </c>
    </row>
    <row r="53" spans="1:6">
      <c r="A53" s="104" t="s">
        <v>926</v>
      </c>
      <c r="B53" s="102"/>
      <c r="C53" s="105" t="str">
        <f>IF(B53&lt;&gt;1,"",SUM(B$35:B53))</f>
        <v/>
      </c>
      <c r="D53" s="102">
        <v>19</v>
      </c>
      <c r="F53" s="112" t="str">
        <f>IF(COUNTA($A$35:$A53)&lt;=MAX(DS_DevExpProgs_Sequence)=TRUE,LOOKUP(COUNTA($A$35:$A53),DS_DevExpProgs_Sequence,DS_DevExpProgs_DataNames),"")</f>
        <v/>
      </c>
    </row>
    <row r="54" spans="1:6">
      <c r="A54" s="104" t="s">
        <v>804</v>
      </c>
      <c r="B54" s="102">
        <v>1</v>
      </c>
      <c r="C54" s="105">
        <f>IF(B54&lt;&gt;1,"",SUM(B$35:B54))</f>
        <v>10</v>
      </c>
      <c r="D54" s="102">
        <v>20</v>
      </c>
      <c r="F54" s="112" t="str">
        <f>IF(COUNTA($A$35:$A54)&lt;=MAX(DS_DevExpProgs_Sequence)=TRUE,LOOKUP(COUNTA($A$35:$A54),DS_DevExpProgs_Sequence,DS_DevExpProgs_DataNames),"")</f>
        <v/>
      </c>
    </row>
    <row r="55" spans="1:6">
      <c r="A55" s="104" t="s">
        <v>938</v>
      </c>
      <c r="B55" s="102"/>
      <c r="C55" s="105" t="str">
        <f>IF(B55&lt;&gt;1,"",SUM(B$35:B55))</f>
        <v/>
      </c>
      <c r="D55" s="102">
        <v>21</v>
      </c>
      <c r="F55" s="112" t="str">
        <f>IF(COUNTA($A$35:$A55)&lt;=MAX(DS_DevExpProgs_Sequence)=TRUE,LOOKUP(COUNTA($A$35:$A55),DS_DevExpProgs_Sequence,DS_DevExpProgs_DataNames),"")</f>
        <v/>
      </c>
    </row>
    <row r="56" spans="1:6">
      <c r="A56" s="104" t="s">
        <v>929</v>
      </c>
      <c r="B56" s="102"/>
      <c r="C56" s="105" t="str">
        <f>IF(B56&lt;&gt;1,"",SUM(B$35:B56))</f>
        <v/>
      </c>
      <c r="D56" s="102">
        <v>22</v>
      </c>
      <c r="F56" s="112" t="str">
        <f>IF(COUNTA($A$35:$A56)&lt;=MAX(DS_DevExpProgs_Sequence)=TRUE,LOOKUP(COUNTA($A$35:$A56),DS_DevExpProgs_Sequence,DS_DevExpProgs_DataNames),"")</f>
        <v/>
      </c>
    </row>
    <row r="57" spans="1:6">
      <c r="A57" s="104" t="s">
        <v>930</v>
      </c>
      <c r="B57" s="102"/>
      <c r="C57" s="105" t="str">
        <f>IF(B57&lt;&gt;1,"",SUM(B$35:B57))</f>
        <v/>
      </c>
      <c r="D57" s="102">
        <v>23</v>
      </c>
      <c r="F57" s="112" t="str">
        <f>IF(COUNTA($A$35:$A57)&lt;=MAX(DS_DevExpProgs_Sequence)=TRUE,LOOKUP(COUNTA($A$35:$A57),DS_DevExpProgs_Sequence,DS_DevExpProgs_DataNames),"")</f>
        <v/>
      </c>
    </row>
    <row r="58" spans="1:6">
      <c r="A58" s="104" t="s">
        <v>931</v>
      </c>
      <c r="B58" s="102">
        <v>1</v>
      </c>
      <c r="C58" s="105">
        <f>IF(B58&lt;&gt;1,"",SUM(B$35:B58))</f>
        <v>11</v>
      </c>
      <c r="D58" s="102">
        <v>24</v>
      </c>
      <c r="F58" s="112" t="str">
        <f>IF(COUNTA($A$35:$A58)&lt;=MAX(DS_DevExpProgs_Sequence)=TRUE,LOOKUP(COUNTA($A$35:$A58),DS_DevExpProgs_Sequence,DS_DevExpProgs_DataNames),"")</f>
        <v/>
      </c>
    </row>
    <row r="59" spans="1:6">
      <c r="A59" s="104" t="s">
        <v>418</v>
      </c>
      <c r="B59" s="102">
        <v>1</v>
      </c>
      <c r="C59" s="105">
        <f>IF(B59&lt;&gt;1,"",SUM(B$35:B59))</f>
        <v>12</v>
      </c>
      <c r="D59" s="102">
        <v>25</v>
      </c>
      <c r="F59" s="112" t="str">
        <f>IF(COUNTA($A$35:$A59)&lt;=MAX(DS_DevExpProgs_Sequence)=TRUE,LOOKUP(COUNTA($A$35:$A59),DS_DevExpProgs_Sequence,DS_DevExpProgs_DataNames),"")</f>
        <v/>
      </c>
    </row>
    <row r="60" spans="1:6">
      <c r="A60" s="104" t="s">
        <v>932</v>
      </c>
      <c r="B60" s="102"/>
      <c r="C60" s="105" t="str">
        <f>IF(B60&lt;&gt;1,"",SUM(B$35:B60))</f>
        <v/>
      </c>
      <c r="D60" s="102">
        <v>26</v>
      </c>
      <c r="F60" s="112" t="str">
        <f>IF(COUNTA($A$35:$A60)&lt;=MAX(DS_DevExpProgs_Sequence)=TRUE,LOOKUP(COUNTA($A$35:$A60),DS_DevExpProgs_Sequence,DS_DevExpProgs_DataNames),"")</f>
        <v/>
      </c>
    </row>
    <row r="61" spans="1:6">
      <c r="A61" s="104" t="s">
        <v>933</v>
      </c>
      <c r="B61" s="102"/>
      <c r="C61" s="105" t="str">
        <f>IF(B61&lt;&gt;1,"",SUM(B$35:B61))</f>
        <v/>
      </c>
      <c r="D61" s="102">
        <v>27</v>
      </c>
      <c r="F61" s="112" t="str">
        <f>IF(COUNTA($A$35:$A61)&lt;=MAX(DS_DevExpProgs_Sequence)=TRUE,LOOKUP(COUNTA($A$35:$A61),DS_DevExpProgs_Sequence,DS_DevExpProgs_DataNames),"")</f>
        <v/>
      </c>
    </row>
    <row r="62" spans="1:6">
      <c r="A62" s="104" t="s">
        <v>934</v>
      </c>
      <c r="B62" s="102"/>
      <c r="C62" s="105" t="str">
        <f>IF(B62&lt;&gt;1,"",SUM(B$35:B62))</f>
        <v/>
      </c>
      <c r="D62" s="102">
        <v>28</v>
      </c>
      <c r="F62" s="112" t="str">
        <f>IF(COUNTA($A$35:$A62)&lt;=MAX(DS_DevExpProgs_Sequence)=TRUE,LOOKUP(COUNTA($A$35:$A62),DS_DevExpProgs_Sequence,DS_DevExpProgs_DataNames),"")</f>
        <v/>
      </c>
    </row>
    <row r="63" spans="1:6">
      <c r="A63" s="104" t="s">
        <v>935</v>
      </c>
      <c r="B63" s="102"/>
      <c r="C63" s="105" t="str">
        <f>IF(B63&lt;&gt;1,"",SUM(B$35:B63))</f>
        <v/>
      </c>
      <c r="D63" s="102">
        <v>29</v>
      </c>
      <c r="F63" s="112" t="str">
        <f>IF(COUNTA($A$35:$A63)&lt;=MAX(DS_DevExpProgs_Sequence)=TRUE,LOOKUP(COUNTA($A$35:$A63),DS_DevExpProgs_Sequence,DS_DevExpProgs_DataNames),"")</f>
        <v/>
      </c>
    </row>
    <row r="64" spans="1:6">
      <c r="A64" s="104" t="s">
        <v>14</v>
      </c>
      <c r="B64" s="102">
        <v>1</v>
      </c>
      <c r="C64" s="105">
        <f>IF(B64&lt;&gt;1,"",SUM(B$35:B64))</f>
        <v>13</v>
      </c>
      <c r="D64" s="102">
        <v>30</v>
      </c>
      <c r="F64" s="112" t="str">
        <f>IF(COUNTA($A$35:$A64)&lt;=MAX(DS_DevExpProgs_Sequence)=TRUE,LOOKUP(COUNTA($A$35:$A64),DS_DevExpProgs_Sequence,DS_DevExpProgs_DataNames),"")</f>
        <v/>
      </c>
    </row>
    <row r="65" spans="1:6">
      <c r="A65" s="104" t="s">
        <v>118</v>
      </c>
      <c r="B65" s="102">
        <v>1</v>
      </c>
      <c r="C65" s="105">
        <f>IF(B65&lt;&gt;1,"",SUM(B$35:B65))</f>
        <v>14</v>
      </c>
      <c r="D65" s="102">
        <v>31</v>
      </c>
      <c r="F65" s="112" t="str">
        <f>IF(COUNTA($A$35:$A65)&lt;=MAX(DS_DevExpProgs_Sequence)=TRUE,LOOKUP(COUNTA($A$35:$A65),DS_DevExpProgs_Sequence,DS_DevExpProgs_DataNames),"")</f>
        <v/>
      </c>
    </row>
    <row r="66" spans="1:6">
      <c r="A66" s="104" t="s">
        <v>1004</v>
      </c>
      <c r="B66" s="102"/>
      <c r="C66" s="105" t="str">
        <f>IF(B66&lt;&gt;1,"",SUM(B$35:B66))</f>
        <v/>
      </c>
      <c r="D66" s="102">
        <v>32</v>
      </c>
      <c r="F66" s="112" t="str">
        <f>IF(COUNTA($A$35:$A66)&lt;=MAX(DS_DevExpProgs_Sequence)=TRUE,LOOKUP(COUNTA($A$35:$A66),DS_DevExpProgs_Sequence,DS_DevExpProgs_DataNames),"")</f>
        <v/>
      </c>
    </row>
    <row r="68" spans="1:6" ht="18" customHeight="1">
      <c r="A68" s="1139" t="s">
        <v>944</v>
      </c>
      <c r="B68" s="109"/>
      <c r="C68" s="109"/>
      <c r="D68" s="109"/>
      <c r="E68" s="1142" t="s">
        <v>942</v>
      </c>
      <c r="F68" s="112" t="s">
        <v>2</v>
      </c>
    </row>
    <row r="69" spans="1:6">
      <c r="A69" s="685" t="s">
        <v>974</v>
      </c>
      <c r="B69" s="978"/>
      <c r="C69" s="978"/>
      <c r="D69" s="978"/>
      <c r="E69" s="1141">
        <v>1</v>
      </c>
      <c r="F69" s="112" t="s">
        <v>952</v>
      </c>
    </row>
    <row r="70" spans="1:6">
      <c r="A70" s="708" t="s">
        <v>943</v>
      </c>
      <c r="B70" s="708"/>
      <c r="C70" s="708"/>
      <c r="D70" s="708"/>
      <c r="E70" s="1016">
        <v>37622</v>
      </c>
      <c r="F70" s="112" t="s">
        <v>953</v>
      </c>
    </row>
    <row r="71" spans="1:6">
      <c r="A71" s="855" t="s">
        <v>1178</v>
      </c>
      <c r="B71" s="856"/>
      <c r="C71" s="856"/>
      <c r="D71" s="856"/>
      <c r="E71" s="103">
        <v>1</v>
      </c>
    </row>
    <row r="72" spans="1:6">
      <c r="A72" s="856" t="s">
        <v>945</v>
      </c>
      <c r="B72" s="856"/>
      <c r="C72" s="856"/>
      <c r="D72" s="856"/>
      <c r="E72" s="1216" t="s">
        <v>2</v>
      </c>
    </row>
    <row r="73" spans="1:6">
      <c r="A73" s="856" t="s">
        <v>1885</v>
      </c>
      <c r="B73" s="856"/>
      <c r="C73" s="856"/>
      <c r="D73" s="856"/>
      <c r="E73" s="1016">
        <v>37622</v>
      </c>
    </row>
    <row r="74" spans="1:6">
      <c r="A74" s="978" t="s">
        <v>1177</v>
      </c>
      <c r="B74" s="978"/>
      <c r="C74" s="978"/>
      <c r="D74" s="978"/>
      <c r="E74" s="1017">
        <v>1</v>
      </c>
      <c r="F74" s="979"/>
    </row>
    <row r="75" spans="1:6">
      <c r="A75" s="856" t="s">
        <v>1199</v>
      </c>
      <c r="B75" s="856"/>
      <c r="C75" s="856"/>
      <c r="D75" s="856"/>
      <c r="E75" s="1018">
        <v>0.5</v>
      </c>
    </row>
    <row r="76" spans="1:6">
      <c r="A76" s="856" t="s">
        <v>950</v>
      </c>
      <c r="B76" s="856"/>
      <c r="C76" s="856"/>
      <c r="D76" s="856"/>
      <c r="E76" s="103">
        <v>12</v>
      </c>
    </row>
    <row r="77" spans="1:6">
      <c r="A77" s="856" t="s">
        <v>951</v>
      </c>
      <c r="B77" s="856"/>
      <c r="C77" s="856"/>
      <c r="D77" s="856"/>
      <c r="E77" s="103" t="s">
        <v>952</v>
      </c>
    </row>
    <row r="78" spans="1:6">
      <c r="A78" s="685" t="s">
        <v>946</v>
      </c>
      <c r="B78" s="685"/>
      <c r="C78" s="685"/>
      <c r="D78" s="685"/>
      <c r="E78" s="1019">
        <v>1</v>
      </c>
      <c r="F78" s="979"/>
    </row>
    <row r="80" spans="1:6" ht="18" customHeight="1">
      <c r="A80" s="1139" t="s">
        <v>477</v>
      </c>
      <c r="B80" s="1140" t="s">
        <v>4</v>
      </c>
      <c r="C80" s="1140" t="s">
        <v>5</v>
      </c>
      <c r="D80" s="1140" t="s">
        <v>6</v>
      </c>
      <c r="E80" s="986" t="s">
        <v>961</v>
      </c>
      <c r="F80" s="111" t="s">
        <v>2</v>
      </c>
    </row>
    <row r="81" spans="1:6">
      <c r="A81" s="104" t="s">
        <v>126</v>
      </c>
      <c r="B81" s="102"/>
      <c r="C81" s="105" t="str">
        <f>IF(B81&lt;&gt;1,"",SUM(B$81:B81))</f>
        <v/>
      </c>
      <c r="D81" s="102">
        <v>1</v>
      </c>
      <c r="F81" s="163" t="str">
        <f>IF(COUNTA($A$81:$A81)&lt;=MAX(DS_Priority_Sequence)=TRUE,LOOKUP(COUNTA($A$81:$A81),DS_Priority_Sequence,DS_Priority_DataNames),"")</f>
        <v/>
      </c>
    </row>
    <row r="82" spans="1:6">
      <c r="A82" s="104" t="s">
        <v>127</v>
      </c>
      <c r="B82" s="102"/>
      <c r="C82" s="105" t="str">
        <f>IF(B82&lt;&gt;1,"",SUM(B$81:B82))</f>
        <v/>
      </c>
      <c r="D82" s="102">
        <v>2</v>
      </c>
      <c r="F82" s="163" t="str">
        <f>IF(COUNTA($A$81:$A82)&lt;=MAX(DS_Priority_Sequence)=TRUE,LOOKUP(COUNTA($A$81:$A82),DS_Priority_Sequence,DS_Priority_DataNames),"")</f>
        <v/>
      </c>
    </row>
    <row r="84" spans="1:6" ht="18" customHeight="1">
      <c r="A84" s="1139" t="s">
        <v>132</v>
      </c>
      <c r="B84" s="1140" t="s">
        <v>4</v>
      </c>
      <c r="C84" s="1140" t="s">
        <v>5</v>
      </c>
      <c r="D84" s="1140" t="s">
        <v>6</v>
      </c>
      <c r="E84" s="986" t="s">
        <v>962</v>
      </c>
      <c r="F84" s="111" t="s">
        <v>2</v>
      </c>
    </row>
    <row r="85" spans="1:6">
      <c r="A85" s="104" t="s">
        <v>133</v>
      </c>
      <c r="B85" s="102">
        <v>1</v>
      </c>
      <c r="C85" s="105">
        <f>IF(B85&lt;&gt;1,"",SUM(B$85:B85))</f>
        <v>1</v>
      </c>
      <c r="D85" s="102">
        <v>1</v>
      </c>
      <c r="F85" s="111" t="str">
        <f>IF(COUNTA($A$85:$A85)&lt;=MAX(DS_States_Sequence)=TRUE,LOOKUP(COUNTA($A$85:$A85),DS_States_Sequence,DS_States_DataNames),"")</f>
        <v>AK</v>
      </c>
    </row>
    <row r="86" spans="1:6">
      <c r="A86" s="104" t="s">
        <v>134</v>
      </c>
      <c r="B86" s="102">
        <v>1</v>
      </c>
      <c r="C86" s="105">
        <f>IF(B86&lt;&gt;1,"",SUM(B$85:B86))</f>
        <v>2</v>
      </c>
      <c r="D86" s="102">
        <v>2</v>
      </c>
      <c r="F86" s="111" t="str">
        <f>IF(COUNTA($A$85:$A86)&lt;=MAX(DS_States_Sequence)=TRUE,LOOKUP(COUNTA($A$85:$A86),DS_States_Sequence,DS_States_DataNames),"")</f>
        <v>AL</v>
      </c>
    </row>
    <row r="87" spans="1:6">
      <c r="A87" s="104" t="s">
        <v>135</v>
      </c>
      <c r="B87" s="102">
        <v>1</v>
      </c>
      <c r="C87" s="105">
        <f>IF(B87&lt;&gt;1,"",SUM(B$85:B87))</f>
        <v>3</v>
      </c>
      <c r="D87" s="102">
        <v>3</v>
      </c>
      <c r="F87" s="111" t="str">
        <f>IF(COUNTA($A$85:$A87)&lt;=MAX(DS_States_Sequence)=TRUE,LOOKUP(COUNTA($A$85:$A87),DS_States_Sequence,DS_States_DataNames),"")</f>
        <v>AR</v>
      </c>
    </row>
    <row r="88" spans="1:6">
      <c r="A88" s="104" t="s">
        <v>136</v>
      </c>
      <c r="B88" s="102">
        <v>1</v>
      </c>
      <c r="C88" s="105">
        <f>IF(B88&lt;&gt;1,"",SUM(B$85:B88))</f>
        <v>4</v>
      </c>
      <c r="D88" s="102">
        <v>4</v>
      </c>
      <c r="F88" s="111" t="str">
        <f>IF(COUNTA($A$85:$A88)&lt;=MAX(DS_States_Sequence)=TRUE,LOOKUP(COUNTA($A$85:$A88),DS_States_Sequence,DS_States_DataNames),"")</f>
        <v>AZ</v>
      </c>
    </row>
    <row r="89" spans="1:6">
      <c r="A89" s="104" t="s">
        <v>137</v>
      </c>
      <c r="B89" s="102">
        <v>1</v>
      </c>
      <c r="C89" s="105">
        <f>IF(B89&lt;&gt;1,"",SUM(B$85:B89))</f>
        <v>5</v>
      </c>
      <c r="D89" s="102">
        <v>5</v>
      </c>
      <c r="F89" s="111" t="str">
        <f>IF(COUNTA($A$85:$A89)&lt;=MAX(DS_States_Sequence)=TRUE,LOOKUP(COUNTA($A$85:$A89),DS_States_Sequence,DS_States_DataNames),"")</f>
        <v>CA</v>
      </c>
    </row>
    <row r="90" spans="1:6">
      <c r="A90" s="104" t="s">
        <v>138</v>
      </c>
      <c r="B90" s="102">
        <v>1</v>
      </c>
      <c r="C90" s="105">
        <f>IF(B90&lt;&gt;1,"",SUM(B$85:B90))</f>
        <v>6</v>
      </c>
      <c r="D90" s="102">
        <v>6</v>
      </c>
      <c r="F90" s="111" t="str">
        <f>IF(COUNTA($A$85:$A90)&lt;=MAX(DS_States_Sequence)=TRUE,LOOKUP(COUNTA($A$85:$A90),DS_States_Sequence,DS_States_DataNames),"")</f>
        <v>CO</v>
      </c>
    </row>
    <row r="91" spans="1:6">
      <c r="A91" s="104" t="s">
        <v>139</v>
      </c>
      <c r="B91" s="102">
        <v>1</v>
      </c>
      <c r="C91" s="105">
        <f>IF(B91&lt;&gt;1,"",SUM(B$85:B91))</f>
        <v>7</v>
      </c>
      <c r="D91" s="102">
        <v>7</v>
      </c>
      <c r="F91" s="111" t="str">
        <f>IF(COUNTA($A$85:$A91)&lt;=MAX(DS_States_Sequence)=TRUE,LOOKUP(COUNTA($A$85:$A91),DS_States_Sequence,DS_States_DataNames),"")</f>
        <v>CT</v>
      </c>
    </row>
    <row r="92" spans="1:6">
      <c r="A92" s="116" t="s">
        <v>140</v>
      </c>
      <c r="B92" s="102">
        <v>1</v>
      </c>
      <c r="C92" s="105">
        <f>IF(B92&lt;&gt;1,"",SUM(B$85:B92))</f>
        <v>8</v>
      </c>
      <c r="D92" s="102">
        <v>8</v>
      </c>
      <c r="F92" s="111" t="str">
        <f>IF(COUNTA($A$85:$A92)&lt;=MAX(DS_States_Sequence)=TRUE,LOOKUP(COUNTA($A$85:$A92),DS_States_Sequence,DS_States_DataNames),"")</f>
        <v>DC</v>
      </c>
    </row>
    <row r="93" spans="1:6">
      <c r="A93" s="104" t="s">
        <v>141</v>
      </c>
      <c r="B93" s="102">
        <v>1</v>
      </c>
      <c r="C93" s="105">
        <f>IF(B93&lt;&gt;1,"",SUM(B$85:B93))</f>
        <v>9</v>
      </c>
      <c r="D93" s="102">
        <v>9</v>
      </c>
      <c r="F93" s="111" t="str">
        <f>IF(COUNTA($A$85:$A93)&lt;=MAX(DS_States_Sequence)=TRUE,LOOKUP(COUNTA($A$85:$A93),DS_States_Sequence,DS_States_DataNames),"")</f>
        <v>DE</v>
      </c>
    </row>
    <row r="94" spans="1:6">
      <c r="A94" s="104" t="s">
        <v>142</v>
      </c>
      <c r="B94" s="102">
        <v>1</v>
      </c>
      <c r="C94" s="105">
        <f>IF(B94&lt;&gt;1,"",SUM(B$85:B94))</f>
        <v>10</v>
      </c>
      <c r="D94" s="102">
        <v>10</v>
      </c>
      <c r="F94" s="111" t="str">
        <f>IF(COUNTA($A$85:$A94)&lt;=MAX(DS_States_Sequence)=TRUE,LOOKUP(COUNTA($A$85:$A94),DS_States_Sequence,DS_States_DataNames),"")</f>
        <v>FL</v>
      </c>
    </row>
    <row r="95" spans="1:6">
      <c r="A95" s="104" t="s">
        <v>143</v>
      </c>
      <c r="B95" s="102">
        <v>1</v>
      </c>
      <c r="C95" s="105">
        <f>IF(B95&lt;&gt;1,"",SUM(B$85:B95))</f>
        <v>11</v>
      </c>
      <c r="D95" s="102">
        <v>11</v>
      </c>
      <c r="F95" s="111" t="str">
        <f>IF(COUNTA($A$85:$A95)&lt;=MAX(DS_States_Sequence)=TRUE,LOOKUP(COUNTA($A$85:$A95),DS_States_Sequence,DS_States_DataNames),"")</f>
        <v>GA</v>
      </c>
    </row>
    <row r="96" spans="1:6">
      <c r="A96" s="104" t="s">
        <v>144</v>
      </c>
      <c r="B96" s="102">
        <v>1</v>
      </c>
      <c r="C96" s="105">
        <f>IF(B96&lt;&gt;1,"",SUM(B$85:B96))</f>
        <v>12</v>
      </c>
      <c r="D96" s="102">
        <v>12</v>
      </c>
      <c r="F96" s="111" t="str">
        <f>IF(COUNTA($A$85:$A96)&lt;=MAX(DS_States_Sequence)=TRUE,LOOKUP(COUNTA($A$85:$A96),DS_States_Sequence,DS_States_DataNames),"")</f>
        <v>HI</v>
      </c>
    </row>
    <row r="97" spans="1:6">
      <c r="A97" s="104" t="s">
        <v>145</v>
      </c>
      <c r="B97" s="102">
        <v>1</v>
      </c>
      <c r="C97" s="105">
        <f>IF(B97&lt;&gt;1,"",SUM(B$85:B97))</f>
        <v>13</v>
      </c>
      <c r="D97" s="102">
        <v>13</v>
      </c>
      <c r="F97" s="111" t="str">
        <f>IF(COUNTA($A$85:$A97)&lt;=MAX(DS_States_Sequence)=TRUE,LOOKUP(COUNTA($A$85:$A97),DS_States_Sequence,DS_States_DataNames),"")</f>
        <v>IA</v>
      </c>
    </row>
    <row r="98" spans="1:6">
      <c r="A98" s="104" t="s">
        <v>146</v>
      </c>
      <c r="B98" s="102">
        <v>1</v>
      </c>
      <c r="C98" s="105">
        <f>IF(B98&lt;&gt;1,"",SUM(B$85:B98))</f>
        <v>14</v>
      </c>
      <c r="D98" s="102">
        <v>14</v>
      </c>
      <c r="F98" s="111" t="str">
        <f>IF(COUNTA($A$85:$A98)&lt;=MAX(DS_States_Sequence)=TRUE,LOOKUP(COUNTA($A$85:$A98),DS_States_Sequence,DS_States_DataNames),"")</f>
        <v>ID</v>
      </c>
    </row>
    <row r="99" spans="1:6">
      <c r="A99" s="104" t="s">
        <v>147</v>
      </c>
      <c r="B99" s="102">
        <v>1</v>
      </c>
      <c r="C99" s="105">
        <f>IF(B99&lt;&gt;1,"",SUM(B$85:B99))</f>
        <v>15</v>
      </c>
      <c r="D99" s="102">
        <v>15</v>
      </c>
      <c r="F99" s="111" t="str">
        <f>IF(COUNTA($A$85:$A99)&lt;=MAX(DS_States_Sequence)=TRUE,LOOKUP(COUNTA($A$85:$A99),DS_States_Sequence,DS_States_DataNames),"")</f>
        <v>IL</v>
      </c>
    </row>
    <row r="100" spans="1:6">
      <c r="A100" s="104" t="s">
        <v>148</v>
      </c>
      <c r="B100" s="102">
        <v>1</v>
      </c>
      <c r="C100" s="105">
        <f>IF(B100&lt;&gt;1,"",SUM(B$85:B100))</f>
        <v>16</v>
      </c>
      <c r="D100" s="102">
        <v>16</v>
      </c>
      <c r="F100" s="111" t="str">
        <f>IF(COUNTA($A$85:$A100)&lt;=MAX(DS_States_Sequence)=TRUE,LOOKUP(COUNTA($A$85:$A100),DS_States_Sequence,DS_States_DataNames),"")</f>
        <v>IN</v>
      </c>
    </row>
    <row r="101" spans="1:6">
      <c r="A101" s="104" t="s">
        <v>149</v>
      </c>
      <c r="B101" s="102">
        <v>1</v>
      </c>
      <c r="C101" s="105">
        <f>IF(B101&lt;&gt;1,"",SUM(B$85:B101))</f>
        <v>17</v>
      </c>
      <c r="D101" s="102">
        <v>17</v>
      </c>
      <c r="F101" s="111" t="str">
        <f>IF(COUNTA($A$85:$A101)&lt;=MAX(DS_States_Sequence)=TRUE,LOOKUP(COUNTA($A$85:$A101),DS_States_Sequence,DS_States_DataNames),"")</f>
        <v>KS</v>
      </c>
    </row>
    <row r="102" spans="1:6">
      <c r="A102" s="104" t="s">
        <v>150</v>
      </c>
      <c r="B102" s="102">
        <v>1</v>
      </c>
      <c r="C102" s="105">
        <f>IF(B102&lt;&gt;1,"",SUM(B$85:B102))</f>
        <v>18</v>
      </c>
      <c r="D102" s="102">
        <v>18</v>
      </c>
      <c r="F102" s="111" t="str">
        <f>IF(COUNTA($A$85:$A102)&lt;=MAX(DS_States_Sequence)=TRUE,LOOKUP(COUNTA($A$85:$A102),DS_States_Sequence,DS_States_DataNames),"")</f>
        <v>KY</v>
      </c>
    </row>
    <row r="103" spans="1:6">
      <c r="A103" s="104" t="s">
        <v>151</v>
      </c>
      <c r="B103" s="102">
        <v>1</v>
      </c>
      <c r="C103" s="105">
        <f>IF(B103&lt;&gt;1,"",SUM(B$85:B103))</f>
        <v>19</v>
      </c>
      <c r="D103" s="102">
        <v>19</v>
      </c>
      <c r="F103" s="111" t="str">
        <f>IF(COUNTA($A$85:$A103)&lt;=MAX(DS_States_Sequence)=TRUE,LOOKUP(COUNTA($A$85:$A103),DS_States_Sequence,DS_States_DataNames),"")</f>
        <v>LA</v>
      </c>
    </row>
    <row r="104" spans="1:6">
      <c r="A104" s="104" t="s">
        <v>152</v>
      </c>
      <c r="B104" s="102">
        <v>1</v>
      </c>
      <c r="C104" s="105">
        <f>IF(B104&lt;&gt;1,"",SUM(B$85:B104))</f>
        <v>20</v>
      </c>
      <c r="D104" s="102">
        <v>20</v>
      </c>
      <c r="F104" s="111" t="str">
        <f>IF(COUNTA($A$85:$A104)&lt;=MAX(DS_States_Sequence)=TRUE,LOOKUP(COUNTA($A$85:$A104),DS_States_Sequence,DS_States_DataNames),"")</f>
        <v>MA</v>
      </c>
    </row>
    <row r="105" spans="1:6">
      <c r="A105" s="104" t="s">
        <v>153</v>
      </c>
      <c r="B105" s="102">
        <v>1</v>
      </c>
      <c r="C105" s="105">
        <f>IF(B105&lt;&gt;1,"",SUM(B$85:B105))</f>
        <v>21</v>
      </c>
      <c r="D105" s="102">
        <v>21</v>
      </c>
      <c r="F105" s="111" t="str">
        <f>IF(COUNTA($A$85:$A105)&lt;=MAX(DS_States_Sequence)=TRUE,LOOKUP(COUNTA($A$85:$A105),DS_States_Sequence,DS_States_DataNames),"")</f>
        <v>MD</v>
      </c>
    </row>
    <row r="106" spans="1:6">
      <c r="A106" s="104" t="s">
        <v>154</v>
      </c>
      <c r="B106" s="102">
        <v>1</v>
      </c>
      <c r="C106" s="105">
        <f>IF(B106&lt;&gt;1,"",SUM(B$85:B106))</f>
        <v>22</v>
      </c>
      <c r="D106" s="102">
        <v>22</v>
      </c>
      <c r="F106" s="111" t="str">
        <f>IF(COUNTA($A$85:$A106)&lt;=MAX(DS_States_Sequence)=TRUE,LOOKUP(COUNTA($A$85:$A106),DS_States_Sequence,DS_States_DataNames),"")</f>
        <v>ME</v>
      </c>
    </row>
    <row r="107" spans="1:6">
      <c r="A107" s="104" t="s">
        <v>155</v>
      </c>
      <c r="B107" s="102">
        <v>1</v>
      </c>
      <c r="C107" s="105">
        <f>IF(B107&lt;&gt;1,"",SUM(B$85:B107))</f>
        <v>23</v>
      </c>
      <c r="D107" s="102">
        <v>23</v>
      </c>
      <c r="F107" s="111" t="str">
        <f>IF(COUNTA($A$85:$A107)&lt;=MAX(DS_States_Sequence)=TRUE,LOOKUP(COUNTA($A$85:$A107),DS_States_Sequence,DS_States_DataNames),"")</f>
        <v>MI</v>
      </c>
    </row>
    <row r="108" spans="1:6">
      <c r="A108" s="104" t="s">
        <v>156</v>
      </c>
      <c r="B108" s="102">
        <v>1</v>
      </c>
      <c r="C108" s="105">
        <f>IF(B108&lt;&gt;1,"",SUM(B$85:B108))</f>
        <v>24</v>
      </c>
      <c r="D108" s="102">
        <v>24</v>
      </c>
      <c r="F108" s="111" t="str">
        <f>IF(COUNTA($A$85:$A108)&lt;=MAX(DS_States_Sequence)=TRUE,LOOKUP(COUNTA($A$85:$A108),DS_States_Sequence,DS_States_DataNames),"")</f>
        <v>MN</v>
      </c>
    </row>
    <row r="109" spans="1:6">
      <c r="A109" s="104" t="s">
        <v>157</v>
      </c>
      <c r="B109" s="102">
        <v>1</v>
      </c>
      <c r="C109" s="105">
        <f>IF(B109&lt;&gt;1,"",SUM(B$85:B109))</f>
        <v>25</v>
      </c>
      <c r="D109" s="102">
        <v>25</v>
      </c>
      <c r="F109" s="111" t="str">
        <f>IF(COUNTA($A$85:$A109)&lt;=MAX(DS_States_Sequence)=TRUE,LOOKUP(COUNTA($A$85:$A109),DS_States_Sequence,DS_States_DataNames),"")</f>
        <v>MO</v>
      </c>
    </row>
    <row r="110" spans="1:6">
      <c r="A110" s="104" t="s">
        <v>33</v>
      </c>
      <c r="B110" s="102">
        <v>1</v>
      </c>
      <c r="C110" s="105">
        <f>IF(B110&lt;&gt;1,"",SUM(B$85:B110))</f>
        <v>26</v>
      </c>
      <c r="D110" s="102">
        <v>26</v>
      </c>
      <c r="F110" s="111" t="str">
        <f>IF(COUNTA($A$85:$A110)&lt;=MAX(DS_States_Sequence)=TRUE,LOOKUP(COUNTA($A$85:$A110),DS_States_Sequence,DS_States_DataNames),"")</f>
        <v>MS</v>
      </c>
    </row>
    <row r="111" spans="1:6">
      <c r="A111" s="104" t="s">
        <v>158</v>
      </c>
      <c r="B111" s="102">
        <v>1</v>
      </c>
      <c r="C111" s="105">
        <f>IF(B111&lt;&gt;1,"",SUM(B$85:B111))</f>
        <v>27</v>
      </c>
      <c r="D111" s="102">
        <v>27</v>
      </c>
      <c r="F111" s="111" t="str">
        <f>IF(COUNTA($A$85:$A111)&lt;=MAX(DS_States_Sequence)=TRUE,LOOKUP(COUNTA($A$85:$A111),DS_States_Sequence,DS_States_DataNames),"")</f>
        <v>MT</v>
      </c>
    </row>
    <row r="112" spans="1:6">
      <c r="A112" s="104" t="s">
        <v>159</v>
      </c>
      <c r="B112" s="102">
        <v>1</v>
      </c>
      <c r="C112" s="105">
        <f>IF(B112&lt;&gt;1,"",SUM(B$85:B112))</f>
        <v>28</v>
      </c>
      <c r="D112" s="102">
        <v>28</v>
      </c>
      <c r="F112" s="111" t="str">
        <f>IF(COUNTA($A$85:$A112)&lt;=MAX(DS_States_Sequence)=TRUE,LOOKUP(COUNTA($A$85:$A112),DS_States_Sequence,DS_States_DataNames),"")</f>
        <v>NC</v>
      </c>
    </row>
    <row r="113" spans="1:6">
      <c r="A113" s="104" t="s">
        <v>160</v>
      </c>
      <c r="B113" s="102">
        <v>1</v>
      </c>
      <c r="C113" s="105">
        <f>IF(B113&lt;&gt;1,"",SUM(B$85:B113))</f>
        <v>29</v>
      </c>
      <c r="D113" s="102">
        <v>29</v>
      </c>
      <c r="F113" s="111" t="str">
        <f>IF(COUNTA($A$85:$A113)&lt;=MAX(DS_States_Sequence)=TRUE,LOOKUP(COUNTA($A$85:$A113),DS_States_Sequence,DS_States_DataNames),"")</f>
        <v>ND</v>
      </c>
    </row>
    <row r="114" spans="1:6">
      <c r="A114" s="104" t="s">
        <v>161</v>
      </c>
      <c r="B114" s="102">
        <v>1</v>
      </c>
      <c r="C114" s="105">
        <f>IF(B114&lt;&gt;1,"",SUM(B$85:B114))</f>
        <v>30</v>
      </c>
      <c r="D114" s="102">
        <v>30</v>
      </c>
      <c r="F114" s="111" t="str">
        <f>IF(COUNTA($A$85:$A114)&lt;=MAX(DS_States_Sequence)=TRUE,LOOKUP(COUNTA($A$85:$A114),DS_States_Sequence,DS_States_DataNames),"")</f>
        <v>NE</v>
      </c>
    </row>
    <row r="115" spans="1:6">
      <c r="A115" s="104" t="s">
        <v>162</v>
      </c>
      <c r="B115" s="102">
        <v>1</v>
      </c>
      <c r="C115" s="105">
        <f>IF(B115&lt;&gt;1,"",SUM(B$85:B115))</f>
        <v>31</v>
      </c>
      <c r="D115" s="102">
        <v>31</v>
      </c>
      <c r="F115" s="111" t="str">
        <f>IF(COUNTA($A$85:$A115)&lt;=MAX(DS_States_Sequence)=TRUE,LOOKUP(COUNTA($A$85:$A115),DS_States_Sequence,DS_States_DataNames),"")</f>
        <v>NH</v>
      </c>
    </row>
    <row r="116" spans="1:6">
      <c r="A116" s="104" t="s">
        <v>163</v>
      </c>
      <c r="B116" s="102">
        <v>1</v>
      </c>
      <c r="C116" s="105">
        <f>IF(B116&lt;&gt;1,"",SUM(B$85:B116))</f>
        <v>32</v>
      </c>
      <c r="D116" s="102">
        <v>32</v>
      </c>
      <c r="F116" s="111" t="str">
        <f>IF(COUNTA($A$85:$A116)&lt;=MAX(DS_States_Sequence)=TRUE,LOOKUP(COUNTA($A$85:$A116),DS_States_Sequence,DS_States_DataNames),"")</f>
        <v>NJ</v>
      </c>
    </row>
    <row r="117" spans="1:6">
      <c r="A117" s="104" t="s">
        <v>164</v>
      </c>
      <c r="B117" s="102">
        <v>1</v>
      </c>
      <c r="C117" s="105">
        <f>IF(B117&lt;&gt;1,"",SUM(B$85:B117))</f>
        <v>33</v>
      </c>
      <c r="D117" s="102">
        <v>33</v>
      </c>
      <c r="F117" s="111" t="str">
        <f>IF(COUNTA($A$85:$A117)&lt;=MAX(DS_States_Sequence)=TRUE,LOOKUP(COUNTA($A$85:$A117),DS_States_Sequence,DS_States_DataNames),"")</f>
        <v>NM</v>
      </c>
    </row>
    <row r="118" spans="1:6">
      <c r="A118" s="104" t="s">
        <v>165</v>
      </c>
      <c r="B118" s="102">
        <v>1</v>
      </c>
      <c r="C118" s="105">
        <f>IF(B118&lt;&gt;1,"",SUM(B$85:B118))</f>
        <v>34</v>
      </c>
      <c r="D118" s="102">
        <v>34</v>
      </c>
      <c r="F118" s="111" t="str">
        <f>IF(COUNTA($A$85:$A118)&lt;=MAX(DS_States_Sequence)=TRUE,LOOKUP(COUNTA($A$85:$A118),DS_States_Sequence,DS_States_DataNames),"")</f>
        <v>NV</v>
      </c>
    </row>
    <row r="119" spans="1:6">
      <c r="A119" s="104" t="s">
        <v>166</v>
      </c>
      <c r="B119" s="102">
        <v>1</v>
      </c>
      <c r="C119" s="105">
        <f>IF(B119&lt;&gt;1,"",SUM(B$85:B119))</f>
        <v>35</v>
      </c>
      <c r="D119" s="102">
        <v>35</v>
      </c>
      <c r="F119" s="111" t="str">
        <f>IF(COUNTA($A$85:$A119)&lt;=MAX(DS_States_Sequence)=TRUE,LOOKUP(COUNTA($A$85:$A119),DS_States_Sequence,DS_States_DataNames),"")</f>
        <v>NY</v>
      </c>
    </row>
    <row r="120" spans="1:6">
      <c r="A120" s="104" t="s">
        <v>167</v>
      </c>
      <c r="B120" s="102">
        <v>1</v>
      </c>
      <c r="C120" s="105">
        <f>IF(B120&lt;&gt;1,"",SUM(B$85:B120))</f>
        <v>36</v>
      </c>
      <c r="D120" s="102">
        <v>36</v>
      </c>
      <c r="F120" s="111" t="str">
        <f>IF(COUNTA($A$85:$A120)&lt;=MAX(DS_States_Sequence)=TRUE,LOOKUP(COUNTA($A$85:$A120),DS_States_Sequence,DS_States_DataNames),"")</f>
        <v>OH</v>
      </c>
    </row>
    <row r="121" spans="1:6">
      <c r="A121" s="104" t="s">
        <v>168</v>
      </c>
      <c r="B121" s="102">
        <v>1</v>
      </c>
      <c r="C121" s="105">
        <f>IF(B121&lt;&gt;1,"",SUM(B$85:B121))</f>
        <v>37</v>
      </c>
      <c r="D121" s="102">
        <v>37</v>
      </c>
      <c r="F121" s="111" t="str">
        <f>IF(COUNTA($A$85:$A121)&lt;=MAX(DS_States_Sequence)=TRUE,LOOKUP(COUNTA($A$85:$A121),DS_States_Sequence,DS_States_DataNames),"")</f>
        <v>OK</v>
      </c>
    </row>
    <row r="122" spans="1:6">
      <c r="A122" s="104" t="s">
        <v>169</v>
      </c>
      <c r="B122" s="102">
        <v>1</v>
      </c>
      <c r="C122" s="105">
        <f>IF(B122&lt;&gt;1,"",SUM(B$85:B122))</f>
        <v>38</v>
      </c>
      <c r="D122" s="102">
        <v>38</v>
      </c>
      <c r="F122" s="111" t="str">
        <f>IF(COUNTA($A$85:$A122)&lt;=MAX(DS_States_Sequence)=TRUE,LOOKUP(COUNTA($A$85:$A122),DS_States_Sequence,DS_States_DataNames),"")</f>
        <v>OR</v>
      </c>
    </row>
    <row r="123" spans="1:6">
      <c r="A123" s="104" t="s">
        <v>170</v>
      </c>
      <c r="B123" s="102">
        <v>1</v>
      </c>
      <c r="C123" s="105">
        <f>IF(B123&lt;&gt;1,"",SUM(B$85:B123))</f>
        <v>39</v>
      </c>
      <c r="D123" s="102">
        <v>39</v>
      </c>
      <c r="F123" s="111" t="str">
        <f>IF(COUNTA($A$85:$A123)&lt;=MAX(DS_States_Sequence)=TRUE,LOOKUP(COUNTA($A$85:$A123),DS_States_Sequence,DS_States_DataNames),"")</f>
        <v>PA</v>
      </c>
    </row>
    <row r="124" spans="1:6">
      <c r="A124" s="104" t="s">
        <v>171</v>
      </c>
      <c r="B124" s="102">
        <v>1</v>
      </c>
      <c r="C124" s="105">
        <f>IF(B124&lt;&gt;1,"",SUM(B$85:B124))</f>
        <v>40</v>
      </c>
      <c r="D124" s="102">
        <v>40</v>
      </c>
      <c r="F124" s="111" t="str">
        <f>IF(COUNTA($A$85:$A124)&lt;=MAX(DS_States_Sequence)=TRUE,LOOKUP(COUNTA($A$85:$A124),DS_States_Sequence,DS_States_DataNames),"")</f>
        <v>RI</v>
      </c>
    </row>
    <row r="125" spans="1:6">
      <c r="A125" s="104" t="s">
        <v>172</v>
      </c>
      <c r="B125" s="102">
        <v>1</v>
      </c>
      <c r="C125" s="105">
        <f>IF(B125&lt;&gt;1,"",SUM(B$85:B125))</f>
        <v>41</v>
      </c>
      <c r="D125" s="102">
        <v>41</v>
      </c>
      <c r="F125" s="111" t="str">
        <f>IF(COUNTA($A$85:$A125)&lt;=MAX(DS_States_Sequence)=TRUE,LOOKUP(COUNTA($A$85:$A125),DS_States_Sequence,DS_States_DataNames),"")</f>
        <v>SC</v>
      </c>
    </row>
    <row r="126" spans="1:6">
      <c r="A126" s="104" t="s">
        <v>173</v>
      </c>
      <c r="B126" s="102">
        <v>1</v>
      </c>
      <c r="C126" s="105">
        <f>IF(B126&lt;&gt;1,"",SUM(B$85:B126))</f>
        <v>42</v>
      </c>
      <c r="D126" s="102">
        <v>42</v>
      </c>
      <c r="F126" s="111" t="str">
        <f>IF(COUNTA($A$85:$A126)&lt;=MAX(DS_States_Sequence)=TRUE,LOOKUP(COUNTA($A$85:$A126),DS_States_Sequence,DS_States_DataNames),"")</f>
        <v>SD</v>
      </c>
    </row>
    <row r="127" spans="1:6">
      <c r="A127" s="104" t="s">
        <v>174</v>
      </c>
      <c r="B127" s="102">
        <v>1</v>
      </c>
      <c r="C127" s="105">
        <f>IF(B127&lt;&gt;1,"",SUM(B$85:B127))</f>
        <v>43</v>
      </c>
      <c r="D127" s="102">
        <v>43</v>
      </c>
      <c r="F127" s="111" t="str">
        <f>IF(COUNTA($A$85:$A127)&lt;=MAX(DS_States_Sequence)=TRUE,LOOKUP(COUNTA($A$85:$A127),DS_States_Sequence,DS_States_DataNames),"")</f>
        <v>TN</v>
      </c>
    </row>
    <row r="128" spans="1:6">
      <c r="A128" s="104" t="s">
        <v>175</v>
      </c>
      <c r="B128" s="102">
        <v>1</v>
      </c>
      <c r="C128" s="105">
        <f>IF(B128&lt;&gt;1,"",SUM(B$85:B128))</f>
        <v>44</v>
      </c>
      <c r="D128" s="102">
        <v>44</v>
      </c>
      <c r="F128" s="111" t="str">
        <f>IF(COUNTA($A$85:$A128)&lt;=MAX(DS_States_Sequence)=TRUE,LOOKUP(COUNTA($A$85:$A128),DS_States_Sequence,DS_States_DataNames),"")</f>
        <v>TX</v>
      </c>
    </row>
    <row r="129" spans="1:6">
      <c r="A129" s="104" t="s">
        <v>176</v>
      </c>
      <c r="B129" s="102">
        <v>1</v>
      </c>
      <c r="C129" s="105">
        <f>IF(B129&lt;&gt;1,"",SUM(B$85:B129))</f>
        <v>45</v>
      </c>
      <c r="D129" s="102">
        <v>45</v>
      </c>
      <c r="F129" s="111" t="str">
        <f>IF(COUNTA($A$85:$A129)&lt;=MAX(DS_States_Sequence)=TRUE,LOOKUP(COUNTA($A$85:$A129),DS_States_Sequence,DS_States_DataNames),"")</f>
        <v>UT</v>
      </c>
    </row>
    <row r="130" spans="1:6">
      <c r="A130" s="104" t="s">
        <v>177</v>
      </c>
      <c r="B130" s="102">
        <v>1</v>
      </c>
      <c r="C130" s="105">
        <f>IF(B130&lt;&gt;1,"",SUM(B$85:B130))</f>
        <v>46</v>
      </c>
      <c r="D130" s="102">
        <v>46</v>
      </c>
      <c r="F130" s="111" t="str">
        <f>IF(COUNTA($A$85:$A130)&lt;=MAX(DS_States_Sequence)=TRUE,LOOKUP(COUNTA($A$85:$A130),DS_States_Sequence,DS_States_DataNames),"")</f>
        <v>VA</v>
      </c>
    </row>
    <row r="131" spans="1:6">
      <c r="A131" s="104" t="s">
        <v>178</v>
      </c>
      <c r="B131" s="102">
        <v>1</v>
      </c>
      <c r="C131" s="105">
        <f>IF(B131&lt;&gt;1,"",SUM(B$85:B131))</f>
        <v>47</v>
      </c>
      <c r="D131" s="102">
        <v>47</v>
      </c>
      <c r="F131" s="111" t="str">
        <f>IF(COUNTA($A$85:$A131)&lt;=MAX(DS_States_Sequence)=TRUE,LOOKUP(COUNTA($A$85:$A131),DS_States_Sequence,DS_States_DataNames),"")</f>
        <v>VT</v>
      </c>
    </row>
    <row r="132" spans="1:6">
      <c r="A132" s="104" t="s">
        <v>179</v>
      </c>
      <c r="B132" s="102">
        <v>1</v>
      </c>
      <c r="C132" s="105">
        <f>IF(B132&lt;&gt;1,"",SUM(B$85:B132))</f>
        <v>48</v>
      </c>
      <c r="D132" s="102">
        <v>48</v>
      </c>
      <c r="F132" s="111" t="str">
        <f>IF(COUNTA($A$85:$A132)&lt;=MAX(DS_States_Sequence)=TRUE,LOOKUP(COUNTA($A$85:$A132),DS_States_Sequence,DS_States_DataNames),"")</f>
        <v>WA</v>
      </c>
    </row>
    <row r="133" spans="1:6">
      <c r="A133" s="104" t="s">
        <v>180</v>
      </c>
      <c r="B133" s="102">
        <v>1</v>
      </c>
      <c r="C133" s="105">
        <f>IF(B133&lt;&gt;1,"",SUM(B$85:B133))</f>
        <v>49</v>
      </c>
      <c r="D133" s="102">
        <v>49</v>
      </c>
      <c r="F133" s="111" t="str">
        <f>IF(COUNTA($A$85:$A133)&lt;=MAX(DS_States_Sequence)=TRUE,LOOKUP(COUNTA($A$85:$A133),DS_States_Sequence,DS_States_DataNames),"")</f>
        <v>WI</v>
      </c>
    </row>
    <row r="134" spans="1:6">
      <c r="A134" s="104" t="s">
        <v>181</v>
      </c>
      <c r="B134" s="102">
        <v>1</v>
      </c>
      <c r="C134" s="105">
        <f>IF(B134&lt;&gt;1,"",SUM(B$85:B134))</f>
        <v>50</v>
      </c>
      <c r="D134" s="102">
        <v>50</v>
      </c>
      <c r="F134" s="111" t="str">
        <f>IF(COUNTA($A$85:$A134)&lt;=MAX(DS_States_Sequence)=TRUE,LOOKUP(COUNTA($A$85:$A134),DS_States_Sequence,DS_States_DataNames),"")</f>
        <v>WV</v>
      </c>
    </row>
    <row r="135" spans="1:6">
      <c r="A135" s="104" t="s">
        <v>182</v>
      </c>
      <c r="B135" s="102">
        <v>1</v>
      </c>
      <c r="C135" s="105">
        <f>IF(B135&lt;&gt;1,"",SUM(B$85:B135))</f>
        <v>51</v>
      </c>
      <c r="D135" s="102">
        <v>51</v>
      </c>
      <c r="F135" s="111" t="str">
        <f>IF(COUNTA($A$85:$A135)&lt;=MAX(DS_States_Sequence)=TRUE,LOOKUP(COUNTA($A$85:$A135),DS_States_Sequence,DS_States_DataNames),"")</f>
        <v>WY</v>
      </c>
    </row>
    <row r="137" spans="1:6" ht="18" customHeight="1">
      <c r="A137" s="1139" t="s">
        <v>1927</v>
      </c>
      <c r="B137" s="108"/>
      <c r="C137" s="108"/>
      <c r="D137" s="108"/>
      <c r="E137" s="1142" t="s">
        <v>963</v>
      </c>
      <c r="F137" s="394" t="s">
        <v>2</v>
      </c>
    </row>
    <row r="138" spans="1:6">
      <c r="A138" t="s">
        <v>974</v>
      </c>
      <c r="D138" s="1757" t="s">
        <v>1928</v>
      </c>
      <c r="E138" s="1756">
        <v>2</v>
      </c>
      <c r="F138" s="163" t="s">
        <v>183</v>
      </c>
    </row>
    <row r="139" spans="1:6">
      <c r="A139" t="s">
        <v>949</v>
      </c>
      <c r="D139" s="1757" t="s">
        <v>1928</v>
      </c>
      <c r="E139" s="620">
        <v>0.5</v>
      </c>
      <c r="F139" s="163" t="s">
        <v>184</v>
      </c>
    </row>
    <row r="140" spans="1:6">
      <c r="A140" t="s">
        <v>1926</v>
      </c>
      <c r="D140" s="1757" t="s">
        <v>1928</v>
      </c>
      <c r="E140" s="1756">
        <v>1</v>
      </c>
    </row>
    <row r="141" spans="1:6">
      <c r="A141" t="s">
        <v>973</v>
      </c>
      <c r="D141" s="1757" t="s">
        <v>1928</v>
      </c>
      <c r="E141" s="1756">
        <v>2</v>
      </c>
      <c r="F141" s="203"/>
    </row>
    <row r="143" spans="1:6" ht="18" customHeight="1">
      <c r="A143" s="1139" t="s">
        <v>1184</v>
      </c>
      <c r="B143" s="108"/>
      <c r="C143" s="108"/>
      <c r="D143" s="108"/>
      <c r="E143" s="986" t="s">
        <v>1182</v>
      </c>
    </row>
    <row r="144" spans="1:6">
      <c r="A144" t="s">
        <v>1183</v>
      </c>
      <c r="F144" s="25">
        <f>IFERROR(FIND("Rehab",_xlfn.CONCAT(DS_DevCat_DDMenu)),0)</f>
        <v>0</v>
      </c>
    </row>
    <row r="145" spans="1:27">
      <c r="A145" t="s">
        <v>1185</v>
      </c>
      <c r="F145" s="25" t="str" cm="1">
        <f t="array" ref="F145">IF(Operational_Contact_Middle_Initial&lt;&gt;"",CONCATENATE(Operational_Contact_First_Name," ",Operational_Contact_Middle_Initial," ",Operational_Contact_Last_Name),CONCATENATE(Operational_Contact_First_Name," ",Operational_Contact_Last_Name))</f>
        <v xml:space="preserve"> </v>
      </c>
    </row>
    <row r="147" spans="1:27" ht="18" customHeight="1">
      <c r="A147" s="1139" t="s">
        <v>15</v>
      </c>
      <c r="B147" s="1140" t="s">
        <v>4</v>
      </c>
      <c r="C147" s="1140" t="s">
        <v>5</v>
      </c>
      <c r="D147" s="1140" t="s">
        <v>6</v>
      </c>
      <c r="E147" s="986" t="s">
        <v>954</v>
      </c>
      <c r="F147" s="111" t="s">
        <v>2</v>
      </c>
      <c r="G147" s="9" t="s">
        <v>1739</v>
      </c>
    </row>
    <row r="148" spans="1:27">
      <c r="A148" s="104" t="s">
        <v>16</v>
      </c>
      <c r="B148" s="102">
        <v>1</v>
      </c>
      <c r="C148" s="105">
        <f>IF(B148&lt;&gt;1,"",SUM(B$148:B148))</f>
        <v>1</v>
      </c>
      <c r="D148" s="102">
        <v>1</v>
      </c>
      <c r="F148" s="111" t="str">
        <f>IF(COUNTA($A$148:$A148)&lt;=MAX(DS_DevCat_Sequence)=TRUE,LOOKUP(COUNTA($A$148:$A148),DS_DevCat_Sequence,DS_DevCat_DataNames),"")</f>
        <v>New Construction</v>
      </c>
      <c r="G148" s="1574" t="s">
        <v>1784</v>
      </c>
      <c r="H148" s="108" t="s">
        <v>1790</v>
      </c>
    </row>
    <row r="149" spans="1:27">
      <c r="A149" s="106" t="s">
        <v>17</v>
      </c>
      <c r="B149" s="103"/>
      <c r="C149" s="105" t="str">
        <f>IF(B149&lt;&gt;1,"",SUM(B$148:B149))</f>
        <v/>
      </c>
      <c r="D149" s="103">
        <v>2</v>
      </c>
      <c r="F149" s="111" t="str">
        <f>IF(COUNTA($A$148:$A149)&lt;=MAX(DS_DevCat_Sequence)=TRUE,LOOKUP(COUNTA($A$148:$A149),DS_DevCat_Sequence,DS_DevCat_DataNames),"")</f>
        <v/>
      </c>
      <c r="G149" s="1574" t="s">
        <v>1785</v>
      </c>
      <c r="H149" s="108" t="str" cm="1">
        <f t="array" aca="1" ref="H149"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50" spans="1:27">
      <c r="A150" s="106" t="s">
        <v>18</v>
      </c>
      <c r="B150" s="103"/>
      <c r="C150" s="105" t="str">
        <f>IF(B150&lt;&gt;1,"",SUM(B$148:B150))</f>
        <v/>
      </c>
      <c r="D150" s="103">
        <v>3</v>
      </c>
      <c r="F150" s="111" t="str">
        <f>IF(COUNTA($A$148:$A150)&lt;=MAX(DS_DevCat_Sequence)=TRUE,LOOKUP(COUNTA($A$148:$A150),DS_DevCat_Sequence,DS_DevCat_DataNames),"")</f>
        <v/>
      </c>
      <c r="G150" s="1574" t="s">
        <v>1786</v>
      </c>
      <c r="H150" s="108" t="str">
        <f>"Applicant still needs to complete the Unit Characteristics chart in Section 4.A.4."&amp;'Proposed Development Info'!A54&amp;". below. "</f>
        <v xml:space="preserve">Applicant still needs to complete the Unit Characteristics chart in Section 4.A.4.d. below. </v>
      </c>
    </row>
    <row r="151" spans="1:27">
      <c r="A151" s="106" t="s">
        <v>19</v>
      </c>
      <c r="B151" s="103"/>
      <c r="C151" s="105" t="str">
        <f>IF(B151&lt;&gt;1,"",SUM(B$148:B151))</f>
        <v/>
      </c>
      <c r="D151" s="103">
        <v>4</v>
      </c>
      <c r="F151" s="111" t="str">
        <f>IF(COUNTA($A$148:$A151)&lt;=MAX(DS_DevCat_Sequence)=TRUE,LOOKUP(COUNTA($A$148:$A151),DS_DevCat_Sequence,DS_DevCat_DataNames),"")</f>
        <v/>
      </c>
      <c r="G151" s="1574" t="s">
        <v>1787</v>
      </c>
      <c r="H151" s="203" t="str" cm="1">
        <f t="array" aca="1" ref="H151" ca="1">"Applicant still needs to enter Development Costs in the '"&amp;MID(CELL("filename",'Pro Forma'!$A$1),FIND("]",CELL("filename",'Pro Forma'!$A$1))+1,255)&amp;"' worksheet tab. This calculation uses the Pro Forma amounts in column 1 ('HC ELIGIBLE COSTS')"&amp;" for 'B. TOTAL ACQUISITION COSTS OF EXISTING DEVELOPMENT (excluding land)' [cell H182], 'C. DEVELOPMENT COSTS' [cell H184], and 'Developer Fee on Non-Acquisition Costs' [cell H190]. "</f>
        <v xml:space="preserve">Applicant still needs to enter Development Costs in the 'Pro Forma' worksheet tab. This calculation uses the Pro Forma amounts in column 1 ('HC ELIGIBLE COSTS') for 'B. TOTAL ACQUISITION COSTS OF EXISTING DEVELOPMENT (excluding land)' [cell H182], 'C. DEVELOPMENT COSTS' [cell H184], and 'Developer Fee on Non-Acquisition Costs' [cell H190]. </v>
      </c>
    </row>
    <row r="152" spans="1:27">
      <c r="A152" s="106" t="s">
        <v>20</v>
      </c>
      <c r="B152" s="103"/>
      <c r="C152" s="105" t="str">
        <f>IF(B152&lt;&gt;1,"",SUM(B$148:B152))</f>
        <v/>
      </c>
      <c r="D152" s="103">
        <v>5</v>
      </c>
      <c r="E152" s="1132" t="s">
        <v>1810</v>
      </c>
      <c r="F152" s="111" t="str">
        <f>IF(COUNTA($A$148:$A152)&lt;=MAX(DS_DevCat_Sequence)=TRUE,LOOKUP(COUNTA($A$148:$A152),DS_DevCat_Sequence,DS_DevCat_DataNames),"")</f>
        <v/>
      </c>
      <c r="G152" s="1574" t="s">
        <v>1788</v>
      </c>
      <c r="H152" s="203" t="str" cm="1">
        <f t="array" aca="1" ref="H152" ca="1">"Applicant still needs to enter Development Costs in the '"&amp;MID(CELL("filename",'Pro Forma'!$A$1),FIND("]",CELL("filename",'Pro Forma'!$A$1))+1,255)&amp;"' worksheet tab. This calculation uses the Pro Forma amounts in column 1 ('HC ELIGIBLE COSTS')"&amp;" for 'B. TOTAL ACQUISITION COSTS OF EXISTING DEVELOPMENT (excluding land)' [cell H182] and 'Developer Fee on Acquisition Costs' [cell H188]. "</f>
        <v xml:space="preserve">Applicant still needs to enter Development Costs in the 'Pro Forma' worksheet tab. This calculation uses the Pro Forma amounts in column 1 ('HC ELIGIBLE COSTS') for 'B. TOTAL ACQUISITION COSTS OF EXISTING DEVELOPMENT (excluding land)' [cell H182] and 'Developer Fee on Acquisition Costs' [cell H188]. </v>
      </c>
    </row>
    <row r="153" spans="1:27">
      <c r="A153" s="106" t="s">
        <v>21</v>
      </c>
      <c r="B153" s="103"/>
      <c r="C153" s="105" t="str">
        <f>IF(B153&lt;&gt;1,"",SUM(B$148:B153))</f>
        <v/>
      </c>
      <c r="D153" s="103">
        <v>6</v>
      </c>
      <c r="E153" s="1601">
        <f>IF(OR(IFERROR(MATCH("Rehabilitation",DS_DevCat_DDMenu,0),0)&gt;0,IFERROR(MATCH("Acquisition and Rehabilitation",DS_DevCat_DDMenu,0),0)&gt;0),2,0)</f>
        <v>0</v>
      </c>
      <c r="F153" s="111" t="str">
        <f>IF(COUNTA($A$148:$A153)&lt;=MAX(DS_DevCat_Sequence)=TRUE,LOOKUP(COUNTA($A$148:$A153),DS_DevCat_Sequence,DS_DevCat_DataNames),"")</f>
        <v/>
      </c>
      <c r="G153" s="1574" t="s">
        <v>1789</v>
      </c>
      <c r="H153" s="203" t="str" cm="1">
        <f t="array" aca="1" ref="H153" ca="1">"Applicant still needs to select a Housing Credit Set-Aside Commitment at Section 4.A.6.d.(1) in the '"&amp;MID(CELL("filename",'Units, Set-Asides, Bldgs'!$A$1),FIND("]",CELL("filename",'Units, Set-Asides, Bldgs'!$A$1))+1,255)&amp;"' worksheet tab. "</f>
        <v xml:space="preserve">Applicant still needs to select a Housing Credit Set-Aside Commitment at Section 4.A.6.d.(1) in the 'Units, Set-Asides, Bldgs' worksheet tab. </v>
      </c>
    </row>
    <row r="154" spans="1:27">
      <c r="A154" s="106" t="s">
        <v>22</v>
      </c>
      <c r="B154" s="103"/>
      <c r="C154" s="105" t="str">
        <f>IF(B154&lt;&gt;1,"",SUM(B$148:B154))</f>
        <v/>
      </c>
      <c r="D154" s="103">
        <v>7</v>
      </c>
      <c r="E154" s="1601">
        <f>IF(OR(IFERROR(MATCH("Preservation",DS_DevCat_DDMenu,0),0)&gt;0,IFERROR(MATCH("Acquisition and Preservation",DS_DevCat_DDMenu,0),0)&gt;0),1,0)</f>
        <v>0</v>
      </c>
      <c r="F154" s="111" t="str">
        <f>IF(COUNTA($A$148:$A154)&lt;=MAX(DS_DevCat_Sequence)=TRUE,LOOKUP(COUNTA($A$148:$A154),DS_DevCat_Sequence,DS_DevCat_DataNames),"")</f>
        <v/>
      </c>
    </row>
    <row r="156" spans="1:27">
      <c r="A156" s="1139" t="s">
        <v>1688</v>
      </c>
    </row>
    <row r="157" spans="1:27" ht="14.5" customHeight="1">
      <c r="A157" s="1453" t="s">
        <v>1689</v>
      </c>
      <c r="B157" s="203"/>
      <c r="C157" s="203"/>
      <c r="D157" s="203"/>
      <c r="E157" s="203"/>
      <c r="F157" s="203"/>
    </row>
    <row r="158" spans="1:27" ht="14.5" customHeight="1">
      <c r="A158" s="683" t="s">
        <v>1713</v>
      </c>
      <c r="B158" s="1991">
        <v>0.5</v>
      </c>
      <c r="C158" s="1991"/>
      <c r="D158" s="683" t="s">
        <v>1690</v>
      </c>
      <c r="E158" s="696"/>
      <c r="F158" s="696"/>
    </row>
    <row r="159" spans="1:27">
      <c r="A159" s="683" t="s">
        <v>1733</v>
      </c>
      <c r="B159" s="2017">
        <f>SUM('Proposed Development Info'!H$59:H$67)</f>
        <v>0</v>
      </c>
      <c r="C159" s="2017"/>
      <c r="D159" s="683"/>
      <c r="E159" s="696"/>
      <c r="F159" s="696"/>
    </row>
    <row r="160" spans="1:27">
      <c r="A160" s="854" t="s">
        <v>1714</v>
      </c>
      <c r="B160" s="198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Info'!$H$59:$H$67)/Total_Units)))))))</f>
        <v>(2)</v>
      </c>
      <c r="C160" s="1980"/>
      <c r="D160" s="854" t="s">
        <v>1691</v>
      </c>
      <c r="E160" s="855"/>
      <c r="F160" s="855"/>
      <c r="G160" s="112" t="str">
        <f ca="1">IF($B160="(1) (2) (3)",$H$148&amp;" "&amp;$H$149&amp;" "&amp;$H$150,IF($B160="(1) (2)",$H$148&amp;" "&amp;$H$149,IF($B160="(1) (3)",$H$148&amp;" "&amp;$H$150,IF($B160="(2) (3)",$H$149&amp;" "&amp;$H$150,IF($B160="(1)",$H$148,IF($B160="(2)",$H$149,IF($B160="(3)",$H$150,"")))))))</f>
        <v xml:space="preserve">Applicant still needs to enter Total Units in Section 4.A.6.a. in the 'Units, Set-Asides, Bldgs' worksheet tab. </v>
      </c>
      <c r="H160" s="163"/>
      <c r="I160" s="163"/>
      <c r="J160" s="163"/>
      <c r="K160" s="163"/>
      <c r="L160" s="163"/>
      <c r="M160" s="163"/>
      <c r="N160" s="163"/>
      <c r="O160" s="163"/>
      <c r="P160" s="163"/>
      <c r="Q160" s="163"/>
      <c r="R160" s="163"/>
      <c r="S160" s="163"/>
      <c r="T160" s="163"/>
      <c r="U160" s="163"/>
      <c r="V160" s="163"/>
      <c r="W160" s="163"/>
      <c r="X160" s="163"/>
      <c r="Y160" s="163"/>
      <c r="Z160" s="163"/>
      <c r="AA160" s="163"/>
    </row>
    <row r="161" spans="1:38">
      <c r="A161" s="1463" t="s">
        <v>1726</v>
      </c>
      <c r="B161" s="1972" t="str">
        <f>IF(Development_Category="New Construction",IF(LEFT(Data1!B160,1)="(","TBD",IF(Data1!B160&gt;=B158,"Yes","No")),"NA")</f>
        <v>TBD</v>
      </c>
      <c r="C161" s="1972"/>
      <c r="D161" s="854" t="s">
        <v>1744</v>
      </c>
      <c r="E161" s="855"/>
      <c r="F161" s="855"/>
      <c r="G161" s="1023"/>
      <c r="H161" s="203"/>
      <c r="I161" s="203"/>
      <c r="J161" s="203"/>
      <c r="K161" s="203"/>
      <c r="L161" s="203"/>
      <c r="M161" s="203"/>
      <c r="N161" s="203"/>
      <c r="O161" s="203"/>
      <c r="P161" s="203"/>
      <c r="Q161" s="203"/>
      <c r="R161" s="203"/>
      <c r="S161" s="203"/>
      <c r="T161" s="203"/>
      <c r="U161" s="203"/>
      <c r="V161" s="203"/>
      <c r="W161" s="203"/>
      <c r="X161" s="203"/>
      <c r="Y161" s="203"/>
      <c r="Z161" s="203"/>
      <c r="AA161" s="203"/>
    </row>
    <row r="162" spans="1:38" ht="25.25" customHeight="1" thickBot="1">
      <c r="A162" s="1493" t="s">
        <v>1745</v>
      </c>
      <c r="B162" s="1975" t="str">
        <f>IF(Development_Category="&lt;select one&gt;","(1)","")&amp;IF(Total_Units=0,"(2)","")&amp;IF(OR(total_units_in_unit_desc_chart=0,total_units_in_unit_desc_chart&lt;Total_Units),"(3)","")</f>
        <v>(2)(3)</v>
      </c>
      <c r="C162" s="1976"/>
      <c r="D162" s="1494" t="s">
        <v>1744</v>
      </c>
      <c r="E162" s="1495"/>
      <c r="F162" s="1495"/>
      <c r="G162" s="1496" t="str">
        <f ca="1">IF(IFERROR(FIND("(1)",$B162)&gt;0,0)&gt;0,$H$148,"")&amp;IF(IFERROR(FIND("(2)",$B162)&gt;0,0)&gt;0,$H$149,"")&amp;IF(IFERROR(FIND("(3)",$B162)&gt;0,0)&gt;0,$H$150,"")&amp;IF(IFERROR(FIND("(4)",$B162)&gt;0,0)&gt;0,$H$151,"")&amp;IF(IFERROR(FIND("(5)",$B162)&gt;0,0)&gt;0,$H$152,"")&amp;IF(IFERROR(FIND("(6)",$B162)&gt;0,0)&gt;0,$H$153,"")&amp;IF(AND(IFERROR(FIND("(1)",$B162)&gt;0,0)=0,IFERROR(FIND("(2)",$B162)&gt;0,0)=0,IFERROR(FIND("(3)",$B162)&gt;0,0)=0,IFERROR(FIND("(4)",$B162)&gt;0,0)=0,IFERROR(FIND("(5)",$B162)=0,0)&gt;0,IFERROR(FIND("(6)",$B162)&gt;0,0)=0),"This area intentionally left blank.","")</f>
        <v xml:space="preserve">Applicant still needs to enter Total Units in Section 4.A.6.a. in the 'Units, Set-Asides, Bldgs' worksheet tab. Applicant still needs to complete the Unit Characteristics chart in Section 4.A.4.d. below. </v>
      </c>
      <c r="H162" s="1497"/>
      <c r="I162" s="1497"/>
      <c r="J162" s="1497"/>
      <c r="K162" s="1497"/>
      <c r="L162" s="1497"/>
      <c r="M162" s="1497"/>
      <c r="N162" s="1497"/>
      <c r="O162" s="1497"/>
      <c r="P162" s="1497"/>
      <c r="Q162" s="1497"/>
      <c r="R162" s="1497"/>
      <c r="S162" s="1497"/>
      <c r="T162" s="1497"/>
      <c r="U162" s="1497"/>
      <c r="V162" s="1497"/>
      <c r="W162" s="1497"/>
      <c r="X162" s="1497"/>
      <c r="Y162" s="1497"/>
      <c r="Z162" s="1497"/>
      <c r="AA162" s="1497"/>
      <c r="AB162" s="1497"/>
      <c r="AC162" s="1497"/>
      <c r="AD162" s="1497"/>
      <c r="AE162" s="1497"/>
      <c r="AF162" s="1497"/>
      <c r="AG162" s="1497"/>
      <c r="AH162" s="1497"/>
      <c r="AI162" s="1497"/>
      <c r="AJ162" s="1497"/>
      <c r="AK162" s="1497"/>
      <c r="AL162" s="1497"/>
    </row>
    <row r="163" spans="1:38">
      <c r="A163" s="203"/>
      <c r="B163" s="203"/>
      <c r="C163" s="203"/>
      <c r="D163" s="203"/>
      <c r="E163" s="203"/>
      <c r="F163" s="203"/>
      <c r="G163" s="108"/>
    </row>
    <row r="164" spans="1:38">
      <c r="A164" s="1454" t="s">
        <v>1700</v>
      </c>
      <c r="B164" s="203"/>
      <c r="C164" s="203"/>
      <c r="D164" s="203"/>
      <c r="E164" s="203"/>
      <c r="F164" s="203"/>
      <c r="G164" s="1986" t="str">
        <f>"If the Development Category is "&amp;IF(OR(Development_Category="Preservation",Development_Category="Acquisition and Preservation"),"Preservation","Redevelopment")&amp;" (with or without Acquisition), provide the Qualification Letter from HUD or RD, dated within "&amp;IF(OR(Development_Category="Preservation",Development_Category="Acquisition and Preservation"),"six","twelve")&amp;" months of Application Deadline which includes the criteria lised in 4.A.4.b.(2)"&amp;IF(OR(Development_Category="Preservation",Development_Category="Acquisition and Preservation"),"(e)","(c)(iii)")&amp;" as Attachment 6?"</f>
        <v>If the Development Category is Redevelopment (with or without Acquisition), provide the Qualification Letter from HUD or RD, dated within twelve months of Application Deadline which includes the criteria lised in 4.A.4.b.(2)(c)(iii) as Attachment 6?</v>
      </c>
      <c r="H164" s="1987"/>
      <c r="I164" s="1987"/>
      <c r="J164" s="1987"/>
      <c r="K164" s="1987"/>
      <c r="L164" s="1987"/>
      <c r="M164" s="1987"/>
      <c r="N164" s="1987"/>
      <c r="O164" s="1542" t="s">
        <v>2</v>
      </c>
      <c r="P164" s="1471"/>
      <c r="Q164" s="1472">
        <f>IF(OR(Development_Category="Redevelopment",Development_Category="Acquisition and Redevelopment",Development_Category="Preservation",Development_Category="Acquisition and Preservation"),T164,0)</f>
        <v>0</v>
      </c>
      <c r="R164" s="1473">
        <f>IF(AND(Q164&lt;&gt;0,AND(Data1!K164&lt;&gt;"&lt;select one&gt;",Data1!K164&lt;&gt;"")),Q164,0)</f>
        <v>0</v>
      </c>
      <c r="S164" s="1474" t="str">
        <f>CHOOSE(Q164+1,"Not to be included in this RFA","A REQUIRED input field for this RFA","An OPTIONAL input field for this RFA")</f>
        <v>Not to be included in this RFA</v>
      </c>
      <c r="T164" s="1475">
        <v>1</v>
      </c>
    </row>
    <row r="165" spans="1:38">
      <c r="A165" s="600" t="s">
        <v>1697</v>
      </c>
      <c r="B165" s="1991">
        <v>0.5</v>
      </c>
      <c r="C165" s="1991"/>
      <c r="D165" s="683" t="s">
        <v>1690</v>
      </c>
      <c r="E165" s="696"/>
      <c r="F165" s="696"/>
      <c r="G165" s="1988"/>
      <c r="H165" s="1989"/>
      <c r="I165" s="1989"/>
      <c r="J165" s="1989"/>
      <c r="K165" s="1989"/>
      <c r="L165" s="1989"/>
      <c r="M165" s="1989"/>
      <c r="N165" s="1989"/>
      <c r="O165" s="1476"/>
      <c r="P165" s="1476"/>
      <c r="Q165" s="1476"/>
      <c r="R165" s="1476"/>
      <c r="S165" s="1476"/>
      <c r="T165" s="1477"/>
    </row>
    <row r="166" spans="1:38">
      <c r="A166" s="683" t="s">
        <v>1734</v>
      </c>
      <c r="B166" s="1985">
        <f>SUM('Proposed Development Info'!H$59:H$67)</f>
        <v>0</v>
      </c>
      <c r="C166" s="1985"/>
      <c r="D166" s="683"/>
      <c r="E166" s="696"/>
      <c r="F166" s="696"/>
      <c r="G166" s="108"/>
    </row>
    <row r="167" spans="1:38">
      <c r="A167" s="757" t="s">
        <v>1698</v>
      </c>
      <c r="B167" s="198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Info'!$H$59:$H$67)/Total_Units)))))))</f>
        <v>(2)</v>
      </c>
      <c r="C167" s="1980"/>
      <c r="D167" s="854" t="s">
        <v>1691</v>
      </c>
      <c r="E167" s="855"/>
      <c r="F167" s="855"/>
      <c r="G167" s="112" t="str">
        <f ca="1">IF($B167="(1) (2) (3)",$H$148&amp;" "&amp;$H$149&amp;" "&amp;$H$150,IF($B167="(1) (2)",$H$148&amp;" "&amp;$H$149,IF($B167="(1) (3)",$H$148&amp;" "&amp;$H$150,IF($B167="(2) (3)",$H$149&amp;" "&amp;$H$150,IF($B167="(1)",$H$148,IF($B167="(2)",$H$149,IF($B167="(3)",$H$150,"")))))))</f>
        <v xml:space="preserve">Applicant still needs to enter Total Units in Section 4.A.6.a. in the 'Units, Set-Asides, Bldgs' worksheet tab. </v>
      </c>
      <c r="H167" s="163"/>
      <c r="I167" s="163"/>
      <c r="J167" s="163"/>
      <c r="K167" s="163"/>
      <c r="L167" s="163"/>
      <c r="M167" s="163"/>
      <c r="N167" s="163"/>
      <c r="O167" s="163"/>
      <c r="P167" s="163"/>
      <c r="Q167" s="163"/>
      <c r="R167" s="163"/>
      <c r="S167" s="163"/>
      <c r="T167" s="163"/>
      <c r="U167" s="163"/>
      <c r="V167" s="163"/>
      <c r="W167" s="163"/>
      <c r="X167" s="163"/>
      <c r="Y167" s="163"/>
      <c r="Z167" s="163"/>
      <c r="AA167" s="163"/>
    </row>
    <row r="168" spans="1:38">
      <c r="A168" s="1464" t="s">
        <v>1711</v>
      </c>
      <c r="B168" s="1972" t="str">
        <f>IF(OR(Development_Category="Redevelopment",Development_Category="Acquisition and Redevelopment"),IF(LEFT(Data1!B167,1)="(","TBD",IF(Data1!B167&gt;=B165,"Yes","No")),"NA")</f>
        <v>NA</v>
      </c>
      <c r="C168" s="1972"/>
      <c r="D168" s="1463" t="s">
        <v>1744</v>
      </c>
      <c r="E168" s="855"/>
      <c r="F168" s="855"/>
      <c r="G168" s="1023"/>
      <c r="H168" s="203"/>
      <c r="I168" s="203"/>
      <c r="J168" s="203"/>
      <c r="K168" s="203"/>
      <c r="L168" s="203"/>
      <c r="M168" s="203"/>
      <c r="N168" s="203"/>
      <c r="O168" s="203"/>
      <c r="P168" s="203"/>
      <c r="Q168" s="203"/>
      <c r="R168" s="203"/>
      <c r="S168" s="203"/>
      <c r="T168" s="203"/>
      <c r="U168" s="203"/>
      <c r="V168" s="203"/>
      <c r="W168" s="203"/>
      <c r="X168" s="203"/>
      <c r="Y168" s="203"/>
      <c r="Z168" s="203"/>
      <c r="AA168" s="203"/>
    </row>
    <row r="169" spans="1:38">
      <c r="A169" s="1463" t="str">
        <f>"     (ii) Meets the Rule Definition (67-"&amp;IF(Funding!L$188=1,"21","48")&amp;".002) for Redevelopment?"</f>
        <v xml:space="preserve">     (ii) Meets the Rule Definition (67-48.002) for Redevelopment?</v>
      </c>
      <c r="B169" s="1983" t="str">
        <f>IF(OR(Development_Category="Redevelopment",Development_Category="Acquisition and Redevelopment"),IF(DS_DevCat_Rule_Def="Yes","Yes",IF(DS_DevCat_Rule_Def="No","No","Need Response at 4.A.4.b.(2)")),"Not a Redevelopment development")</f>
        <v>Not a Redevelopment development</v>
      </c>
      <c r="C169" s="1983"/>
      <c r="D169" s="1983"/>
      <c r="E169" s="1983"/>
      <c r="F169" s="855"/>
      <c r="G169" s="108"/>
    </row>
    <row r="170" spans="1:38">
      <c r="A170" s="1469" t="s">
        <v>1712</v>
      </c>
      <c r="B170" s="1970" t="str">
        <f>IF(OR(Development_Category="Redevelopment",Development_Category="Acquisition and Redevelopment"),IF(DS_DevCat_Qual_Letter="Yes","Yes",IF(DS_DevCat_Qual_Letter="No","No","Need Response at 4.A.4.b.(2)")),"NA")</f>
        <v>NA</v>
      </c>
      <c r="C170" s="1970"/>
      <c r="D170" s="1970"/>
      <c r="E170" s="1970"/>
      <c r="F170" s="1470"/>
      <c r="G170" s="108"/>
    </row>
    <row r="171" spans="1:38" ht="25.25" customHeight="1" thickBot="1">
      <c r="A171" s="1493" t="s">
        <v>1745</v>
      </c>
      <c r="B171" s="1975" t="str">
        <f>IF(Development_Category="&lt;select one&gt;","(1)","")&amp;IF(Total_Units=0,"(2)","")&amp;IF(total_units_in_unit_desc_chart&lt;Total_Units,"(3)","")</f>
        <v>(2)</v>
      </c>
      <c r="C171" s="1976"/>
      <c r="D171" s="1495" t="s">
        <v>1744</v>
      </c>
      <c r="E171" s="1495"/>
      <c r="F171" s="1495"/>
      <c r="G171" s="1496" t="str">
        <f ca="1">IF(IFERROR(FIND("(1)",$B171)&gt;0,0)&gt;0,$H$148,"")&amp;IF(IFERROR(FIND("(2)",$B171)&gt;0,0)&gt;0,$H$149,"")&amp;IF(IFERROR(FIND("(3)",$B171)&gt;0,0)&gt;0,$H$150,"")&amp;IF(IFERROR(FIND("(4)",$B171)&gt;0,0)&gt;0,$H$151,"")&amp;IF(IFERROR(FIND("(5)",$B171)&gt;0,0)&gt;0,$H$152,"")&amp;IF(IFERROR(FIND("(6)",$B171)&gt;0,0)&gt;0,$H$153,"")&amp;IF(AND(IFERROR(FIND("(1)",$B171)&gt;0,0)=0,IFERROR(FIND("(2)",$B171)&gt;0,0)=0,IFERROR(FIND("(3)",$B171)&gt;0,0)=0,IFERROR(FIND("(4)",$B171)&gt;0,0)=0,IFERROR(FIND("(5)",$B171)=0,0)&gt;0,IFERROR(FIND("(6)",$B171)&gt;0,0)=0),"This area intentionally left blank.","")</f>
        <v xml:space="preserve">Applicant still needs to enter Total Units in Section 4.A.6.a. in the 'Units, Set-Asides, Bldgs' worksheet tab. </v>
      </c>
      <c r="H171" s="1497"/>
      <c r="I171" s="1497"/>
      <c r="J171" s="1497"/>
      <c r="K171" s="1497"/>
      <c r="L171" s="1497"/>
      <c r="M171" s="1497"/>
      <c r="N171" s="1497"/>
      <c r="O171" s="1497"/>
      <c r="P171" s="1497"/>
      <c r="Q171" s="1497"/>
      <c r="R171" s="1497"/>
      <c r="S171" s="1497"/>
      <c r="T171" s="1497"/>
      <c r="U171" s="1497"/>
      <c r="V171" s="1497"/>
      <c r="W171" s="1497"/>
      <c r="X171" s="1497"/>
      <c r="Y171" s="1497"/>
      <c r="Z171" s="1497"/>
      <c r="AA171" s="1497"/>
      <c r="AB171" s="1497"/>
      <c r="AC171" s="1497"/>
      <c r="AD171" s="1497"/>
      <c r="AE171" s="1497"/>
      <c r="AF171" s="1497"/>
      <c r="AG171" s="1497"/>
      <c r="AH171" s="1497"/>
      <c r="AI171" s="1497"/>
      <c r="AJ171" s="1497"/>
      <c r="AK171" s="1497"/>
      <c r="AL171" s="1497"/>
    </row>
    <row r="172" spans="1:38">
      <c r="A172" s="691"/>
      <c r="B172" s="691"/>
      <c r="C172" s="691"/>
      <c r="D172" s="691"/>
      <c r="E172" s="691"/>
      <c r="F172" s="691"/>
      <c r="G172" s="1488"/>
      <c r="H172" s="1482"/>
      <c r="I172" s="1482"/>
      <c r="J172" s="1482"/>
      <c r="K172" s="1482"/>
      <c r="L172" s="1482"/>
      <c r="M172" s="1482"/>
      <c r="N172" s="1482"/>
      <c r="O172" s="215"/>
      <c r="P172" s="215"/>
      <c r="Q172" s="215"/>
      <c r="R172" s="215"/>
      <c r="S172" s="215"/>
      <c r="T172" s="215"/>
    </row>
    <row r="173" spans="1:38">
      <c r="A173" s="1454" t="s">
        <v>1701</v>
      </c>
      <c r="E173" s="203"/>
      <c r="F173" s="203"/>
      <c r="G173" s="1993" t="s">
        <v>1717</v>
      </c>
      <c r="H173" s="1994"/>
      <c r="I173" s="1994"/>
      <c r="J173" s="1994"/>
      <c r="K173" s="1994"/>
      <c r="L173" s="1994"/>
      <c r="M173" s="1994"/>
      <c r="N173" s="1994"/>
      <c r="O173" s="1542" t="s">
        <v>2</v>
      </c>
      <c r="P173" s="1471"/>
      <c r="Q173" s="1472">
        <f>IF(OR(Development_Category="Preservation",Development_Category="Acquisition and Preservation"),T173,0)</f>
        <v>0</v>
      </c>
      <c r="R173" s="1473">
        <f>IF(AND(Q173&lt;&gt;0,AND(Data1!K173&lt;&gt;"&lt;select one&gt;",Data1!K173&lt;&gt;"")),Q173,0)</f>
        <v>0</v>
      </c>
      <c r="S173" s="1474" t="str">
        <f>CHOOSE(Q173+1,"Not to be included in this RFA","A REQUIRED input field for this RFA","An OPTIONAL input field for this RFA")</f>
        <v>Not to be included in this RFA</v>
      </c>
      <c r="T173" s="1475">
        <v>1</v>
      </c>
    </row>
    <row r="174" spans="1:38">
      <c r="A174" s="683" t="s">
        <v>1713</v>
      </c>
      <c r="B174" s="1992">
        <v>0.5</v>
      </c>
      <c r="C174" s="1992"/>
      <c r="D174" s="683" t="s">
        <v>1690</v>
      </c>
      <c r="E174" s="696"/>
      <c r="F174" s="696"/>
      <c r="G174" s="1995"/>
      <c r="H174" s="1996"/>
      <c r="I174" s="1996"/>
      <c r="J174" s="1996"/>
      <c r="K174" s="1996"/>
      <c r="L174" s="1996"/>
      <c r="M174" s="1996"/>
      <c r="N174" s="1996"/>
      <c r="O174" s="1476"/>
      <c r="P174" s="1476"/>
      <c r="Q174" s="1476"/>
      <c r="R174" s="1476"/>
      <c r="S174" s="1476"/>
      <c r="T174" s="1477"/>
    </row>
    <row r="175" spans="1:38">
      <c r="A175" s="683" t="s">
        <v>1733</v>
      </c>
      <c r="B175" s="1985">
        <f>SUM('Proposed Development Info'!H$59:H$67)</f>
        <v>0</v>
      </c>
      <c r="C175" s="1985"/>
      <c r="D175" s="683"/>
      <c r="E175" s="696"/>
      <c r="F175" s="696"/>
      <c r="G175" s="108"/>
    </row>
    <row r="176" spans="1:38">
      <c r="A176" s="854" t="s">
        <v>1714</v>
      </c>
      <c r="B176" s="198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Info'!$H$59:$H$67)/Total_Units)))))))</f>
        <v>(2)</v>
      </c>
      <c r="C176" s="1980"/>
      <c r="D176" s="854" t="s">
        <v>1691</v>
      </c>
      <c r="E176" s="855"/>
      <c r="F176" s="855"/>
      <c r="G176" s="112" t="str">
        <f ca="1">IF($B176="(1) (2) (3)",$H$148&amp;" "&amp;$H$149&amp;" "&amp;$H$150,IF($B176="(1) (2)",$H$148&amp;" "&amp;$H$149,IF($B176="(1) (3)",$H$148&amp;" "&amp;$H$150,IF($B176="(2) (3)",$H$149&amp;" "&amp;$H$150,IF($B176="(1)",$H$148,IF($B176="(2)",$H$149,IF($B176="(3)",$H$150,"")))))))</f>
        <v xml:space="preserve">Applicant still needs to enter Total Units in Section 4.A.6.a. in the 'Units, Set-Asides, Bldgs' worksheet tab. </v>
      </c>
      <c r="H176" s="163"/>
      <c r="I176" s="163"/>
      <c r="J176" s="163"/>
      <c r="K176" s="163"/>
      <c r="L176" s="163"/>
      <c r="M176" s="163"/>
      <c r="N176" s="163"/>
      <c r="O176" s="163"/>
      <c r="P176" s="163"/>
      <c r="Q176" s="163"/>
      <c r="R176" s="163"/>
      <c r="S176" s="163"/>
      <c r="T176" s="163"/>
      <c r="U176" s="163"/>
      <c r="V176" s="163"/>
      <c r="W176" s="163"/>
      <c r="X176" s="163"/>
      <c r="Y176" s="163"/>
      <c r="Z176" s="163"/>
      <c r="AA176" s="163"/>
    </row>
    <row r="177" spans="1:38">
      <c r="A177" s="1463" t="s">
        <v>1726</v>
      </c>
      <c r="B177" s="1972" t="str">
        <f>IF(OR(Development_Category="Preservation",Development_Category="Acquisition and Preservation"),IF(LEFT(Data1!B176,1)="(","TBD",IF(Data1!B176&lt;B174,"Yes","No")),"NA")</f>
        <v>NA</v>
      </c>
      <c r="C177" s="1972"/>
      <c r="D177" s="854" t="s">
        <v>1744</v>
      </c>
      <c r="E177" s="855"/>
      <c r="F177" s="855"/>
      <c r="G177" s="1023"/>
      <c r="H177" s="203"/>
      <c r="I177" s="203"/>
      <c r="J177" s="203"/>
      <c r="K177" s="203"/>
      <c r="L177" s="203"/>
      <c r="M177" s="203"/>
      <c r="N177" s="203"/>
      <c r="O177" s="203"/>
      <c r="P177" s="203"/>
      <c r="Q177" s="203"/>
      <c r="R177" s="203"/>
      <c r="S177" s="203"/>
      <c r="T177" s="203"/>
      <c r="U177" s="203"/>
      <c r="V177" s="203"/>
      <c r="W177" s="203"/>
      <c r="X177" s="203"/>
      <c r="Y177" s="203"/>
      <c r="Z177" s="203"/>
      <c r="AA177" s="203"/>
    </row>
    <row r="178" spans="1:38">
      <c r="A178" s="1464" t="str">
        <f>"     (b) Meets the Rule Definition (67-"&amp;IF(Funding!L$188=1,"21","48")&amp;".002) for Preservation &amp; Rehab?"</f>
        <v xml:space="preserve">     (b) Meets the Rule Definition (67-48.002) for Preservation &amp; Rehab?</v>
      </c>
      <c r="B178" s="1983" t="str">
        <f>IF(OR(Development_Category="Preservation",Development_Category="Acquisition and Preservation"),IF(Data1!O$196="Yes","Yes",IF(Data1!O$196="No","No","Need Response at 4.A.4.b.(2)")),"Not a Preservation development")</f>
        <v>Not a Preservation development</v>
      </c>
      <c r="C178" s="1983"/>
      <c r="D178" s="1983"/>
      <c r="E178" s="1983"/>
      <c r="F178" s="855"/>
      <c r="G178" s="108"/>
    </row>
    <row r="179" spans="1:38">
      <c r="A179" s="757" t="s">
        <v>1718</v>
      </c>
      <c r="B179" s="1977">
        <v>0.2</v>
      </c>
      <c r="C179" s="1977"/>
      <c r="D179" s="757" t="s">
        <v>1693</v>
      </c>
      <c r="E179" s="757"/>
      <c r="F179" s="757"/>
      <c r="G179" s="108"/>
      <c r="AC179" s="203"/>
      <c r="AD179" s="203"/>
      <c r="AE179" s="203"/>
      <c r="AF179" s="203"/>
      <c r="AG179" s="203"/>
      <c r="AH179" s="203"/>
      <c r="AI179" s="203"/>
      <c r="AJ179" s="203"/>
      <c r="AK179" s="203"/>
      <c r="AL179" s="203"/>
    </row>
    <row r="180" spans="1:38">
      <c r="A180" s="757" t="s">
        <v>1719</v>
      </c>
      <c r="B180" s="1969" t="str">
        <f>IF(AND(Development_Category="&lt;select one&gt;",N(Development_Cost_eligible)-N(Acquisition_eligible)+N(Developer_fee_non_acq_eligible)=0),"(1) (4)",IF(Development_Category="&lt;select one&gt;","(1)",IF(N(Development_Cost_eligible)-N(Acquisition_eligible)+N(Developer_fee_non_acq_eligible)=0,"(4)",N(Development_Cost_eligible)-N(Acquisition_eligible)+N(Developer_fee_non_acq_eligible))))</f>
        <v>(4)</v>
      </c>
      <c r="C180" s="1969"/>
      <c r="D180" s="757" t="s">
        <v>1743</v>
      </c>
      <c r="E180" s="757"/>
      <c r="F180" s="757"/>
      <c r="G180" s="108"/>
      <c r="AC180" s="203"/>
      <c r="AD180" s="203"/>
      <c r="AE180" s="203"/>
      <c r="AF180" s="203"/>
      <c r="AG180" s="203"/>
      <c r="AH180" s="203"/>
      <c r="AI180" s="203"/>
      <c r="AJ180" s="203"/>
      <c r="AK180" s="203"/>
      <c r="AL180" s="203"/>
    </row>
    <row r="181" spans="1:38">
      <c r="A181" s="757" t="s">
        <v>1720</v>
      </c>
      <c r="B181" s="1969" t="str">
        <f>IF(N('Pro Forma'!H$182)=0,"(5)",'Pro Forma'!H$182+'Pro Forma'!H$188)</f>
        <v>(5)</v>
      </c>
      <c r="C181" s="1969"/>
      <c r="D181" s="1483" t="s">
        <v>1746</v>
      </c>
      <c r="E181" s="757"/>
      <c r="F181" s="757"/>
      <c r="G181" s="108"/>
      <c r="AC181" s="203"/>
      <c r="AD181" s="203"/>
      <c r="AE181" s="203"/>
      <c r="AF181" s="203"/>
      <c r="AG181" s="203"/>
      <c r="AH181" s="203"/>
      <c r="AI181" s="203"/>
      <c r="AJ181" s="203"/>
      <c r="AK181" s="203"/>
      <c r="AL181" s="203"/>
    </row>
    <row r="182" spans="1:38">
      <c r="A182" s="757" t="str">
        <f>"     (c)(i) "&amp;TEXT(B179,"0%")&amp;" of adjusted basis of acquired building"</f>
        <v xml:space="preserve">     (c)(i) 20% of adjusted basis of acquired building</v>
      </c>
      <c r="B182" s="1979">
        <f>ROUND(IF(LEFT(B181,1)="(",0,B181)*B179,2)</f>
        <v>0</v>
      </c>
      <c r="C182" s="1979"/>
      <c r="D182" s="757"/>
      <c r="E182" s="757"/>
      <c r="F182" s="757"/>
      <c r="G182" s="108"/>
      <c r="AC182" s="203"/>
      <c r="AD182" s="203"/>
      <c r="AE182" s="203"/>
      <c r="AF182" s="203"/>
      <c r="AG182" s="203"/>
      <c r="AH182" s="203"/>
      <c r="AI182" s="203"/>
      <c r="AJ182" s="203"/>
      <c r="AK182" s="203"/>
      <c r="AL182" s="203"/>
    </row>
    <row r="183" spans="1:38">
      <c r="A183" s="757" t="s">
        <v>1730</v>
      </c>
      <c r="B183" s="1990" t="str">
        <f>IF(OR(LEFT(B180,1)="(",LEFT(B181,1)="("),IF(IFERROR(FIND("(1)",B180)&gt;0,0)&gt;0,"(1)","")&amp;IF(IFERROR(FIND("(4)",B180)&gt;0,0)&gt;0,"(4)","")&amp;IF(IFERROR(FIND("(5)",B181)&gt;0,0)&gt;0,"(5)",""),B180/B182)</f>
        <v>(4)(5)</v>
      </c>
      <c r="C183" s="1990"/>
      <c r="D183" s="757" t="s">
        <v>1748</v>
      </c>
      <c r="E183" s="757"/>
      <c r="F183" s="757"/>
      <c r="G183" s="1489" t="str">
        <f>IF($B183="(1) (4) (5)",$H$148&amp;" "&amp;$H$151&amp;" "&amp;$H$152,IF($B183="(1) (4)",$H$148&amp;" "&amp;$H$151,IF($B183="(1) (5)",$H$148&amp;" "&amp;$H$152,IF($B183="(4) (5)",$H$151&amp;" "&amp;$H$152,IF($B183="(1)",$H$148,IF($B183="(4)",$H$151,IF($B183="(5)",$H$152,"")))))))</f>
        <v/>
      </c>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203"/>
      <c r="AD183" s="203"/>
      <c r="AE183" s="203"/>
      <c r="AF183" s="203"/>
      <c r="AG183" s="203"/>
      <c r="AH183" s="203"/>
      <c r="AI183" s="203"/>
      <c r="AJ183" s="203"/>
      <c r="AK183" s="203"/>
      <c r="AL183" s="203"/>
    </row>
    <row r="184" spans="1:38">
      <c r="A184" s="1464" t="s">
        <v>1721</v>
      </c>
      <c r="B184" s="1984" t="str">
        <f>IF(OR(Development_Category="Preservation",Development_Category="Acquisition and Preservation"),IF(AND(IF(LEFT(Data1!B180,1)="(",0,Data1!B180)&gt;0,IF(LEFT(Data1!B180,1)="(",0,Data1!B180)&gt;=B182),"Yes","No"),"NA")</f>
        <v>NA</v>
      </c>
      <c r="C184" s="1984"/>
      <c r="D184" s="757"/>
      <c r="E184" s="757"/>
      <c r="F184" s="757"/>
      <c r="G184" s="102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row>
    <row r="185" spans="1:38">
      <c r="A185" s="757" t="s">
        <v>1722</v>
      </c>
      <c r="B185" s="1982">
        <v>25000</v>
      </c>
      <c r="C185" s="1982"/>
      <c r="D185" s="757" t="s">
        <v>1695</v>
      </c>
      <c r="E185" s="757"/>
      <c r="F185" s="757"/>
      <c r="G185" s="108"/>
      <c r="AC185" s="203"/>
      <c r="AD185" s="203"/>
      <c r="AE185" s="203"/>
      <c r="AF185" s="203"/>
      <c r="AG185" s="203"/>
      <c r="AH185" s="203"/>
      <c r="AI185" s="203"/>
      <c r="AJ185" s="203"/>
      <c r="AK185" s="203"/>
      <c r="AL185" s="203"/>
    </row>
    <row r="186" spans="1:38">
      <c r="A186" s="757" t="s">
        <v>1727</v>
      </c>
      <c r="B186" s="1981">
        <f>IF(Name_of_proposed_Development="",1,IF(Development_Category="&lt;select one&gt;","(1)",IF(OR(AND(Multiphase_subsequent&lt;&gt;"Yes",App_number_first_phase&lt;&gt;""),AND(Small_Area_DDA="Yes",SADDA_ZCTA_1&lt;&gt;""),AND(DDA_nonmetro="Yes",DDA_nonmetro_name=County),AND(QCT="Yes",QCT_number&lt;&gt;""),AND(Geo_Area_of_Opp_boost="Yes",GAO_Number1&lt;&gt;""),LGAO_Number="Yes",PHA_Area_of_Opp_boost="Yes"),1.3,1)))</f>
        <v>1</v>
      </c>
      <c r="C186" s="1981"/>
      <c r="D186" s="757" t="s">
        <v>1742</v>
      </c>
      <c r="E186" s="757"/>
      <c r="F186" s="757"/>
      <c r="G186" s="108"/>
      <c r="AC186" s="203"/>
      <c r="AD186" s="203"/>
      <c r="AE186" s="203"/>
      <c r="AF186" s="203"/>
      <c r="AG186" s="203"/>
      <c r="AH186" s="203"/>
      <c r="AI186" s="203"/>
      <c r="AJ186" s="203"/>
      <c r="AK186" s="203"/>
      <c r="AL186" s="203"/>
    </row>
    <row r="187" spans="1:38">
      <c r="A187" s="757" t="s">
        <v>1728</v>
      </c>
      <c r="B187" s="1973" t="str">
        <f>IF(Name_of_proposed_Development="","",IF(AND(Development_Category="&lt;select one&gt;",Minimum_SetAside_per_Sec_42="&lt;select one&gt;"),"(1) (6)",IF(Development_Category="&lt;select one&gt;","(1)",IF(Minimum_SetAside_per_Sec_42="&lt;select one&gt;","(6)",IF(Minimum_SetAside_per_Sec_42="Average Income Test",AIT_HC_SA_Percent,NonAIT_HC_SA_Percent)))))</f>
        <v/>
      </c>
      <c r="C187" s="1973"/>
      <c r="D187" s="757" t="s">
        <v>1741</v>
      </c>
      <c r="E187" s="757"/>
      <c r="F187" s="757"/>
      <c r="G187" s="108"/>
      <c r="AC187" s="203"/>
      <c r="AD187" s="203"/>
      <c r="AE187" s="203"/>
      <c r="AF187" s="203"/>
      <c r="AG187" s="203"/>
      <c r="AH187" s="203"/>
      <c r="AI187" s="203"/>
      <c r="AJ187" s="203"/>
      <c r="AK187" s="203"/>
      <c r="AL187" s="203"/>
    </row>
    <row r="188" spans="1:38">
      <c r="A188" s="757" t="s">
        <v>1729</v>
      </c>
      <c r="B188" s="1974" t="str">
        <f>IF(Name_of_proposed_Development="","",IF(AND(Development_Category="&lt;select one&gt;",Minimum_SetAside_per_Sec_42="&lt;select one&gt;"),"(1) (6)",IF(Development_Category="&lt;select one&gt;","(1)",IF(Minimum_SetAside_per_Sec_42="&lt;select one&gt;","(6)",IF(Minimum_SetAside_per_Sec_42="Average Income Test",total_HC_units_avg_inc,total_HC_units_NonAIT)))))</f>
        <v/>
      </c>
      <c r="C188" s="1974"/>
      <c r="D188" s="757" t="s">
        <v>1741</v>
      </c>
      <c r="E188" s="757"/>
      <c r="F188" s="757"/>
      <c r="G188" s="108"/>
      <c r="AC188" s="203"/>
      <c r="AD188" s="203"/>
      <c r="AE188" s="203"/>
      <c r="AF188" s="203"/>
      <c r="AG188" s="203"/>
      <c r="AH188" s="203"/>
      <c r="AI188" s="203"/>
      <c r="AJ188" s="203"/>
      <c r="AK188" s="203"/>
      <c r="AL188" s="203"/>
    </row>
    <row r="189" spans="1:38">
      <c r="A189" s="757" t="s">
        <v>1723</v>
      </c>
      <c r="B189" s="2016" t="str">
        <f>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one&gt;",N(Development_Cost_eligible)-N(Acquisition_eligible)+N(Developer_fee_non_acq_eligible)=0),"(1) (4)",IF(AND(Development_Category="&lt;select one&gt;",Minimum_SetAside_per_Sec_42="&lt;select one&gt;"),"(1) (6)",IF(AND(N(Development_Cost_eligible)-N(Acquisition_eligible)+N(Developer_fee_non_acq_eligible)=0,Minimum_SetAside_per_Sec_42="&lt;select one&gt;"),"(4) (6)",IF(Development_Category="&lt;select one&gt;","(1)",IF(N(Development_Cost_eligible)-N(Acquisition_eligible)+N(Developer_fee_non_acq_eligible)=0,"(4)",IF(Minimum_SetAside_per_Sec_42="&lt;select one&gt;","(6)",IF(OR(AND(Funding!$L$195&lt;&gt;0,Multiphase_subsequent="Yes"),AND(Funding!$L$200&lt;&gt;0,Small_Area_DDA="Yes"),AND(Funding!$L$208&lt;&gt;0,DDA_nonmetro="Yes"),AND(Funding!$L$213&lt;&gt;0,QCT="Yes"),AND(Funding!$L$222&lt;&gt;0,Geo_Area_of_Opp_boost="Yes"),AND(Funding!$L$236&lt;&gt;0,Funding!E$236="Yes"),AND(Funding!$L$239&lt;&gt;0,Funding!E$239="Yes")),1.3,1)*B180*MAX(N(B187),0))))))))</f>
        <v>(4) (6)</v>
      </c>
      <c r="C189" s="1969"/>
      <c r="D189" s="757" t="s">
        <v>1740</v>
      </c>
      <c r="E189" s="757"/>
      <c r="F189" s="757"/>
      <c r="G189" s="108"/>
      <c r="AC189" s="203"/>
      <c r="AD189" s="203"/>
      <c r="AE189" s="203"/>
      <c r="AF189" s="203"/>
      <c r="AG189" s="203"/>
      <c r="AH189" s="203"/>
      <c r="AI189" s="203"/>
      <c r="AJ189" s="203"/>
      <c r="AK189" s="203"/>
      <c r="AL189" s="203"/>
    </row>
    <row r="190" spans="1:38">
      <c r="A190" s="757" t="s">
        <v>1724</v>
      </c>
      <c r="B190" s="1969" t="str">
        <f>IF(LEFT(B189,1)="(",B189,IF(MAX('Units, Set-Asides, Bldgs'!F$31,total_HC_units_avg_inc)=0,0,B189/MAX('Units, Set-Asides, Bldgs'!F$31,total_HC_units_avg_inc)))</f>
        <v>(4) (6)</v>
      </c>
      <c r="C190" s="1969"/>
      <c r="D190" s="757"/>
      <c r="E190" s="757"/>
      <c r="F190" s="757"/>
      <c r="G190" s="112" t="str">
        <f ca="1">IF($B189="(1) (4) (6)",$H$148&amp;" "&amp;$H$151&amp;" "&amp;$H$153,IF($B189="(1) (4)",$H$148&amp;" "&amp;$H$151,IF($B189="(1) (6)",$H$148&amp;" "&amp;$H$153,IF($B189="(4) (6)",$H$151&amp;" "&amp;$H$153,IF($B189="(1)",$H$148,IF($B189="(4)",$H$151,IF($B189="(6)",$H$153,"")))))))</f>
        <v xml:space="preserve">Applicant still needs to enter Development Costs in the 'Pro Forma' worksheet tab. This calculation uses the Pro Forma amounts in column 1 ('HC ELIGIBLE COSTS') for 'B. TOTAL ACQUISITION COSTS OF EXISTING DEVELOPMENT (excluding land)' [cell H182], 'C. DEVELOPMENT COSTS' [cell H184], and 'Developer Fee on Non-Acquisition Costs' [cell H190].  Applicant still needs to select a Housing Credit Set-Aside Commitment at Section 4.A.6.d.(1) in the 'Units, Set-Asides, Bldgs' worksheet tab. </v>
      </c>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203"/>
      <c r="AD190" s="203"/>
      <c r="AE190" s="203"/>
      <c r="AF190" s="203"/>
      <c r="AG190" s="203"/>
      <c r="AH190" s="203"/>
      <c r="AI190" s="203"/>
      <c r="AJ190" s="203"/>
      <c r="AK190" s="203"/>
      <c r="AL190" s="203"/>
    </row>
    <row r="191" spans="1:38">
      <c r="A191" s="1464" t="s">
        <v>1725</v>
      </c>
      <c r="B191" s="1983" t="str">
        <f>IF(OR(Development_Category="Preservation",Development_Category="Acquisition and Preservation"),IF(IF(LEFT(Data1!B190,1)="(",0,Data1!B190)&gt;=B185,"Yes","No"),"NA")</f>
        <v>NA</v>
      </c>
      <c r="C191" s="1983"/>
      <c r="D191" s="757"/>
      <c r="E191" s="757"/>
      <c r="F191" s="757"/>
      <c r="G191" s="102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row>
    <row r="192" spans="1:38">
      <c r="A192" s="1464" t="s">
        <v>1716</v>
      </c>
      <c r="B192" s="1983" t="str">
        <f>IF(OR(Development_Category="Preservation",Development_Category="Acquisition and Preservation"),IF(Data1!O$173="Yes","Yes",IF(Data1!O$173="No","No","Need Response at 4.A.4.b.(2)")),"NA")</f>
        <v>NA</v>
      </c>
      <c r="C192" s="1983"/>
      <c r="D192" s="1983"/>
      <c r="E192" s="1983"/>
      <c r="F192" s="855"/>
      <c r="G192" s="108"/>
    </row>
    <row r="193" spans="1:38">
      <c r="A193" s="1469" t="s">
        <v>1715</v>
      </c>
      <c r="B193" s="1970" t="str">
        <f>IF(OR(Development_Category="Preservation",Development_Category="Acquisition and Preservation"),IF(Data1!O$164="Yes","Yes",IF(Data1!O$164="No","No","Need Response at 4.A.4.b.(2)")),"NA")</f>
        <v>NA</v>
      </c>
      <c r="C193" s="1970"/>
      <c r="D193" s="1970"/>
      <c r="E193" s="1970"/>
      <c r="F193" s="1470"/>
      <c r="G193" s="108"/>
    </row>
    <row r="194" spans="1:38" ht="25.25" customHeight="1" thickBot="1">
      <c r="A194" s="1493" t="s">
        <v>1745</v>
      </c>
      <c r="B194" s="1975" t="str">
        <f>IF(Development_Category="&lt;select one&gt;","(1)","")&amp;IF(Total_Units=0,"(2)","")&amp;IF(total_units_in_unit_desc_chart&lt;Total_Units,"(3)","")&amp;IF(N(Development_Cost_eligible)-N(Acquisition_eligible)+N(Developer_fee_non_acq_eligible)=0,"(4)","")&amp;IF(Minimum_SetAside_per_Sec_42="&lt;select one&gt;","(6)","")</f>
        <v>(2)(4)(6)</v>
      </c>
      <c r="C194" s="1976"/>
      <c r="D194" s="1494" t="s">
        <v>1747</v>
      </c>
      <c r="E194" s="1495"/>
      <c r="F194" s="1495"/>
      <c r="G194" s="1496" t="str">
        <f ca="1">IF(IFERROR(FIND("(1)",$B194)&gt;0,0)&gt;0,$H$148,"")&amp;IF(IFERROR(FIND("(2)",$B194)&gt;0,0)&gt;0,$H$149,"")&amp;IF(IFERROR(FIND("(3)",$B194)&gt;0,0)&gt;0,$H$150,"")&amp;IF(IFERROR(FIND("(4)",$B194)&gt;0,0)&gt;0,$H$151,"")&amp;IF(IFERROR(FIND("(5)",$B194)&gt;0,0)&gt;0,$H$152,"")&amp;IF(IFERROR(FIND("(6)",$B194)&gt;0,0)&gt;0,$H$153,"")&amp;IF(AND(IFERROR(FIND("(1)",$B194)&gt;0,0)=0,IFERROR(FIND("(2)",$B194)&gt;0,0)=0,IFERROR(FIND("(3)",$B194)&gt;0,0)=0,IFERROR(FIND("(4)",$B194)&gt;0,0)=0,IFERROR(FIND("(5)",$B194)=0,0)&gt;0,IFERROR(FIND("(6)",$B194)&gt;0,0)=0),"This area intentionally left blank.","")</f>
        <v xml:space="preserve">Applicant still needs to enter Total Units in Section 4.A.6.a. in the 'Units, Set-Asides, Bldgs' worksheet tab. Applicant still needs to enter Development Costs in the 'Pro Forma' worksheet tab. This calculation uses the Pro Forma amounts in column 1 ('HC ELIGIBLE COSTS') for 'B. TOTAL ACQUISITION COSTS OF EXISTING DEVELOPMENT (excluding land)' [cell H182], 'C. DEVELOPMENT COSTS' [cell H184], and 'Developer Fee on Non-Acquisition Costs' [cell H190]. Applicant still needs to select a Housing Credit Set-Aside Commitment at Section 4.A.6.d.(1) in the 'Units, Set-Asides, Bldgs' worksheet tab. </v>
      </c>
      <c r="H194" s="1497"/>
      <c r="I194" s="1497"/>
      <c r="J194" s="1497"/>
      <c r="K194" s="1497"/>
      <c r="L194" s="1497"/>
      <c r="M194" s="1497"/>
      <c r="N194" s="1497"/>
      <c r="O194" s="1497"/>
      <c r="P194" s="1497"/>
      <c r="Q194" s="1497"/>
      <c r="R194" s="1497"/>
      <c r="S194" s="1497"/>
      <c r="T194" s="1497"/>
      <c r="U194" s="1497"/>
      <c r="V194" s="1497"/>
      <c r="W194" s="1497"/>
      <c r="X194" s="1497"/>
      <c r="Y194" s="1497"/>
      <c r="Z194" s="1497"/>
      <c r="AA194" s="1497"/>
      <c r="AB194" s="1497"/>
      <c r="AC194" s="1497"/>
      <c r="AD194" s="1497"/>
      <c r="AE194" s="1497"/>
      <c r="AF194" s="1497"/>
      <c r="AG194" s="1497"/>
      <c r="AH194" s="1497"/>
      <c r="AI194" s="1497"/>
      <c r="AJ194" s="1497"/>
      <c r="AK194" s="1497"/>
      <c r="AL194" s="1497"/>
    </row>
    <row r="195" spans="1:38">
      <c r="A195" s="203"/>
      <c r="B195" s="203"/>
      <c r="C195" s="203"/>
      <c r="D195" s="203"/>
      <c r="E195" s="203"/>
      <c r="F195" s="203"/>
      <c r="G195" s="108"/>
    </row>
    <row r="196" spans="1:38">
      <c r="A196" s="1452" t="s">
        <v>1702</v>
      </c>
      <c r="E196" s="203"/>
      <c r="F196" s="203"/>
      <c r="G196" s="1997" t="str">
        <f>"If the Development Category is "&amp;IF(OR(Development_Category="Preservation",Development_Category="Acquisition and Preservation"),"Preservation",IF(OR(Development_Category="Redevelopment",Development_Category="Acquisition and Redevelopment"),"Redevelopment","Rehabilitation"))&amp;" (with or without Acquisition), does the Development meet the definition of "&amp;IF(OR(Development_Category="Preservation",Development_Category="Acquisition and Preservation"),"Preservation and Rehabilitation",IF(OR(Development_Category="Rehabilitation",Development_Category="Acquisition and Rehabilitation"),"Rehabilitation","Redevelopment"))&amp;" in Rule Chapter 67.48.002, F.A.C.?"</f>
        <v>If the Development Category is Rehabilitation (with or without Acquisition), does the Development meet the definition of Redevelopment in Rule Chapter 67.48.002, F.A.C.?</v>
      </c>
      <c r="H196" s="1998"/>
      <c r="I196" s="1998"/>
      <c r="J196" s="1998"/>
      <c r="K196" s="1998"/>
      <c r="L196" s="1998"/>
      <c r="M196" s="1998"/>
      <c r="N196" s="1998"/>
      <c r="O196" s="1542" t="s">
        <v>2</v>
      </c>
      <c r="P196" s="1471"/>
      <c r="Q196" s="1472">
        <f>IF(OR(Development_Category="Rehabilitation",Development_Category="Acquisition and Rehabilitation",Development_Category="Redevelopment",Development_Category="Acquisition and Redevelopment",Development_Category="Preservation",Development_Category="Acquisition and Preservation"),T196,0)</f>
        <v>0</v>
      </c>
      <c r="R196" s="1473">
        <f>IF(AND(Q196&lt;&gt;0,AND(Data1!K196&lt;&gt;"&lt;select one&gt;",Data1!K196&lt;&gt;"")),Q196,0)</f>
        <v>0</v>
      </c>
      <c r="S196" s="1485" t="str">
        <f>CHOOSE(Q196+1,"Not to be included in this RFA","A REQUIRED input field for this RFA","An OPTIONAL input field for this RFA")</f>
        <v>Not to be included in this RFA</v>
      </c>
      <c r="T196" s="1475">
        <v>1</v>
      </c>
    </row>
    <row r="197" spans="1:38">
      <c r="A197" s="683" t="s">
        <v>1697</v>
      </c>
      <c r="B197" s="1992">
        <v>0.5</v>
      </c>
      <c r="C197" s="1992"/>
      <c r="D197" s="683" t="s">
        <v>1690</v>
      </c>
      <c r="E197" s="683"/>
      <c r="F197" s="683"/>
      <c r="G197" s="1999"/>
      <c r="H197" s="2000"/>
      <c r="I197" s="2000"/>
      <c r="J197" s="2000"/>
      <c r="K197" s="2000"/>
      <c r="L197" s="2000"/>
      <c r="M197" s="2000"/>
      <c r="N197" s="2000"/>
      <c r="O197" s="1486"/>
      <c r="P197" s="1486"/>
      <c r="Q197" s="1486"/>
      <c r="R197" s="1486"/>
      <c r="S197" s="1486"/>
      <c r="T197" s="1487"/>
    </row>
    <row r="198" spans="1:38">
      <c r="A198" s="683" t="s">
        <v>1734</v>
      </c>
      <c r="B198" s="1985">
        <f>SUM('Proposed Development Info'!H$59:H$67)</f>
        <v>0</v>
      </c>
      <c r="C198" s="1985"/>
      <c r="D198" s="683"/>
      <c r="E198" s="683"/>
      <c r="F198" s="683"/>
      <c r="G198" s="108"/>
    </row>
    <row r="199" spans="1:38">
      <c r="A199" s="854" t="s">
        <v>1698</v>
      </c>
      <c r="B199" s="198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Info'!$H$59:$H$67)/Total_Units)))))))</f>
        <v>(2)</v>
      </c>
      <c r="C199" s="1980"/>
      <c r="D199" s="854" t="s">
        <v>1691</v>
      </c>
      <c r="E199" s="854"/>
      <c r="F199" s="854"/>
      <c r="G199" s="112" t="str">
        <f ca="1">IF($B199="(1) (2) (3)",$H$148&amp;" "&amp;$H$149&amp;" "&amp;$H$150,IF($B199="(1) (2)",$H$148&amp;" "&amp;$H$149,IF($B199="(1) (3)",$H$148&amp;" "&amp;$H$150,IF($B199="(2) (3)",$H$149&amp;" "&amp;$H$150,IF($B199="(1)",$H$148,IF($B199="(2)",$H$149,IF($B199="(3)",$H$150,"")))))))</f>
        <v xml:space="preserve">Applicant still needs to enter Total Units in Section 4.A.6.a. in the 'Units, Set-Asides, Bldgs' worksheet tab. </v>
      </c>
      <c r="H199" s="163"/>
      <c r="I199" s="163"/>
      <c r="J199" s="163"/>
      <c r="K199" s="163"/>
      <c r="L199" s="163"/>
      <c r="M199" s="163"/>
      <c r="N199" s="163"/>
      <c r="O199" s="163"/>
      <c r="P199" s="163"/>
      <c r="Q199" s="163"/>
      <c r="R199" s="163"/>
      <c r="S199" s="163"/>
      <c r="T199" s="163"/>
      <c r="U199" s="163"/>
      <c r="V199" s="163"/>
      <c r="W199" s="163"/>
      <c r="X199" s="163"/>
      <c r="Y199" s="163"/>
      <c r="Z199" s="163"/>
      <c r="AA199" s="163"/>
    </row>
    <row r="200" spans="1:38">
      <c r="A200" s="1463" t="s">
        <v>1711</v>
      </c>
      <c r="B200" s="1972" t="str">
        <f>IF(OR(Development_Category="Rehabilitation",Development_Category="Acquisition and Rehabilitation"),IF(LEFT(Data1!B199,1)="(","TBD",IF(Data1!B199&lt;B197,"Yes","No")),"NA")</f>
        <v>NA</v>
      </c>
      <c r="C200" s="1972"/>
      <c r="D200" s="1463" t="s">
        <v>1744</v>
      </c>
      <c r="E200" s="854"/>
      <c r="F200" s="854"/>
      <c r="G200" s="1023"/>
      <c r="H200" s="203"/>
      <c r="I200" s="203"/>
      <c r="J200" s="203"/>
      <c r="K200" s="203"/>
      <c r="L200" s="203"/>
      <c r="M200" s="203"/>
      <c r="N200" s="203"/>
      <c r="O200" s="203"/>
      <c r="P200" s="203"/>
      <c r="Q200" s="203"/>
      <c r="R200" s="203"/>
      <c r="S200" s="203"/>
      <c r="T200" s="203"/>
      <c r="U200" s="203"/>
      <c r="V200" s="203"/>
      <c r="W200" s="203"/>
      <c r="X200" s="203"/>
      <c r="Y200" s="203"/>
      <c r="Z200" s="203"/>
      <c r="AA200" s="203"/>
    </row>
    <row r="201" spans="1:38">
      <c r="A201" s="1464" t="str">
        <f>"     (ii) Meets the Rule Definition (67-"&amp;IF(Funding!L$188=1,"21","48")&amp;".002) for Rehabilitation?"</f>
        <v xml:space="preserve">     (ii) Meets the Rule Definition (67-48.002) for Rehabilitation?</v>
      </c>
      <c r="B201" s="1983" t="str">
        <f>IF(OR(Development_Category="Rehabilitation",Development_Category="Acquisition and Rehabilitation"),IF(Data1!O$196="Yes","Yes",IF(Data1!O$196="No","No","Need Response at 4.A.4.b.(2)")),"Not a Rehabilitation development")</f>
        <v>Not a Rehabilitation development</v>
      </c>
      <c r="C201" s="1983"/>
      <c r="D201" s="1983"/>
      <c r="E201" s="1983"/>
      <c r="F201" s="854"/>
      <c r="G201" s="108"/>
    </row>
    <row r="202" spans="1:38">
      <c r="A202" s="854" t="s">
        <v>1706</v>
      </c>
      <c r="B202" s="1977">
        <v>0.2</v>
      </c>
      <c r="C202" s="1977"/>
      <c r="D202" s="854" t="s">
        <v>1693</v>
      </c>
      <c r="E202" s="854"/>
      <c r="F202" s="854"/>
      <c r="G202" s="108"/>
    </row>
    <row r="203" spans="1:38">
      <c r="A203" s="854" t="s">
        <v>1705</v>
      </c>
      <c r="B203" s="1969" t="str">
        <f>IF(AND(Development_Category="&lt;select one&gt;",N(Development_Cost_eligible)-N(Acquisition_eligible)+N(Developer_fee_non_acq_eligible)=0),"(1) (4)",IF(Development_Category="&lt;select one&gt;","(1)",IF(N(Development_Cost_eligible)-N(Acquisition_eligible)+N(Developer_fee_non_acq_eligible)=0,"(4)",N(Development_Cost_eligible)-N(Acquisition_eligible)+N(Developer_fee_non_acq_eligible))))</f>
        <v>(4)</v>
      </c>
      <c r="C203" s="1969"/>
      <c r="D203" s="854" t="s">
        <v>1743</v>
      </c>
      <c r="E203" s="854"/>
      <c r="F203" s="854"/>
      <c r="G203" s="108"/>
    </row>
    <row r="204" spans="1:38">
      <c r="A204" s="854" t="s">
        <v>1699</v>
      </c>
      <c r="B204" s="1978" t="str">
        <f>IF(N('Pro Forma'!H$182)=0,"(5)",'Pro Forma'!H$182+'Pro Forma'!H$188)</f>
        <v>(5)</v>
      </c>
      <c r="C204" s="1978"/>
      <c r="D204" s="1484" t="s">
        <v>1746</v>
      </c>
      <c r="E204" s="854"/>
      <c r="F204" s="854"/>
      <c r="G204" s="108"/>
      <c r="AC204" s="203"/>
      <c r="AD204" s="203"/>
      <c r="AE204" s="203"/>
      <c r="AF204" s="203"/>
      <c r="AG204" s="203"/>
      <c r="AH204" s="203"/>
      <c r="AI204" s="203"/>
      <c r="AJ204" s="203"/>
      <c r="AK204" s="203"/>
      <c r="AL204" s="203"/>
    </row>
    <row r="205" spans="1:38">
      <c r="A205" s="854" t="str">
        <f>"     (iii)(A) "&amp;TEXT(B202,"0%")&amp;" of adjusted basis of acquired building"</f>
        <v xml:space="preserve">     (iii)(A) 20% of adjusted basis of acquired building</v>
      </c>
      <c r="B205" s="1979">
        <f>ROUND(IF(LEFT(B204,1)="(",0,B204)*B202,2)</f>
        <v>0</v>
      </c>
      <c r="C205" s="1979"/>
      <c r="D205" s="854"/>
      <c r="E205" s="854"/>
      <c r="F205" s="854"/>
      <c r="G205" s="1490"/>
      <c r="AC205" s="203"/>
      <c r="AD205" s="203"/>
      <c r="AE205" s="203"/>
      <c r="AF205" s="203"/>
      <c r="AG205" s="203"/>
      <c r="AH205" s="203"/>
      <c r="AI205" s="203"/>
      <c r="AJ205" s="203"/>
      <c r="AK205" s="203"/>
      <c r="AL205" s="203"/>
    </row>
    <row r="206" spans="1:38">
      <c r="A206" s="854" t="s">
        <v>1735</v>
      </c>
      <c r="B206" s="1980" t="str">
        <f>IF(OR(LEFT(B203,1)="(",LEFT(B204,1)="("),IF(IFERROR(FIND("(1)",B203)&gt;0,0)&gt;0,"(1)","")&amp;IF(IFERROR(FIND("(4)",B203)&gt;0,0)&gt;0,"(4)","")&amp;IF(IFERROR(FIND("(5)",B204)&gt;0,0)&gt;0,"(5)",""),B203/B205)</f>
        <v>(4)(5)</v>
      </c>
      <c r="C206" s="1980"/>
      <c r="D206" s="854" t="s">
        <v>1748</v>
      </c>
      <c r="E206" s="854"/>
      <c r="F206" s="854"/>
      <c r="G206" s="1489" t="str">
        <f>IF($B206="(1) (4) (5)",$H$148&amp;" "&amp;$H$151&amp;" "&amp;$H$152,IF($B206="(1) (4)",$H$148&amp;" "&amp;$H$151,IF($B206="(1) (5)",$H$148&amp;" "&amp;$H$152,IF($B206="(4) (5)",$H$151&amp;" "&amp;$H$152,IF($B206="(1)",$H$148,IF($B206="(4)",$H$151,IF($B206="(5)",$H$152,"")))))))</f>
        <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203"/>
      <c r="AD206" s="203"/>
      <c r="AE206" s="203"/>
      <c r="AF206" s="203"/>
      <c r="AG206" s="203"/>
      <c r="AH206" s="203"/>
      <c r="AI206" s="203"/>
      <c r="AJ206" s="203"/>
      <c r="AK206" s="203"/>
      <c r="AL206" s="203"/>
    </row>
    <row r="207" spans="1:38">
      <c r="A207" s="1463" t="s">
        <v>1707</v>
      </c>
      <c r="B207" s="1984" t="str">
        <f>IF(OR(Development_Category="Rehabilitation",Development_Category="Acquisition and Rehabilitation"),IF(AND(IF(LEFT(Data1!B203,1)="(",0,Data1!B203)&gt;0,IF(LEFT(Data1!B203,1)="(",0,Data1!B203)&gt;=B205),"Yes","No"),"NA")</f>
        <v>NA</v>
      </c>
      <c r="C207" s="1984"/>
      <c r="D207" s="854"/>
      <c r="E207" s="854"/>
      <c r="F207" s="854"/>
      <c r="G207" s="102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row>
    <row r="208" spans="1:38">
      <c r="A208" s="854" t="s">
        <v>1708</v>
      </c>
      <c r="B208" s="1982">
        <v>25000</v>
      </c>
      <c r="C208" s="1982"/>
      <c r="D208" s="854" t="s">
        <v>1695</v>
      </c>
      <c r="E208" s="854"/>
      <c r="F208" s="854"/>
      <c r="G208" s="108"/>
      <c r="AC208" s="203"/>
      <c r="AD208" s="203"/>
      <c r="AE208" s="203"/>
      <c r="AF208" s="203"/>
      <c r="AG208" s="203"/>
      <c r="AH208" s="203"/>
      <c r="AI208" s="203"/>
      <c r="AJ208" s="203"/>
      <c r="AK208" s="203"/>
      <c r="AL208" s="203"/>
    </row>
    <row r="209" spans="1:38">
      <c r="A209" s="854" t="s">
        <v>1737</v>
      </c>
      <c r="B209" s="1981">
        <f>IF(Name_of_proposed_Development="",1,IF(Development_Category="&lt;select one&gt;","(1)",IF(OR(AND(Multiphase_subsequent&lt;&gt;"Yes",App_number_first_phase&lt;&gt;""),AND(Small_Area_DDA="Yes",SADDA_ZCTA_1&lt;&gt;""),AND(DDA_nonmetro="Yes",DDA_nonmetro_name=County),AND(QCT="Yes",QCT_number&lt;&gt;""),AND(Geo_Area_of_Opp_boost="Yes",GAO_Number1&lt;&gt;""),LGAO_Number="Yes",PHA_Area_of_Opp_boost="Yes"),1.3,1)))</f>
        <v>1</v>
      </c>
      <c r="C209" s="1981"/>
      <c r="D209" s="854" t="s">
        <v>1742</v>
      </c>
      <c r="E209" s="854"/>
      <c r="F209" s="854"/>
      <c r="G209" s="108"/>
      <c r="AC209" s="203"/>
      <c r="AD209" s="203"/>
      <c r="AE209" s="203"/>
      <c r="AF209" s="203"/>
      <c r="AG209" s="203"/>
      <c r="AH209" s="203"/>
      <c r="AI209" s="203"/>
      <c r="AJ209" s="203"/>
      <c r="AK209" s="203"/>
      <c r="AL209" s="203"/>
    </row>
    <row r="210" spans="1:38">
      <c r="A210" s="854" t="s">
        <v>1738</v>
      </c>
      <c r="B210" s="1973" t="str">
        <f>IF(Name_of_proposed_Development="","",IF(AND(Development_Category="&lt;select one&gt;",Minimum_SetAside_per_Sec_42="&lt;select one&gt;"),"(1) (6)",IF(Development_Category="&lt;select one&gt;","(1)",IF(Minimum_SetAside_per_Sec_42="&lt;select one&gt;","(6)",IF(Minimum_SetAside_per_Sec_42="Average Income Test",AIT_HC_SA_Percent,NonAIT_HC_SA_Percent)))))</f>
        <v/>
      </c>
      <c r="C210" s="1973"/>
      <c r="D210" s="854" t="s">
        <v>1741</v>
      </c>
      <c r="E210" s="854"/>
      <c r="F210" s="854"/>
      <c r="G210" s="108"/>
      <c r="AC210" s="203"/>
      <c r="AD210" s="203"/>
      <c r="AE210" s="203"/>
      <c r="AF210" s="203"/>
      <c r="AG210" s="203"/>
      <c r="AH210" s="203"/>
      <c r="AI210" s="203"/>
      <c r="AJ210" s="203"/>
      <c r="AK210" s="203"/>
      <c r="AL210" s="203"/>
    </row>
    <row r="211" spans="1:38">
      <c r="A211" s="854" t="s">
        <v>1736</v>
      </c>
      <c r="B211" s="1974" t="str">
        <f>IF(Name_of_proposed_Development="","",IF(AND(Development_Category="&lt;select one&gt;",Minimum_SetAside_per_Sec_42="&lt;select one&gt;"),"(1) (6)",IF(Development_Category="&lt;select one&gt;","(1)",IF(Minimum_SetAside_per_Sec_42="&lt;select one&gt;","(6)",IF(Minimum_SetAside_per_Sec_42="Average Income Test",total_HC_units_avg_inc,total_HC_units_NonAIT)))))</f>
        <v/>
      </c>
      <c r="C211" s="1974"/>
      <c r="D211" s="854" t="s">
        <v>1741</v>
      </c>
      <c r="E211" s="854"/>
      <c r="F211" s="854"/>
      <c r="G211" s="108"/>
      <c r="AC211" s="203"/>
      <c r="AD211" s="203"/>
      <c r="AE211" s="203"/>
      <c r="AF211" s="203"/>
      <c r="AG211" s="203"/>
      <c r="AH211" s="203"/>
      <c r="AI211" s="203"/>
      <c r="AJ211" s="203"/>
      <c r="AK211" s="203"/>
      <c r="AL211" s="203"/>
    </row>
    <row r="212" spans="1:38">
      <c r="A212" s="757" t="s">
        <v>1709</v>
      </c>
      <c r="B212" s="1971" t="str">
        <f>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one&gt;",N(Development_Cost_eligible)-N(Acquisition_eligible)+N(Developer_fee_non_acq_eligible)=0),"(1) (4)",IF(AND(Development_Category="&lt;select one&gt;",Minimum_SetAside_per_Sec_42="&lt;select one&gt;"),"(1) (6)",IF(AND(N(Development_Cost_eligible)-N(Acquisition_eligible)+N(Developer_fee_non_acq_eligible)=0,Minimum_SetAside_per_Sec_42="&lt;select one&gt;"),"(4) (6)",IF(Development_Category="&lt;select one&gt;","(1)",IF(N(Development_Cost_eligible)-N(Acquisition_eligible)+N(Developer_fee_non_acq_eligible)=0,"(4)",IF(Minimum_SetAside_per_Sec_42="&lt;select one&gt;","(6)",IF(OR(AND(Funding!$L$195&lt;&gt;0,Multiphase_subsequent="Yes"),AND(Funding!$L$200&lt;&gt;0,Small_Area_DDA="Yes"),AND(Funding!$L$208&lt;&gt;0,DDA_nonmetro="Yes"),AND(Funding!$L$213&lt;&gt;0,QCT="Yes"),AND(Funding!$L$222&lt;&gt;0,Geo_Area_of_Opp_boost="Yes"),AND(Funding!$L$236&lt;&gt;0,Funding!E$236="Yes"),AND(Funding!$L$239&lt;&gt;0,Funding!E$239="Yes")),1.3,1)*B203*MAX(N(B210),0))))))))</f>
        <v>(4) (6)</v>
      </c>
      <c r="C212" s="1971"/>
      <c r="D212" s="854" t="s">
        <v>1740</v>
      </c>
      <c r="E212" s="854"/>
      <c r="F212" s="854"/>
      <c r="G212" s="108"/>
      <c r="AC212" s="203"/>
      <c r="AD212" s="203"/>
      <c r="AE212" s="203"/>
      <c r="AF212" s="203"/>
      <c r="AG212" s="203"/>
      <c r="AH212" s="203"/>
      <c r="AI212" s="203"/>
      <c r="AJ212" s="203"/>
      <c r="AK212" s="203"/>
      <c r="AL212" s="203"/>
    </row>
    <row r="213" spans="1:38">
      <c r="A213" s="757" t="s">
        <v>1710</v>
      </c>
      <c r="B213" s="1969" t="str">
        <f>IF(LEFT(B212,1)="(",B212,IF(MAX('Units, Set-Asides, Bldgs'!F$31,total_HC_units_avg_inc)=0,0,B212/MAX('Units, Set-Asides, Bldgs'!F$31,total_HC_units_avg_inc)))</f>
        <v>(4) (6)</v>
      </c>
      <c r="C213" s="1969"/>
      <c r="D213" s="854"/>
      <c r="E213" s="854"/>
      <c r="F213" s="854"/>
      <c r="G213" s="112" t="str">
        <f ca="1">IF($B212="(1) (4) (6)",$H$148&amp;" "&amp;$H$151&amp;" "&amp;$H$153,IF($B212="(1) (4)",$H$148&amp;" "&amp;$H$151,IF($B212="(1) (6)",$H$148&amp;" "&amp;$H$153,IF($B212="(4) (6)",$H$151&amp;" "&amp;$H$153,IF($B212="(1)",$H$148,IF($B212="(4)",$H$151,IF($B212="(6)",$H$153,"")))))))</f>
        <v xml:space="preserve">Applicant still needs to enter Development Costs in the 'Pro Forma' worksheet tab. This calculation uses the Pro Forma amounts in column 1 ('HC ELIGIBLE COSTS') for 'B. TOTAL ACQUISITION COSTS OF EXISTING DEVELOPMENT (excluding land)' [cell H182], 'C. DEVELOPMENT COSTS' [cell H184], and 'Developer Fee on Non-Acquisition Costs' [cell H190].  Applicant still needs to select a Housing Credit Set-Aside Commitment at Section 4.A.6.d.(1) in the 'Units, Set-Asides, Bldgs' worksheet tab. </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203"/>
      <c r="AD213" s="203"/>
      <c r="AE213" s="203"/>
      <c r="AF213" s="203"/>
      <c r="AG213" s="203"/>
      <c r="AH213" s="203"/>
      <c r="AI213" s="203"/>
      <c r="AJ213" s="203"/>
      <c r="AK213" s="203"/>
      <c r="AL213" s="203"/>
    </row>
    <row r="214" spans="1:38">
      <c r="A214" s="1464" t="s">
        <v>1703</v>
      </c>
      <c r="B214" s="1983" t="str">
        <f>IF(OR(Development_Category="Rehabilitation",Development_Category="Acquisition and Rehabilitation"),IF(IF(LEFT(Data1!B213,1)="(",0,Data1!B213)&gt;=B208,"Yes","No"),"NA")</f>
        <v>NA</v>
      </c>
      <c r="C214" s="1983"/>
      <c r="D214" s="854"/>
      <c r="E214" s="854"/>
      <c r="F214" s="854"/>
      <c r="G214" s="102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row>
    <row r="215" spans="1:38" ht="25.25" customHeight="1" thickBot="1">
      <c r="A215" s="1493" t="s">
        <v>1745</v>
      </c>
      <c r="B215" s="1975" t="str">
        <f>IF(Development_Category="&lt;select one&gt;","(1)","")&amp;IF(Total_Units=0,"(2)","")&amp;IF(total_units_in_unit_desc_chart&lt;Total_Units,"(3)","")&amp;IF(N(Development_Cost_eligible)-N(Acquisition_eligible)+N(Developer_fee_non_acq_eligible)=0,"(4)","")&amp;IF(Minimum_SetAside_per_Sec_42="&lt;select one&gt;","(6)","")</f>
        <v>(2)(4)(6)</v>
      </c>
      <c r="C215" s="1976"/>
      <c r="D215" s="1494" t="s">
        <v>1747</v>
      </c>
      <c r="E215" s="1494"/>
      <c r="F215" s="1494"/>
      <c r="G215" s="1496" t="str">
        <f ca="1">IF(IFERROR(FIND("(1)",$B215)&gt;0,0)&gt;0,$H$148,"")&amp;IF(IFERROR(FIND("(2)",$B215)&gt;0,0)&gt;0,$H$149,"")&amp;IF(IFERROR(FIND("(3)",$B215)&gt;0,0)&gt;0,$H$150,"")&amp;IF(IFERROR(FIND("(4)",$B215)&gt;0,0)&gt;0,$H$151,"")&amp;IF(IFERROR(FIND("(5)",$B215)&gt;0,0)&gt;0,$H$152,"")&amp;IF(IFERROR(FIND("(6)",$B215)&gt;0,0)&gt;0,$H$153,"")&amp;IF(AND(IFERROR(FIND("(1)",$B215)&gt;0,0)=0,IFERROR(FIND("(2)",$B215)&gt;0,0)=0,IFERROR(FIND("(3)",$B215)&gt;0,0)=0,IFERROR(FIND("(4)",$B215)&gt;0,0)=0,IFERROR(FIND("(5)",$B215)=0,0)&gt;0,IFERROR(FIND("(6)",$B215)&gt;0,0)=0),"This area intentionally left blank.","")</f>
        <v xml:space="preserve">Applicant still needs to enter Total Units in Section 4.A.6.a. in the 'Units, Set-Asides, Bldgs' worksheet tab. Applicant still needs to enter Development Costs in the 'Pro Forma' worksheet tab. This calculation uses the Pro Forma amounts in column 1 ('HC ELIGIBLE COSTS') for 'B. TOTAL ACQUISITION COSTS OF EXISTING DEVELOPMENT (excluding land)' [cell H182], 'C. DEVELOPMENT COSTS' [cell H184], and 'Developer Fee on Non-Acquisition Costs' [cell H190]. Applicant still needs to select a Housing Credit Set-Aside Commitment at Section 4.A.6.d.(1) in the 'Units, Set-Asides, Bldgs' worksheet tab. </v>
      </c>
      <c r="H215" s="1497"/>
      <c r="I215" s="1497"/>
      <c r="J215" s="1497"/>
      <c r="K215" s="1497"/>
      <c r="L215" s="1497"/>
      <c r="M215" s="1497"/>
      <c r="N215" s="1497"/>
      <c r="O215" s="1497"/>
      <c r="P215" s="1497"/>
      <c r="Q215" s="1497"/>
      <c r="R215" s="1497"/>
      <c r="S215" s="1497"/>
      <c r="T215" s="1497"/>
      <c r="U215" s="1497"/>
      <c r="V215" s="1497"/>
      <c r="W215" s="1497"/>
      <c r="X215" s="1497"/>
      <c r="Y215" s="1497"/>
      <c r="Z215" s="1497"/>
      <c r="AA215" s="1497"/>
      <c r="AB215" s="1497"/>
      <c r="AC215" s="1497"/>
      <c r="AD215" s="1497"/>
      <c r="AE215" s="1497"/>
      <c r="AF215" s="1497"/>
      <c r="AG215" s="1497"/>
      <c r="AH215" s="1497"/>
      <c r="AI215" s="1497"/>
      <c r="AJ215" s="1497"/>
      <c r="AK215" s="1497"/>
      <c r="AL215" s="1497"/>
    </row>
    <row r="216" spans="1:38">
      <c r="A216" s="1023"/>
      <c r="B216" s="1023"/>
      <c r="C216" s="1023"/>
      <c r="D216" s="1023"/>
      <c r="E216" s="1023"/>
      <c r="F216" s="1023"/>
      <c r="G216" s="108"/>
    </row>
    <row r="217" spans="1:38">
      <c r="A217" s="108"/>
      <c r="B217" s="108"/>
      <c r="C217" s="108"/>
      <c r="D217" s="108"/>
      <c r="E217" s="108"/>
      <c r="F217" s="108"/>
    </row>
    <row r="218" spans="1:38" ht="18" customHeight="1">
      <c r="A218" s="1139" t="s">
        <v>976</v>
      </c>
      <c r="B218" s="1140" t="s">
        <v>4</v>
      </c>
      <c r="C218" s="1140" t="s">
        <v>5</v>
      </c>
      <c r="D218" s="1140" t="s">
        <v>6</v>
      </c>
      <c r="E218" s="986" t="s">
        <v>975</v>
      </c>
      <c r="F218" s="111" t="s">
        <v>2</v>
      </c>
    </row>
    <row r="219" spans="1:38">
      <c r="A219" s="104" t="s">
        <v>977</v>
      </c>
      <c r="B219" s="102">
        <v>1</v>
      </c>
      <c r="C219" s="105">
        <f>IF(B219&lt;&gt;1,"",SUM(B$219:B219))</f>
        <v>1</v>
      </c>
      <c r="D219" s="102">
        <v>1</v>
      </c>
      <c r="F219" s="111" t="str">
        <f>IF(COUNTA($A$219:$A219)&lt;=MAX(DS_RA_Source_Sequence)=TRUE,LOOKUP(COUNTA($A$219:$A219),DS_RA_Source_Sequence,DS_RA_Source_DataNames),"")</f>
        <v>Section 202</v>
      </c>
    </row>
    <row r="220" spans="1:38">
      <c r="A220" s="640" t="s">
        <v>978</v>
      </c>
      <c r="B220" s="103">
        <v>1</v>
      </c>
      <c r="C220" s="105">
        <f>IF(B220&lt;&gt;1,"",SUM(B$219:B220))</f>
        <v>2</v>
      </c>
      <c r="D220" s="103">
        <v>2</v>
      </c>
      <c r="F220" s="111" t="str">
        <f>IF(COUNTA($A$219:$A220)&lt;=MAX(DS_RA_Source_Sequence)=TRUE,LOOKUP(COUNTA($A$219:$A220),DS_RA_Source_Sequence,DS_RA_Source_DataNames),"")</f>
        <v>Section 236</v>
      </c>
    </row>
    <row r="221" spans="1:38">
      <c r="A221" s="104" t="s">
        <v>981</v>
      </c>
      <c r="B221" s="103">
        <v>1</v>
      </c>
      <c r="C221" s="105">
        <f>IF(B221&lt;&gt;1,"",SUM(B$219:B221))</f>
        <v>3</v>
      </c>
      <c r="D221" s="103">
        <v>3</v>
      </c>
      <c r="F221" s="111" t="str">
        <f>IF(COUNTA($A$219:$A221)&lt;=MAX(DS_RA_Source_Sequence)=TRUE,LOOKUP(COUNTA($A$219:$A221),DS_RA_Source_Sequence,DS_RA_Source_DataNames),"")</f>
        <v>Section 811</v>
      </c>
    </row>
    <row r="222" spans="1:38">
      <c r="A222" s="640" t="s">
        <v>979</v>
      </c>
      <c r="B222" s="103">
        <v>1</v>
      </c>
      <c r="C222" s="105">
        <f>IF(B222&lt;&gt;1,"",SUM(B$219:B222))</f>
        <v>4</v>
      </c>
      <c r="D222" s="103">
        <v>4</v>
      </c>
      <c r="F222" s="111" t="str">
        <f>IF(COUNTA($A$219:$A222)&lt;=MAX(DS_RA_Source_Sequence)=TRUE,LOOKUP(COUNTA($A$219:$A222),DS_RA_Source_Sequence,DS_RA_Source_DataNames),"")</f>
        <v>RD 514</v>
      </c>
    </row>
    <row r="223" spans="1:38">
      <c r="A223" s="104" t="s">
        <v>474</v>
      </c>
      <c r="B223" s="103">
        <v>1</v>
      </c>
      <c r="C223" s="105">
        <f>IF(B223&lt;&gt;1,"",SUM(B$219:B223))</f>
        <v>5</v>
      </c>
      <c r="D223" s="103">
        <v>5</v>
      </c>
      <c r="F223" s="111" t="str">
        <f>IF(COUNTA($A$219:$A223)&lt;=MAX(DS_RA_Source_Sequence)=TRUE,LOOKUP(COUNTA($A$219:$A223),DS_RA_Source_Sequence,DS_RA_Source_DataNames),"")</f>
        <v>RD 515</v>
      </c>
    </row>
    <row r="224" spans="1:38">
      <c r="A224" s="640" t="s">
        <v>980</v>
      </c>
      <c r="B224" s="103">
        <v>1</v>
      </c>
      <c r="C224" s="105">
        <f>IF(B224&lt;&gt;1,"",SUM(B$219:B224))</f>
        <v>6</v>
      </c>
      <c r="D224" s="103">
        <v>6</v>
      </c>
      <c r="F224" s="111" t="str">
        <f>IF(COUNTA($A$219:$A224)&lt;=MAX(DS_RA_Source_Sequence)=TRUE,LOOKUP(COUNTA($A$219:$A224),DS_RA_Source_Sequence,DS_RA_Source_DataNames),"")</f>
        <v>RD 516</v>
      </c>
    </row>
    <row r="225" spans="1:24">
      <c r="A225" s="104" t="s">
        <v>118</v>
      </c>
      <c r="B225" s="103">
        <v>1</v>
      </c>
      <c r="C225" s="105">
        <f>IF(B225&lt;&gt;1,"",SUM(B$219:B225))</f>
        <v>7</v>
      </c>
      <c r="D225" s="103">
        <v>7</v>
      </c>
      <c r="F225" s="111" t="str">
        <f>IF(COUNTA($A$219:$A225)&lt;=MAX(DS_RA_Source_Sequence)=TRUE,LOOKUP(COUNTA($A$219:$A225),DS_RA_Source_Sequence,DS_RA_Source_DataNames),"")</f>
        <v>Other</v>
      </c>
      <c r="H225" t="s">
        <v>1925</v>
      </c>
    </row>
    <row r="226" spans="1:24">
      <c r="A226" s="725" t="s">
        <v>1105</v>
      </c>
      <c r="B226" s="879"/>
      <c r="C226" s="729"/>
      <c r="D226" s="881">
        <f>IF(Total_Units=0,0,D227/Total_Units)</f>
        <v>0</v>
      </c>
      <c r="E226" s="203"/>
      <c r="F226" s="1512">
        <f>VALUE(IF(D226&lt;=C237,A237,IF(D226&lt;=C236,A236,IF(D226&lt;=C235,A235,IF(D226&lt;=C234,A234,IF(D226&lt;C233,A233,A232))))))</f>
        <v>6</v>
      </c>
      <c r="H226" t="s">
        <v>1924</v>
      </c>
    </row>
    <row r="227" spans="1:24">
      <c r="A227" s="725" t="s">
        <v>1106</v>
      </c>
      <c r="B227" s="879"/>
      <c r="C227" s="729"/>
      <c r="D227" s="880">
        <f>SUM('Proposed Development Info'!F30:F31)+IF(OR(Development_Category="New Construction",Development_Category="Rehabilitation",Development_Category="Acquisition and Rehabilitation"),Other_Federal_assistance_units,0)</f>
        <v>0</v>
      </c>
      <c r="E227" s="203"/>
      <c r="F227" s="1512" t="str">
        <f>IF(OR(D227&lt;D234,D226&lt;=F234),"NA",VALUE(IF(AND(D227&lt;E234,D226&gt;F234),A234,IF(AND(D227&lt;E233,D226&gt;F233),A233,IF(AND(D227&gt;=D232,D226&gt;F232),A232,"NA")))))</f>
        <v>NA</v>
      </c>
    </row>
    <row r="228" spans="1:24">
      <c r="A228" s="725" t="s">
        <v>1107</v>
      </c>
      <c r="B228" s="879"/>
      <c r="C228" s="729"/>
      <c r="D228" s="880" t="str">
        <f>IF(F226&lt;IF(F227="NA",6,N(F227)),"Percent",IF(IF(F227="NA",6,N(F227))&lt;F226,"Num",IF(F226=IF(F227="NA",6,N(F227)),"Both","Neither")))</f>
        <v>Both</v>
      </c>
      <c r="E228" s="203"/>
      <c r="F228" s="1512">
        <f>MIN(F226,IF(F227="NA",6,N(F227)))</f>
        <v>6</v>
      </c>
    </row>
    <row r="230" spans="1:24">
      <c r="A230" s="2044" t="s">
        <v>1750</v>
      </c>
      <c r="B230" s="2043" t="s">
        <v>1751</v>
      </c>
      <c r="C230" s="2043"/>
      <c r="D230" s="2043" t="s">
        <v>1754</v>
      </c>
      <c r="E230" s="2043"/>
      <c r="F230" s="2043"/>
    </row>
    <row r="231" spans="1:24">
      <c r="A231" s="2045"/>
      <c r="B231" s="1522" t="s">
        <v>1752</v>
      </c>
      <c r="C231" s="1523" t="s">
        <v>1753</v>
      </c>
      <c r="D231" s="1524" t="s">
        <v>1756</v>
      </c>
      <c r="E231" s="1525" t="s">
        <v>1757</v>
      </c>
      <c r="F231" s="1526" t="s">
        <v>1755</v>
      </c>
    </row>
    <row r="232" spans="1:24">
      <c r="A232" s="1514">
        <v>1</v>
      </c>
      <c r="B232" s="1675">
        <f>IF(Total_Units=0,1,(Total_Units-2)/Total_Units)</f>
        <v>1</v>
      </c>
      <c r="C232" s="1503">
        <v>1</v>
      </c>
      <c r="D232" s="1518">
        <v>100</v>
      </c>
      <c r="E232" s="1504"/>
      <c r="F232" s="1520">
        <v>0.5</v>
      </c>
    </row>
    <row r="233" spans="1:24">
      <c r="A233" s="1515">
        <v>2</v>
      </c>
      <c r="B233" s="1517">
        <v>0.9</v>
      </c>
      <c r="C233" s="1676">
        <f>B232</f>
        <v>1</v>
      </c>
      <c r="D233" s="1519">
        <v>90</v>
      </c>
      <c r="E233" s="1505">
        <f>D232</f>
        <v>100</v>
      </c>
      <c r="F233" s="1521">
        <v>0.5</v>
      </c>
    </row>
    <row r="234" spans="1:24">
      <c r="A234" s="1515">
        <v>3</v>
      </c>
      <c r="B234" s="1517">
        <v>0.75</v>
      </c>
      <c r="C234" s="1500">
        <f>B233</f>
        <v>0.9</v>
      </c>
      <c r="D234" s="1519">
        <v>75</v>
      </c>
      <c r="E234" s="1505">
        <f>D233</f>
        <v>90</v>
      </c>
      <c r="F234" s="1521">
        <v>0.5</v>
      </c>
    </row>
    <row r="235" spans="1:24">
      <c r="A235" s="1515">
        <v>4</v>
      </c>
      <c r="B235" s="1517">
        <v>0.5</v>
      </c>
      <c r="C235" s="1500">
        <f>B234</f>
        <v>0.75</v>
      </c>
      <c r="D235" s="1506"/>
      <c r="E235" s="1507"/>
      <c r="F235" s="1508"/>
    </row>
    <row r="236" spans="1:24">
      <c r="A236" s="1515">
        <v>5</v>
      </c>
      <c r="B236" s="1517">
        <v>0.1</v>
      </c>
      <c r="C236" s="1500">
        <f>B235</f>
        <v>0.5</v>
      </c>
      <c r="D236" s="1506"/>
      <c r="E236" s="1507"/>
      <c r="F236" s="1508"/>
    </row>
    <row r="237" spans="1:24">
      <c r="A237" s="1516">
        <v>6</v>
      </c>
      <c r="B237" s="1501">
        <v>0</v>
      </c>
      <c r="C237" s="1502">
        <f>B236</f>
        <v>0.1</v>
      </c>
      <c r="D237" s="1509"/>
      <c r="E237" s="1510"/>
      <c r="F237" s="1511"/>
    </row>
    <row r="238" spans="1:24" ht="15" thickBot="1"/>
    <row r="239" spans="1:24" ht="18" customHeight="1" thickBot="1">
      <c r="A239" s="1139" t="s">
        <v>1201</v>
      </c>
      <c r="B239" s="108"/>
      <c r="C239" s="108"/>
      <c r="D239" s="108"/>
      <c r="E239" s="986" t="s">
        <v>1200</v>
      </c>
      <c r="G239" s="2062" t="s">
        <v>1650</v>
      </c>
      <c r="H239" s="2068"/>
      <c r="I239" s="2068"/>
      <c r="J239" s="2063"/>
      <c r="K239" s="2062" t="s">
        <v>1651</v>
      </c>
      <c r="L239" s="2068"/>
      <c r="M239" s="2068"/>
      <c r="N239" s="2063"/>
      <c r="O239" s="2059">
        <f>COUNTIF(K242:N246,1)</f>
        <v>0</v>
      </c>
      <c r="P239" s="2060"/>
      <c r="Q239" s="2060"/>
      <c r="R239" s="2061"/>
      <c r="S239" s="2062" t="s">
        <v>1652</v>
      </c>
      <c r="T239" s="2063"/>
      <c r="U239" s="2062" t="s">
        <v>1653</v>
      </c>
      <c r="V239" s="2063"/>
      <c r="W239" s="2062" t="s">
        <v>1684</v>
      </c>
      <c r="X239" s="2063"/>
    </row>
    <row r="240" spans="1:24">
      <c r="E240" s="1029"/>
      <c r="F240" s="1022"/>
      <c r="G240" s="2064" t="s">
        <v>16</v>
      </c>
      <c r="H240" s="2065"/>
      <c r="I240" s="2020" t="s">
        <v>17</v>
      </c>
      <c r="J240" s="2020"/>
      <c r="K240" s="2021" t="s">
        <v>16</v>
      </c>
      <c r="L240" s="2022"/>
      <c r="M240" s="2023" t="s">
        <v>17</v>
      </c>
      <c r="N240" s="2024"/>
      <c r="O240" s="2021" t="s">
        <v>16</v>
      </c>
      <c r="P240" s="2022"/>
      <c r="Q240" s="2023" t="s">
        <v>17</v>
      </c>
      <c r="R240" s="2024"/>
      <c r="S240" s="2066" t="s">
        <v>16</v>
      </c>
      <c r="T240" s="2067"/>
      <c r="U240" s="2066" t="s">
        <v>16</v>
      </c>
      <c r="V240" s="2067"/>
      <c r="W240" s="2066" t="s">
        <v>16</v>
      </c>
      <c r="X240" s="2067"/>
    </row>
    <row r="241" spans="1:24">
      <c r="B241" s="1132" t="s">
        <v>1648</v>
      </c>
      <c r="C241" s="1132" t="s">
        <v>1649</v>
      </c>
      <c r="E241" s="1029"/>
      <c r="F241" s="1022"/>
      <c r="G241" s="1384" t="s">
        <v>1654</v>
      </c>
      <c r="H241" s="1385" t="s">
        <v>1655</v>
      </c>
      <c r="I241" s="211" t="s">
        <v>1654</v>
      </c>
      <c r="J241" s="211" t="s">
        <v>1655</v>
      </c>
      <c r="K241" s="1384" t="s">
        <v>1654</v>
      </c>
      <c r="L241" s="1386" t="s">
        <v>1655</v>
      </c>
      <c r="M241" s="211" t="s">
        <v>1654</v>
      </c>
      <c r="N241" s="1387" t="s">
        <v>1655</v>
      </c>
      <c r="O241" s="1388" t="s">
        <v>1654</v>
      </c>
      <c r="P241" s="1386" t="s">
        <v>1655</v>
      </c>
      <c r="Q241" s="1389" t="s">
        <v>1654</v>
      </c>
      <c r="R241" s="1390" t="s">
        <v>1655</v>
      </c>
      <c r="S241" s="1388" t="s">
        <v>1654</v>
      </c>
      <c r="T241" s="1390" t="s">
        <v>1655</v>
      </c>
      <c r="U241" s="1388" t="s">
        <v>1654</v>
      </c>
      <c r="V241" s="1390" t="s">
        <v>1655</v>
      </c>
      <c r="W241" s="1388" t="s">
        <v>1654</v>
      </c>
      <c r="X241" s="1390" t="s">
        <v>1655</v>
      </c>
    </row>
    <row r="242" spans="1:24">
      <c r="A242" s="108" t="s">
        <v>274</v>
      </c>
      <c r="B242" s="1029">
        <f>Garden_ESS_NC_units+Garden_non_ESS_NC_units+Garden_ESS_Rehab_units+Garden_non_ESS_Rehab_units</f>
        <v>0</v>
      </c>
      <c r="C242" s="165">
        <f>RANK(B242,B$242:B$246,0)</f>
        <v>1</v>
      </c>
      <c r="D242" s="1029"/>
      <c r="E242" s="1029"/>
      <c r="F242" s="1022"/>
      <c r="G242" s="1391">
        <f>Garden_ESS_NC_units</f>
        <v>0</v>
      </c>
      <c r="H242" s="1392">
        <f>Garden_non_ESS_NC_units</f>
        <v>0</v>
      </c>
      <c r="I242" s="165">
        <f>Garden_ESS_Rehab_units</f>
        <v>0</v>
      </c>
      <c r="J242" s="165">
        <f>Garden_non_ESS_Rehab_units</f>
        <v>0</v>
      </c>
      <c r="K242" s="1391" t="str">
        <f>IF(G242=0,"",RANK(G242,$G$242:$J$246))</f>
        <v/>
      </c>
      <c r="L242" s="1392" t="str">
        <f>IF(H242=0,"",RANK(H242,$G$242:$J$246))</f>
        <v/>
      </c>
      <c r="M242" s="165" t="str">
        <f>IF(I242=0,"",RANK(I242,$G$242:$J$246))</f>
        <v/>
      </c>
      <c r="N242" s="1393" t="str">
        <f>IF(J242=0,"",RANK(J242,$G$242:$J$246))</f>
        <v/>
      </c>
      <c r="O242" s="1394" t="str">
        <f>IF(K242=1,"New Construction Garden ESS Construction","")</f>
        <v/>
      </c>
      <c r="P242" s="1395" t="str">
        <f>IF(L242=1,"New Construction Garden Non-ESS Construction","")</f>
        <v/>
      </c>
      <c r="Q242" s="1376" t="str">
        <f>IF(M242=1,"Rehab Garden ESS Construction","")</f>
        <v/>
      </c>
      <c r="R242" s="1396" t="str">
        <f>IF(N242=1,"Rehab Garden Non-ESS Construction","")</f>
        <v/>
      </c>
      <c r="S242" s="1394" t="str">
        <f>IF(O242&lt;&gt;"",IF(OR(County="Broward",County="Miami-Dade",County="Palm Beach"),"SF","PF")&amp;"NCGAE","")</f>
        <v/>
      </c>
      <c r="T242" s="1397" t="str">
        <f>IF(P242&lt;&gt;"",IF(OR(County="Broward",County="Miami-Dade",County="Palm Beach"),"SF","PF")&amp;"NCGAW","")</f>
        <v/>
      </c>
      <c r="U242" s="1398" t="str">
        <f>IFERROR(VLOOKUP(S242,DS_Max_NHTF,IF(Data3!L$105=Data3!J$186,8,9)),"")</f>
        <v/>
      </c>
      <c r="V242" s="1399" t="str">
        <f>IFERROR(VLOOKUP(T242,DS_Max_NHTF,IF(Data3!M$105=Data3!K$186,8,9)),"")</f>
        <v/>
      </c>
      <c r="W242" s="1398">
        <f>IF(Data3!$L$105=Data3!$K$186,IF(OR(County="Broward",County="Miami-Dade",County="Palm Beach"),Data3!$K$195,Data3!$K$188),IF(OR(County="Broward",County="Miami-Dade",County="Palm Beach"),Data3!$J$195,Data3!$J$188))</f>
        <v>275000</v>
      </c>
      <c r="X242" s="1399">
        <f>IF(Data3!$L$105=Data3!$K$186,IF(OR(County="Broward",County="Miami-Dade",County="Palm Beach"),Data3!$K$196,Data3!$K$189),IF(OR(County="Broward",County="Miami-Dade",County="Palm Beach"),Data3!$J$196,Data3!$J$189))</f>
        <v>260000</v>
      </c>
    </row>
    <row r="243" spans="1:24">
      <c r="A243" s="108" t="s">
        <v>115</v>
      </c>
      <c r="B243" s="1029">
        <f>HR_ESS_NC_units+MR_and_HR_ESS_Rehab_units</f>
        <v>0</v>
      </c>
      <c r="C243" s="165">
        <f>RANK(B243,B$242:B$246,0)</f>
        <v>1</v>
      </c>
      <c r="D243" s="1029"/>
      <c r="E243" s="1029"/>
      <c r="G243" s="1391">
        <f>HR_ESS_NC_units</f>
        <v>0</v>
      </c>
      <c r="H243" s="1400"/>
      <c r="I243" s="2050">
        <f>MR_and_HR_ESS_Rehab_units</f>
        <v>0</v>
      </c>
      <c r="J243" s="2042">
        <f>MR_and_HR_non_ESS_Rehab_units</f>
        <v>0</v>
      </c>
      <c r="K243" s="1391" t="str">
        <f>IF(G243=0,"",RANK(G243,$G$242:$J$246))</f>
        <v/>
      </c>
      <c r="L243" s="1400"/>
      <c r="M243" s="2042" t="str">
        <f>IF(I243=0,"",RANK(I243,$G$242:$J$246))</f>
        <v/>
      </c>
      <c r="N243" s="2051" t="str">
        <f>IF(J243=0,"",RANK(J243,$G$242:$J$246))</f>
        <v/>
      </c>
      <c r="O243" s="1401" t="str">
        <f>IF(K243=1,"New Construction High-Rise ESS Construction","")</f>
        <v/>
      </c>
      <c r="P243" s="1402"/>
      <c r="Q243" s="1376" t="str">
        <f>IF(M243=1,"Rehab Mid-Rise, High-Rise ESS Construction","")</f>
        <v/>
      </c>
      <c r="R243" s="1396" t="str">
        <f>IF(N243=1,"Rehab Mid-Rise, High-Rise Non-ESS Construction","")</f>
        <v/>
      </c>
      <c r="S243" s="1394" t="str">
        <f>IF(O243&lt;&gt;"",IF(OR(County="Broward",County="Miami-Dade",County="Palm Beach"),"SF","PF")&amp;"NCHRE","")</f>
        <v/>
      </c>
      <c r="T243" s="1403"/>
      <c r="U243" s="1398" t="str">
        <f>IFERROR(VLOOKUP(S243,DS_Max_NHTF,IF(Data3!L$105=Data3!J$186,8,9)),"")</f>
        <v/>
      </c>
      <c r="V243" s="1404"/>
      <c r="W243" s="1398">
        <f>IF(Data3!$L$105=Data3!$K$186,IF(OR(County="Broward",County="Miami-Dade",County="Palm Beach"),Data3!$K$197,Data3!$K$190),IF(OR(County="Broward",County="Miami-Dade",County="Palm Beach"),Data3!$J$197,Data3!$J$190))</f>
        <v>335000</v>
      </c>
      <c r="X243" s="1404"/>
    </row>
    <row r="244" spans="1:24">
      <c r="A244" s="108" t="s">
        <v>277</v>
      </c>
      <c r="B244" s="1029">
        <f>MR_ESS_NC_units+MR_Non_ESS_NC_units+MR_and_HR_ESS_Rehab_units+MR_and_HR_non_ESS_Rehab_units</f>
        <v>0</v>
      </c>
      <c r="C244" s="165">
        <f>RANK(B244,B$242:B$246,0)</f>
        <v>1</v>
      </c>
      <c r="D244" s="1029"/>
      <c r="E244" s="1029"/>
      <c r="F244" s="1024"/>
      <c r="G244" s="1391">
        <f>MR_ESS_NC_units</f>
        <v>0</v>
      </c>
      <c r="H244" s="1392">
        <f>MR_Non_ESS_NC_units</f>
        <v>0</v>
      </c>
      <c r="I244" s="2050"/>
      <c r="J244" s="2042"/>
      <c r="K244" s="1391" t="str">
        <f>IF(G244=0,"",RANK(G244,$G$242:$J$246))</f>
        <v/>
      </c>
      <c r="L244" s="1392" t="str">
        <f>IF(H244=0,"",RANK(H244,$G$242:$J$246))</f>
        <v/>
      </c>
      <c r="M244" s="2042"/>
      <c r="N244" s="2051"/>
      <c r="O244" s="1401" t="str">
        <f>IF(K244=1,"New Construction Mid-Rise ESS Construction","")</f>
        <v/>
      </c>
      <c r="P244" s="1405" t="str">
        <f>IF(L244=1,"New Construction Mid-Rise Non-ESS Construction","")</f>
        <v/>
      </c>
      <c r="Q244" s="1406"/>
      <c r="R244" s="1403"/>
      <c r="S244" s="1394" t="str">
        <f>IF(O244&lt;&gt;"",IF(OR(County="Broward",County="Miami-Dade",County="Palm Beach"),"SF","PF")&amp;"NCMRE","")</f>
        <v/>
      </c>
      <c r="T244" s="1397" t="str">
        <f>IF(P244&lt;&gt;"",IF(OR(County="Broward",County="Miami-Dade",County="Palm Beach"),"SF","PF")&amp;"NCMRW","")</f>
        <v/>
      </c>
      <c r="U244" s="1398" t="str">
        <f>IFERROR(VLOOKUP(S244,DS_Max_NHTF,IF(Data3!L$105=Data3!J$186,8,9)),"")</f>
        <v/>
      </c>
      <c r="V244" s="1399" t="str">
        <f>IFERROR(VLOOKUP(T244,DS_Max_NHTF,IF(Data3!M$105=Data3!K$186,8,9)),"")</f>
        <v/>
      </c>
      <c r="W244" s="1398">
        <f>IF(Data3!$L$105=Data3!$K$186,IF(OR(County="Broward",County="Miami-Dade",County="Palm Beach"),Data3!$K$198,Data3!$K$191),IF(OR(County="Broward",County="Miami-Dade",County="Palm Beach"),Data3!$J$198,Data3!$J$191))</f>
        <v>290000</v>
      </c>
      <c r="X244" s="1399">
        <f>IF(Data3!$L$105=Data3!$K$186,IF(OR(County="Broward",County="Miami-Dade",County="Palm Beach"),Data3!$K$199,Data3!$K$192),IF(OR(County="Broward",County="Miami-Dade",County="Palm Beach"),Data3!$J$199,Data3!$J$192))</f>
        <v>275000</v>
      </c>
    </row>
    <row r="245" spans="1:24">
      <c r="A245" s="108" t="s">
        <v>278</v>
      </c>
      <c r="B245" s="1029">
        <f>Other_ESS_NC_units+Other_Non_ESS_NC_units+Other_ESS_Rehab_units+Other_non_ESS_Rehab_units</f>
        <v>0</v>
      </c>
      <c r="C245" s="165">
        <f>RANK(B245,B$242:B$246,0)</f>
        <v>1</v>
      </c>
      <c r="D245" s="1029"/>
      <c r="E245" s="165"/>
      <c r="G245" s="1391">
        <f>Other_ESS_NC_units</f>
        <v>0</v>
      </c>
      <c r="H245" s="1392">
        <f>Other_Non_ESS_NC_units</f>
        <v>0</v>
      </c>
      <c r="I245" s="165">
        <f>Other_ESS_Rehab_units</f>
        <v>0</v>
      </c>
      <c r="J245" s="165">
        <f>Other_non_ESS_Rehab_units</f>
        <v>0</v>
      </c>
      <c r="K245" s="1391" t="str">
        <f>IF(G245=0,"",RANK(G245,$G$242:$J$246))</f>
        <v/>
      </c>
      <c r="L245" s="1392" t="str">
        <f>IF(H245=0,"",RANK(H245,$G$242:$J$246))</f>
        <v/>
      </c>
      <c r="M245" s="165" t="str">
        <f>IF(I245=0,"",RANK(I245,$G$242:$J$246))</f>
        <v/>
      </c>
      <c r="N245" s="1393" t="str">
        <f>IF(J245=0,"",RANK(J245,$G$242:$J$246))</f>
        <v/>
      </c>
      <c r="O245" s="1394" t="str">
        <f>IF(K245=1,"New Construction Other Dev Type* ESS Construction","")</f>
        <v/>
      </c>
      <c r="P245" s="1405" t="str">
        <f>IF(L245=1,"New Construction Other Dev Type* Non-ESS Construction","")</f>
        <v/>
      </c>
      <c r="Q245" s="1376" t="str">
        <f>IF(M245=1,"Rehab Other Dev Type* ESS Construction","")</f>
        <v/>
      </c>
      <c r="R245" s="1396" t="str">
        <f>IF(N245=1,"Rehab Other Dev Type* Non-ESS Construction","")</f>
        <v/>
      </c>
      <c r="S245" s="1394" t="str">
        <f>IF(O245&lt;&gt;"",IF(OR(County="Broward",County="Miami-Dade",County="Palm Beach"),"SF","PF")&amp;"NCGAE","")</f>
        <v/>
      </c>
      <c r="T245" s="1397" t="str">
        <f>IF(P245&lt;&gt;"",IF(OR(County="Broward",County="Miami-Dade",County="Palm Beach"),"SF","PF")&amp;"NCGAW","")</f>
        <v/>
      </c>
      <c r="U245" s="1398" t="str">
        <f>IFERROR(VLOOKUP(S245,DS_Max_NHTF,IF(Data3!L$105=Data3!J$186,8,9)),"")</f>
        <v/>
      </c>
      <c r="V245" s="1399" t="str">
        <f>IFERROR(VLOOKUP(T245,DS_Max_NHTF,IF(Data3!M$105=Data3!K$186,8,9)),"")</f>
        <v/>
      </c>
      <c r="W245" s="1398">
        <f>W242</f>
        <v>275000</v>
      </c>
      <c r="X245" s="1399">
        <f>X242</f>
        <v>260000</v>
      </c>
    </row>
    <row r="246" spans="1:24" ht="15" thickBot="1">
      <c r="A246" s="108" t="s">
        <v>108</v>
      </c>
      <c r="B246" s="1029">
        <f>SiF_ESS_NC_Units+SiF_Non_ESS_NC_Units</f>
        <v>0</v>
      </c>
      <c r="C246" s="165">
        <f>RANK(B246,B$242:B$246,0)</f>
        <v>1</v>
      </c>
      <c r="D246" s="1029"/>
      <c r="G246" s="1407">
        <f>SiF_ESS_NC_Units</f>
        <v>0</v>
      </c>
      <c r="H246" s="1408">
        <f>SiF_Non_ESS_NC_Units</f>
        <v>0</v>
      </c>
      <c r="I246" s="1409"/>
      <c r="J246" s="1409"/>
      <c r="K246" s="1407" t="str">
        <f>IF(G246=0,"",RANK(G246,$G$242:$J$246))</f>
        <v/>
      </c>
      <c r="L246" s="1408" t="str">
        <f>IF(H246=0,"",RANK(H246,$G$242:$J$246))</f>
        <v/>
      </c>
      <c r="M246" s="1409"/>
      <c r="N246" s="1410"/>
      <c r="O246" s="1411" t="str">
        <f>IF(K246=1,"New Construction Single Family ESS Construction","")</f>
        <v/>
      </c>
      <c r="P246" s="1412" t="str">
        <f>IF(L246=1,"New Construction Single Family Non-ESS Construction","")</f>
        <v/>
      </c>
      <c r="Q246" s="1413"/>
      <c r="R246" s="1414"/>
      <c r="S246" s="1415" t="str">
        <f>IF(O246&lt;&gt;"",IF(OR(County="Broward",County="Miami-Dade",County="Palm Beach"),"SF","PF")&amp;"NCGAE","")</f>
        <v/>
      </c>
      <c r="T246" s="1416" t="str">
        <f>IF(P246&lt;&gt;"",IF(OR(County="Broward",County="Miami-Dade",County="Palm Beach"),"SF","PF")&amp;"NCGAW","")</f>
        <v/>
      </c>
      <c r="U246" s="1398" t="str">
        <f>IFERROR(VLOOKUP(S246,DS_Max_NHTF,IF(Data3!L$105=Data3!J$186,8,9)),"")</f>
        <v/>
      </c>
      <c r="V246" s="1399" t="str">
        <f>IFERROR(VLOOKUP(T246,DS_Max_NHTF,IF(Data3!M$105=Data3!K$186,8,9)),"")</f>
        <v/>
      </c>
      <c r="W246" s="1417">
        <f>W242</f>
        <v>275000</v>
      </c>
      <c r="X246" s="1418">
        <f>X242</f>
        <v>260000</v>
      </c>
    </row>
    <row r="247" spans="1:24" ht="15" thickBot="1">
      <c r="A247" s="1380" t="str">
        <f>IF(DevType=A327,"Garden",IF(OR(DevType=A333,DevType=A334),"Mid-Rise",IF(OR(DevType=A329,DevType=A330,DevType=A331,DevType=A332,DevType=A336,DevType=A337,DevType=A338),"Other Dev Type*",DevType)))</f>
        <v>&lt;select one&gt;</v>
      </c>
      <c r="B247" s="1381">
        <f>IFERROR(VLOOKUP(A247,A242:C246,2),0)</f>
        <v>0</v>
      </c>
      <c r="C247" s="1382">
        <f>IFERROR(VLOOKUP(A247,A242:C246,3),1)</f>
        <v>1</v>
      </c>
      <c r="D247" s="1383" t="str">
        <f>IF(AND(A247&lt;&gt;"Other Dev Type*",VLOOKUP("Other Dev Type*",A242:C246,2)&gt;B247),VLOOKUP("Other Dev Type*",A242:C246,2)-B247,"NA")</f>
        <v>NA</v>
      </c>
      <c r="G247" s="165"/>
      <c r="H247" s="1011"/>
      <c r="I247" s="1499"/>
      <c r="J247" s="165"/>
      <c r="O247" s="1993" t="str">
        <f>IF(K242=1,O242&amp;IF(O239-1&gt;1,", ",IF(O239-1=1," and ","")),"")&amp;IF(K243=1,O243&amp;IF(O239-SUM(K242:K243)&gt;1,", ",IF(O239-SUM(K242:K243)=1," and ","")),"")&amp;IF(K244=1,O244&amp;IF(O239-SUM(K242:K244)&gt;1,", ",IF(O239-SUM(K242:K244)=1," and ","")),"")&amp;IF(K245=1,O245&amp;IF(O239-SUM(K242:K245)&gt;1,", ",IF(O239-SUM(K242:K245)=1," and ","")),"")&amp;IF(K246=1,O246&amp;IF(O239-SUM(K242:K246)&gt;1,", ",IF(O239-SUM(K242:K246)=1," and ","")),"")&amp;IF(K246=1,O246&amp;IF(O239-SUM(K242:K246)&gt;1,", ",IF(O239-SUM(K242:K246)=1," and ","")),"")&amp;IF(L242=1,P242&amp;IF(O239-SUM(K242:K246)-1&gt;1,", ",IF(O239-SUM(K242:K246)-1=1," and ","")),"")&amp;IF(L244=1,P244&amp;IF(O239-SUM(K242:K246)-SUM(L242:L244)&gt;1,", ",IF(O239-SUM(K242:K246)-SUM(L242:L244)=1," and ","")),"")&amp;IF(L245=1,P245&amp;IF(O239-SUM(K242:K246)-SUM(L242:L245)&gt;1,", ",IF(O239-SUM(K242:K246)-SUM(L242:L245)=1," and ","")),"")&amp;IF(L246=1,P246&amp;IF(O239-SUM(K242:K246)-SUM(L242:L246)&gt;1,", ",IF(O239-SUM(K242:K246)-SUM(L242:L246)=1," and ","")),"")&amp;IF(L246=1,P246&amp;IF(O239-SUM(K242:K246)-SUM(L242:L246)&gt;1,", ",IF(O239-SUM(K242:K246)-SUM(L242:L246)=1," and ","")),"")&amp;IF(M242=1,Q242&amp;IF(O239-SUM(K242:K246)-SUM(L242:L246)-1&gt;1,", ",IF(O239-SUM(K242:K246)-SUM(L242:L246)-1=1," and ","")),"")&amp;IF(M243=1,Q243&amp;IF(O239-SUM(K242:K246)-SUM(L242:L246)-SUM(M242:M243)&gt;1,", ",IF(O239-SUM(K242:K246)-SUM(L242:L246)-SUM(M242:M243)=1," and ","")),"")&amp;IF(M245=1,Q245&amp;IF(O239-SUM(K242:K246)-SUM(L242:L246)-SUM(M242:M245)&gt;1,", ",IF(O239-SUM(K242:K246)-SUM(L242:L246)-SUM(M242:M245)=1," and ","")),"")&amp;IF(N242=1,R242&amp;IF(O239-SUM(K242:K246)-SUM(L242:L246)-SUM(M242:M245)-1&gt;1,", ",IF(O239-SUM(K242:K246)-SUM(L242:L246)-SUM(M242:M245)-1=1," and ","")),"")&amp;IF(N243=1,R243&amp;IF(O239-SUM(K242:K246)-SUM(L242:L246)-SUM(M242:M245)-SUM(N242:N243)=1," and ",""),"")&amp;IF(N245=1,R245,"")</f>
        <v/>
      </c>
      <c r="P247" s="1994"/>
      <c r="Q247" s="1994"/>
      <c r="R247" s="2052"/>
      <c r="U247" s="2046">
        <f>IF(SUM(U242:V246)=0,0,AVERAGEIF(U242:V246,"&gt;0"))</f>
        <v>0</v>
      </c>
      <c r="V247" s="2047"/>
      <c r="W247" s="2048">
        <f>IF(SUM(G242:H246)=0,0,(G242*W242+G243*W243+G244*W244+G245*W245+G246*W246+H242*X242+H244*X244+H245*X245+H246*X246)/SUM(G242:H246))</f>
        <v>0</v>
      </c>
      <c r="X247" s="2049"/>
    </row>
    <row r="248" spans="1:24" ht="15" thickBot="1">
      <c r="O248" s="2053"/>
      <c r="P248" s="2054"/>
      <c r="Q248" s="2054"/>
      <c r="R248" s="2055"/>
      <c r="U248" s="2057">
        <f>MAX(U242:V246)</f>
        <v>0</v>
      </c>
      <c r="V248" s="2058"/>
    </row>
    <row r="249" spans="1:24" ht="18" customHeight="1">
      <c r="A249" s="1139" t="s">
        <v>23</v>
      </c>
      <c r="B249" s="1140" t="s">
        <v>4</v>
      </c>
      <c r="C249" s="1140" t="s">
        <v>5</v>
      </c>
      <c r="D249" s="1140" t="s">
        <v>6</v>
      </c>
      <c r="E249" s="986" t="s">
        <v>955</v>
      </c>
      <c r="F249" s="111" t="s">
        <v>2</v>
      </c>
      <c r="H249" s="113" t="s">
        <v>24</v>
      </c>
      <c r="I249" s="113" t="s">
        <v>25</v>
      </c>
      <c r="J249" s="2038" t="s">
        <v>1886</v>
      </c>
      <c r="K249" s="2039"/>
      <c r="O249" s="1995"/>
      <c r="P249" s="1996"/>
      <c r="Q249" s="1996"/>
      <c r="R249" s="2056"/>
    </row>
    <row r="250" spans="1:24" ht="15" customHeight="1">
      <c r="A250" s="104" t="s">
        <v>26</v>
      </c>
      <c r="B250" s="102">
        <f>IF(AND(H250="Large",K$250="Yes"),1,IF(AND(H250="Medium",K$251="Yes"),1,IF(AND(H250="Small",K$252="Yes"),1,0)))</f>
        <v>1</v>
      </c>
      <c r="C250" s="105">
        <f>IF(B250&lt;&gt;1,"",SUM(B$250:B250))</f>
        <v>1</v>
      </c>
      <c r="D250" s="102">
        <v>1</v>
      </c>
      <c r="E250" s="2040" t="s">
        <v>1979</v>
      </c>
      <c r="F250" s="111" t="str">
        <f>IF(COUNTA($A$250:$A250)&lt;=MAX(DS_Counties_Sequence)=TRUE,LOOKUP(COUNTA($A$250:$A250),DS_Counties_Sequence,DS_Counties_DataNames),"")</f>
        <v>Alachua</v>
      </c>
      <c r="G250" s="460"/>
      <c r="H250" s="114" t="s">
        <v>27</v>
      </c>
      <c r="I250" s="114" t="s">
        <v>28</v>
      </c>
      <c r="J250" t="s">
        <v>1887</v>
      </c>
      <c r="K250" s="1300" t="s">
        <v>191</v>
      </c>
    </row>
    <row r="251" spans="1:24">
      <c r="A251" s="104" t="s">
        <v>29</v>
      </c>
      <c r="B251" s="102">
        <f t="shared" ref="B251:B302" si="0">IF(AND(H251="Large",K$250="Yes"),1,IF(AND(H251="Medium",K$251="Yes"),1,IF(AND(H251="Small",K$252="Yes"),1,0)))</f>
        <v>1</v>
      </c>
      <c r="C251" s="105">
        <f>IF(B251&lt;&gt;1,"",SUM(B$250:B251))</f>
        <v>2</v>
      </c>
      <c r="D251" s="102">
        <v>2</v>
      </c>
      <c r="E251" s="2040"/>
      <c r="F251" s="111" t="str">
        <f>IF(COUNTA($A$250:$A251)&lt;=MAX(DS_Counties_Sequence)=TRUE,LOOKUP(COUNTA($A$250:$A251),DS_Counties_Sequence,DS_Counties_DataNames),"")</f>
        <v>Baker</v>
      </c>
      <c r="G251" s="460"/>
      <c r="H251" s="115" t="s">
        <v>30</v>
      </c>
      <c r="I251" s="115" t="s">
        <v>31</v>
      </c>
      <c r="J251" t="s">
        <v>1888</v>
      </c>
      <c r="K251" s="1301" t="s">
        <v>191</v>
      </c>
    </row>
    <row r="252" spans="1:24">
      <c r="A252" s="104" t="s">
        <v>32</v>
      </c>
      <c r="B252" s="102">
        <f t="shared" si="0"/>
        <v>1</v>
      </c>
      <c r="C252" s="105">
        <f>IF(B252&lt;&gt;1,"",SUM(B$250:B252))</f>
        <v>3</v>
      </c>
      <c r="D252" s="102">
        <v>3</v>
      </c>
      <c r="E252" s="2040"/>
      <c r="F252" s="111" t="str">
        <f>IF(COUNTA($A$250:$A252)&lt;=MAX(DS_Counties_Sequence)=TRUE,LOOKUP(COUNTA($A$250:$A252),DS_Counties_Sequence,DS_Counties_DataNames),"")</f>
        <v>Bay</v>
      </c>
      <c r="G252" s="460"/>
      <c r="H252" s="115" t="s">
        <v>27</v>
      </c>
      <c r="I252" s="115" t="s">
        <v>33</v>
      </c>
      <c r="J252" t="s">
        <v>1889</v>
      </c>
      <c r="K252" s="1301" t="s">
        <v>191</v>
      </c>
    </row>
    <row r="253" spans="1:24">
      <c r="A253" s="104" t="s">
        <v>34</v>
      </c>
      <c r="B253" s="102">
        <f t="shared" si="0"/>
        <v>1</v>
      </c>
      <c r="C253" s="105">
        <f>IF(B253&lt;&gt;1,"",SUM(B$250:B253))</f>
        <v>4</v>
      </c>
      <c r="D253" s="102">
        <v>4</v>
      </c>
      <c r="E253" s="2040"/>
      <c r="F253" s="111" t="str">
        <f>IF(COUNTA($A$250:$A253)&lt;=MAX(DS_Counties_Sequence)=TRUE,LOOKUP(COUNTA($A$250:$A253),DS_Counties_Sequence,DS_Counties_DataNames),"")</f>
        <v>Bradford</v>
      </c>
      <c r="G253" s="460"/>
      <c r="H253" s="115" t="s">
        <v>30</v>
      </c>
      <c r="I253" s="115" t="s">
        <v>31</v>
      </c>
    </row>
    <row r="254" spans="1:24">
      <c r="A254" s="104" t="s">
        <v>35</v>
      </c>
      <c r="B254" s="102">
        <f t="shared" si="0"/>
        <v>1</v>
      </c>
      <c r="C254" s="105">
        <f>IF(B254&lt;&gt;1,"",SUM(B$250:B254))</f>
        <v>5</v>
      </c>
      <c r="D254" s="102">
        <v>5</v>
      </c>
      <c r="E254" s="2040"/>
      <c r="F254" s="111" t="str">
        <f>IF(COUNTA($A$250:$A254)&lt;=MAX(DS_Counties_Sequence)=TRUE,LOOKUP(COUNTA($A$250:$A254),DS_Counties_Sequence,DS_Counties_DataNames),"")</f>
        <v>Brevard</v>
      </c>
      <c r="G254" s="460"/>
      <c r="H254" s="115" t="s">
        <v>27</v>
      </c>
      <c r="I254" s="115" t="s">
        <v>28</v>
      </c>
    </row>
    <row r="255" spans="1:24">
      <c r="A255" s="104" t="s">
        <v>36</v>
      </c>
      <c r="B255" s="102">
        <f t="shared" si="0"/>
        <v>1</v>
      </c>
      <c r="C255" s="105">
        <f>IF(B255&lt;&gt;1,"",SUM(B$250:B255))</f>
        <v>6</v>
      </c>
      <c r="D255" s="102">
        <v>6</v>
      </c>
      <c r="E255" s="2040"/>
      <c r="F255" s="111" t="str">
        <f>IF(COUNTA($A$250:$A255)&lt;=MAX(DS_Counties_Sequence)=TRUE,LOOKUP(COUNTA($A$250:$A255),DS_Counties_Sequence,DS_Counties_DataNames),"")</f>
        <v>Broward</v>
      </c>
      <c r="G255" s="460"/>
      <c r="H255" s="115" t="s">
        <v>37</v>
      </c>
      <c r="I255" s="115" t="s">
        <v>38</v>
      </c>
    </row>
    <row r="256" spans="1:24">
      <c r="A256" s="104" t="s">
        <v>39</v>
      </c>
      <c r="B256" s="102">
        <f t="shared" si="0"/>
        <v>1</v>
      </c>
      <c r="C256" s="105">
        <f>IF(B256&lt;&gt;1,"",SUM(B$250:B256))</f>
        <v>7</v>
      </c>
      <c r="D256" s="102">
        <v>7</v>
      </c>
      <c r="E256" s="2040"/>
      <c r="F256" s="111" t="str">
        <f>IF(COUNTA($A$250:$A256)&lt;=MAX(DS_Counties_Sequence)=TRUE,LOOKUP(COUNTA($A$250:$A256),DS_Counties_Sequence,DS_Counties_DataNames),"")</f>
        <v>Calhoun</v>
      </c>
      <c r="G256" s="460"/>
      <c r="H256" s="115" t="s">
        <v>30</v>
      </c>
      <c r="I256" s="115" t="s">
        <v>40</v>
      </c>
    </row>
    <row r="257" spans="1:9">
      <c r="A257" s="104" t="s">
        <v>41</v>
      </c>
      <c r="B257" s="102">
        <f t="shared" si="0"/>
        <v>1</v>
      </c>
      <c r="C257" s="105">
        <f>IF(B257&lt;&gt;1,"",SUM(B$250:B257))</f>
        <v>8</v>
      </c>
      <c r="D257" s="102">
        <v>8</v>
      </c>
      <c r="E257" s="2040"/>
      <c r="F257" s="111" t="str">
        <f>IF(COUNTA($A$250:$A257)&lt;=MAX(DS_Counties_Sequence)=TRUE,LOOKUP(COUNTA($A$250:$A257),DS_Counties_Sequence,DS_Counties_DataNames),"")</f>
        <v>Charlotte</v>
      </c>
      <c r="G257" s="460"/>
      <c r="H257" s="115" t="s">
        <v>27</v>
      </c>
      <c r="I257" s="115" t="s">
        <v>33</v>
      </c>
    </row>
    <row r="258" spans="1:9">
      <c r="A258" s="104" t="s">
        <v>42</v>
      </c>
      <c r="B258" s="102">
        <f t="shared" si="0"/>
        <v>1</v>
      </c>
      <c r="C258" s="105">
        <f>IF(B258&lt;&gt;1,"",SUM(B$250:B258))</f>
        <v>9</v>
      </c>
      <c r="D258" s="102">
        <v>9</v>
      </c>
      <c r="E258" s="2040"/>
      <c r="F258" s="111" t="str">
        <f>IF(COUNTA($A$250:$A258)&lt;=MAX(DS_Counties_Sequence)=TRUE,LOOKUP(COUNTA($A$250:$A258),DS_Counties_Sequence,DS_Counties_DataNames),"")</f>
        <v>Citrus</v>
      </c>
      <c r="G258" s="460"/>
      <c r="H258" s="115" t="s">
        <v>27</v>
      </c>
      <c r="I258" s="115" t="s">
        <v>33</v>
      </c>
    </row>
    <row r="259" spans="1:9" ht="15" customHeight="1">
      <c r="A259" s="104" t="s">
        <v>43</v>
      </c>
      <c r="B259" s="102">
        <f t="shared" si="0"/>
        <v>1</v>
      </c>
      <c r="C259" s="105">
        <f>IF(B259&lt;&gt;1,"",SUM(B$250:B259))</f>
        <v>10</v>
      </c>
      <c r="D259" s="102">
        <v>10</v>
      </c>
      <c r="E259" s="2040"/>
      <c r="F259" s="111" t="str">
        <f>IF(COUNTA($A$250:$A259)&lt;=MAX(DS_Counties_Sequence)=TRUE,LOOKUP(COUNTA($A$250:$A259),DS_Counties_Sequence,DS_Counties_DataNames),"")</f>
        <v>Clay</v>
      </c>
      <c r="G259" s="460"/>
      <c r="H259" s="115" t="s">
        <v>27</v>
      </c>
      <c r="I259" s="115" t="s">
        <v>33</v>
      </c>
    </row>
    <row r="260" spans="1:9">
      <c r="A260" s="104" t="s">
        <v>44</v>
      </c>
      <c r="B260" s="102">
        <f t="shared" si="0"/>
        <v>1</v>
      </c>
      <c r="C260" s="105">
        <f>IF(B260&lt;&gt;1,"",SUM(B$250:B260))</f>
        <v>11</v>
      </c>
      <c r="D260" s="102">
        <v>11</v>
      </c>
      <c r="E260" s="2040"/>
      <c r="F260" s="111" t="str">
        <f>IF(COUNTA($A$250:$A260)&lt;=MAX(DS_Counties_Sequence)=TRUE,LOOKUP(COUNTA($A$250:$A260),DS_Counties_Sequence,DS_Counties_DataNames),"")</f>
        <v>Collier</v>
      </c>
      <c r="G260" s="460"/>
      <c r="H260" s="115" t="s">
        <v>27</v>
      </c>
      <c r="I260" s="115" t="s">
        <v>28</v>
      </c>
    </row>
    <row r="261" spans="1:9" ht="15" customHeight="1">
      <c r="A261" s="104" t="s">
        <v>45</v>
      </c>
      <c r="B261" s="102">
        <f t="shared" si="0"/>
        <v>1</v>
      </c>
      <c r="C261" s="105">
        <f>IF(B261&lt;&gt;1,"",SUM(B$250:B261))</f>
        <v>12</v>
      </c>
      <c r="D261" s="102">
        <v>12</v>
      </c>
      <c r="E261" s="2040" t="s">
        <v>1978</v>
      </c>
      <c r="F261" s="111" t="str">
        <f>IF(COUNTA($A$250:$A261)&lt;=MAX(DS_Counties_Sequence)=TRUE,LOOKUP(COUNTA($A$250:$A261),DS_Counties_Sequence,DS_Counties_DataNames),"")</f>
        <v>Columbia</v>
      </c>
      <c r="G261" s="460"/>
      <c r="H261" s="115" t="s">
        <v>30</v>
      </c>
      <c r="I261" s="115" t="s">
        <v>46</v>
      </c>
    </row>
    <row r="262" spans="1:9">
      <c r="A262" s="104" t="s">
        <v>47</v>
      </c>
      <c r="B262" s="102">
        <f t="shared" si="0"/>
        <v>1</v>
      </c>
      <c r="C262" s="105">
        <f>IF(B262&lt;&gt;1,"",SUM(B$250:B262))</f>
        <v>13</v>
      </c>
      <c r="D262" s="102">
        <v>13</v>
      </c>
      <c r="E262" s="2040"/>
      <c r="F262" s="111" t="str">
        <f>IF(COUNTA($A$250:$A262)&lt;=MAX(DS_Counties_Sequence)=TRUE,LOOKUP(COUNTA($A$250:$A262),DS_Counties_Sequence,DS_Counties_DataNames),"")</f>
        <v>DeSoto</v>
      </c>
      <c r="G262" s="460"/>
      <c r="H262" s="115" t="s">
        <v>30</v>
      </c>
      <c r="I262" s="115" t="s">
        <v>31</v>
      </c>
    </row>
    <row r="263" spans="1:9">
      <c r="A263" s="104" t="s">
        <v>48</v>
      </c>
      <c r="B263" s="102">
        <f t="shared" si="0"/>
        <v>1</v>
      </c>
      <c r="C263" s="105">
        <f>IF(B263&lt;&gt;1,"",SUM(B$250:B263))</f>
        <v>14</v>
      </c>
      <c r="D263" s="102">
        <v>14</v>
      </c>
      <c r="E263" s="2040"/>
      <c r="F263" s="111" t="str">
        <f>IF(COUNTA($A$250:$A263)&lt;=MAX(DS_Counties_Sequence)=TRUE,LOOKUP(COUNTA($A$250:$A263),DS_Counties_Sequence,DS_Counties_DataNames),"")</f>
        <v>Dixie</v>
      </c>
      <c r="G263" s="460"/>
      <c r="H263" s="115" t="s">
        <v>30</v>
      </c>
      <c r="I263" s="115" t="s">
        <v>40</v>
      </c>
    </row>
    <row r="264" spans="1:9">
      <c r="A264" s="104" t="s">
        <v>49</v>
      </c>
      <c r="B264" s="102">
        <f t="shared" si="0"/>
        <v>1</v>
      </c>
      <c r="C264" s="105">
        <f>IF(B264&lt;&gt;1,"",SUM(B$250:B264))</f>
        <v>15</v>
      </c>
      <c r="D264" s="102">
        <v>15</v>
      </c>
      <c r="E264" s="2040"/>
      <c r="F264" s="111" t="str">
        <f>IF(COUNTA($A$250:$A264)&lt;=MAX(DS_Counties_Sequence)=TRUE,LOOKUP(COUNTA($A$250:$A264),DS_Counties_Sequence,DS_Counties_DataNames),"")</f>
        <v>Duval</v>
      </c>
      <c r="G264" s="460"/>
      <c r="H264" s="115" t="s">
        <v>37</v>
      </c>
      <c r="I264" s="115" t="s">
        <v>50</v>
      </c>
    </row>
    <row r="265" spans="1:9">
      <c r="A265" s="104" t="s">
        <v>51</v>
      </c>
      <c r="B265" s="102">
        <f t="shared" si="0"/>
        <v>1</v>
      </c>
      <c r="C265" s="105">
        <f>IF(B265&lt;&gt;1,"",SUM(B$250:B265))</f>
        <v>16</v>
      </c>
      <c r="D265" s="102">
        <v>16</v>
      </c>
      <c r="E265" s="2040"/>
      <c r="F265" s="111" t="str">
        <f>IF(COUNTA($A$250:$A265)&lt;=MAX(DS_Counties_Sequence)=TRUE,LOOKUP(COUNTA($A$250:$A265),DS_Counties_Sequence,DS_Counties_DataNames),"")</f>
        <v>Escambia</v>
      </c>
      <c r="G265" s="460"/>
      <c r="H265" s="115" t="s">
        <v>27</v>
      </c>
      <c r="I265" s="115" t="s">
        <v>28</v>
      </c>
    </row>
    <row r="266" spans="1:9">
      <c r="A266" s="104" t="s">
        <v>52</v>
      </c>
      <c r="B266" s="102">
        <f t="shared" si="0"/>
        <v>1</v>
      </c>
      <c r="C266" s="105">
        <f>IF(B266&lt;&gt;1,"",SUM(B$250:B266))</f>
        <v>17</v>
      </c>
      <c r="D266" s="102">
        <v>17</v>
      </c>
      <c r="E266" s="2040"/>
      <c r="F266" s="111" t="str">
        <f>IF(COUNTA($A$250:$A266)&lt;=MAX(DS_Counties_Sequence)=TRUE,LOOKUP(COUNTA($A$250:$A266),DS_Counties_Sequence,DS_Counties_DataNames),"")</f>
        <v>Flagler</v>
      </c>
      <c r="G266" s="460"/>
      <c r="H266" s="115" t="s">
        <v>27</v>
      </c>
      <c r="I266" s="115" t="s">
        <v>33</v>
      </c>
    </row>
    <row r="267" spans="1:9">
      <c r="A267" s="104" t="s">
        <v>53</v>
      </c>
      <c r="B267" s="102">
        <f t="shared" si="0"/>
        <v>1</v>
      </c>
      <c r="C267" s="105">
        <f>IF(B267&lt;&gt;1,"",SUM(B$250:B267))</f>
        <v>18</v>
      </c>
      <c r="D267" s="102">
        <v>18</v>
      </c>
      <c r="E267" s="2040"/>
      <c r="F267" s="111" t="str">
        <f>IF(COUNTA($A$250:$A267)&lt;=MAX(DS_Counties_Sequence)=TRUE,LOOKUP(COUNTA($A$250:$A267),DS_Counties_Sequence,DS_Counties_DataNames),"")</f>
        <v>Franklin</v>
      </c>
      <c r="G267" s="460"/>
      <c r="H267" s="115" t="s">
        <v>30</v>
      </c>
      <c r="I267" s="115" t="s">
        <v>40</v>
      </c>
    </row>
    <row r="268" spans="1:9">
      <c r="A268" s="104" t="s">
        <v>54</v>
      </c>
      <c r="B268" s="102">
        <f t="shared" si="0"/>
        <v>1</v>
      </c>
      <c r="C268" s="105">
        <f>IF(B268&lt;&gt;1,"",SUM(B$250:B268))</f>
        <v>19</v>
      </c>
      <c r="D268" s="102">
        <v>19</v>
      </c>
      <c r="F268" s="111" t="str">
        <f>IF(COUNTA($A$250:$A268)&lt;=MAX(DS_Counties_Sequence)=TRUE,LOOKUP(COUNTA($A$250:$A268),DS_Counties_Sequence,DS_Counties_DataNames),"")</f>
        <v>Gadsden</v>
      </c>
      <c r="G268" s="460"/>
      <c r="H268" s="115" t="s">
        <v>30</v>
      </c>
      <c r="I268" s="115" t="s">
        <v>31</v>
      </c>
    </row>
    <row r="269" spans="1:9">
      <c r="A269" s="104" t="s">
        <v>55</v>
      </c>
      <c r="B269" s="102">
        <f t="shared" si="0"/>
        <v>1</v>
      </c>
      <c r="C269" s="105">
        <f>IF(B269&lt;&gt;1,"",SUM(B$250:B269))</f>
        <v>20</v>
      </c>
      <c r="D269" s="102">
        <v>20</v>
      </c>
      <c r="F269" s="111" t="str">
        <f>IF(COUNTA($A$250:$A269)&lt;=MAX(DS_Counties_Sequence)=TRUE,LOOKUP(COUNTA($A$250:$A269),DS_Counties_Sequence,DS_Counties_DataNames),"")</f>
        <v>Gilchrist</v>
      </c>
      <c r="G269" s="460"/>
      <c r="H269" s="115" t="s">
        <v>30</v>
      </c>
      <c r="I269" s="115" t="s">
        <v>40</v>
      </c>
    </row>
    <row r="270" spans="1:9">
      <c r="A270" s="104" t="s">
        <v>56</v>
      </c>
      <c r="B270" s="102">
        <f t="shared" si="0"/>
        <v>1</v>
      </c>
      <c r="C270" s="105">
        <f>IF(B270&lt;&gt;1,"",SUM(B$250:B270))</f>
        <v>21</v>
      </c>
      <c r="D270" s="102">
        <v>21</v>
      </c>
      <c r="F270" s="111" t="str">
        <f>IF(COUNTA($A$250:$A270)&lt;=MAX(DS_Counties_Sequence)=TRUE,LOOKUP(COUNTA($A$250:$A270),DS_Counties_Sequence,DS_Counties_DataNames),"")</f>
        <v>Glades</v>
      </c>
      <c r="G270" s="460"/>
      <c r="H270" s="115" t="s">
        <v>30</v>
      </c>
      <c r="I270" s="115" t="s">
        <v>40</v>
      </c>
    </row>
    <row r="271" spans="1:9">
      <c r="A271" s="104" t="s">
        <v>57</v>
      </c>
      <c r="B271" s="102">
        <f t="shared" si="0"/>
        <v>1</v>
      </c>
      <c r="C271" s="105">
        <f>IF(B271&lt;&gt;1,"",SUM(B$250:B271))</f>
        <v>22</v>
      </c>
      <c r="D271" s="102">
        <v>22</v>
      </c>
      <c r="F271" s="111" t="str">
        <f>IF(COUNTA($A$250:$A271)&lt;=MAX(DS_Counties_Sequence)=TRUE,LOOKUP(COUNTA($A$250:$A271),DS_Counties_Sequence,DS_Counties_DataNames),"")</f>
        <v>Gulf</v>
      </c>
      <c r="G271" s="460"/>
      <c r="H271" s="115" t="s">
        <v>30</v>
      </c>
      <c r="I271" s="115" t="s">
        <v>40</v>
      </c>
    </row>
    <row r="272" spans="1:9">
      <c r="A272" s="104" t="s">
        <v>58</v>
      </c>
      <c r="B272" s="102">
        <f t="shared" si="0"/>
        <v>1</v>
      </c>
      <c r="C272" s="105">
        <f>IF(B272&lt;&gt;1,"",SUM(B$250:B272))</f>
        <v>23</v>
      </c>
      <c r="D272" s="102">
        <v>23</v>
      </c>
      <c r="F272" s="111" t="str">
        <f>IF(COUNTA($A$250:$A272)&lt;=MAX(DS_Counties_Sequence)=TRUE,LOOKUP(COUNTA($A$250:$A272),DS_Counties_Sequence,DS_Counties_DataNames),"")</f>
        <v>Hamilton</v>
      </c>
      <c r="G272" s="460"/>
      <c r="H272" s="115" t="s">
        <v>30</v>
      </c>
      <c r="I272" s="115" t="s">
        <v>40</v>
      </c>
    </row>
    <row r="273" spans="1:9">
      <c r="A273" s="104" t="s">
        <v>59</v>
      </c>
      <c r="B273" s="102">
        <f t="shared" si="0"/>
        <v>1</v>
      </c>
      <c r="C273" s="105">
        <f>IF(B273&lt;&gt;1,"",SUM(B$250:B273))</f>
        <v>24</v>
      </c>
      <c r="D273" s="102">
        <v>24</v>
      </c>
      <c r="F273" s="111" t="str">
        <f>IF(COUNTA($A$250:$A273)&lt;=MAX(DS_Counties_Sequence)=TRUE,LOOKUP(COUNTA($A$250:$A273),DS_Counties_Sequence,DS_Counties_DataNames),"")</f>
        <v>Hardee</v>
      </c>
      <c r="G273" s="460"/>
      <c r="H273" s="115" t="s">
        <v>30</v>
      </c>
      <c r="I273" s="115" t="s">
        <v>31</v>
      </c>
    </row>
    <row r="274" spans="1:9">
      <c r="A274" s="104" t="s">
        <v>60</v>
      </c>
      <c r="B274" s="102">
        <f t="shared" si="0"/>
        <v>1</v>
      </c>
      <c r="C274" s="105">
        <f>IF(B274&lt;&gt;1,"",SUM(B$250:B274))</f>
        <v>25</v>
      </c>
      <c r="D274" s="102">
        <v>25</v>
      </c>
      <c r="F274" s="111" t="str">
        <f>IF(COUNTA($A$250:$A274)&lt;=MAX(DS_Counties_Sequence)=TRUE,LOOKUP(COUNTA($A$250:$A274),DS_Counties_Sequence,DS_Counties_DataNames),"")</f>
        <v>Hendry</v>
      </c>
      <c r="G274" s="460"/>
      <c r="H274" s="115" t="s">
        <v>30</v>
      </c>
      <c r="I274" s="115" t="s">
        <v>31</v>
      </c>
    </row>
    <row r="275" spans="1:9">
      <c r="A275" s="104" t="s">
        <v>61</v>
      </c>
      <c r="B275" s="102">
        <f t="shared" si="0"/>
        <v>1</v>
      </c>
      <c r="C275" s="105">
        <f>IF(B275&lt;&gt;1,"",SUM(B$250:B275))</f>
        <v>26</v>
      </c>
      <c r="D275" s="102">
        <v>26</v>
      </c>
      <c r="F275" s="111" t="str">
        <f>IF(COUNTA($A$250:$A275)&lt;=MAX(DS_Counties_Sequence)=TRUE,LOOKUP(COUNTA($A$250:$A275),DS_Counties_Sequence,DS_Counties_DataNames),"")</f>
        <v>Hernando</v>
      </c>
      <c r="G275" s="460"/>
      <c r="H275" s="115" t="s">
        <v>27</v>
      </c>
      <c r="I275" s="115" t="s">
        <v>33</v>
      </c>
    </row>
    <row r="276" spans="1:9">
      <c r="A276" s="104" t="s">
        <v>62</v>
      </c>
      <c r="B276" s="102">
        <f t="shared" si="0"/>
        <v>1</v>
      </c>
      <c r="C276" s="105">
        <f>IF(B276&lt;&gt;1,"",SUM(B$250:B276))</f>
        <v>27</v>
      </c>
      <c r="D276" s="102">
        <v>27</v>
      </c>
      <c r="F276" s="111" t="str">
        <f>IF(COUNTA($A$250:$A276)&lt;=MAX(DS_Counties_Sequence)=TRUE,LOOKUP(COUNTA($A$250:$A276),DS_Counties_Sequence,DS_Counties_DataNames),"")</f>
        <v>Highlands</v>
      </c>
      <c r="G276" s="460"/>
      <c r="H276" s="115" t="s">
        <v>27</v>
      </c>
      <c r="I276" s="115" t="s">
        <v>33</v>
      </c>
    </row>
    <row r="277" spans="1:9">
      <c r="A277" s="104" t="s">
        <v>63</v>
      </c>
      <c r="B277" s="102">
        <f t="shared" si="0"/>
        <v>1</v>
      </c>
      <c r="C277" s="105">
        <f>IF(B277&lt;&gt;1,"",SUM(B$250:B277))</f>
        <v>28</v>
      </c>
      <c r="D277" s="102">
        <v>28</v>
      </c>
      <c r="F277" s="111" t="str">
        <f>IF(COUNTA($A$250:$A277)&lt;=MAX(DS_Counties_Sequence)=TRUE,LOOKUP(COUNTA($A$250:$A277),DS_Counties_Sequence,DS_Counties_DataNames),"")</f>
        <v>Hillsborough</v>
      </c>
      <c r="G277" s="460"/>
      <c r="H277" s="115" t="s">
        <v>37</v>
      </c>
      <c r="I277" s="115" t="s">
        <v>50</v>
      </c>
    </row>
    <row r="278" spans="1:9">
      <c r="A278" s="104" t="s">
        <v>64</v>
      </c>
      <c r="B278" s="102">
        <f t="shared" si="0"/>
        <v>1</v>
      </c>
      <c r="C278" s="105">
        <f>IF(B278&lt;&gt;1,"",SUM(B$250:B278))</f>
        <v>29</v>
      </c>
      <c r="D278" s="102">
        <v>29</v>
      </c>
      <c r="F278" s="111" t="str">
        <f>IF(COUNTA($A$250:$A278)&lt;=MAX(DS_Counties_Sequence)=TRUE,LOOKUP(COUNTA($A$250:$A278),DS_Counties_Sequence,DS_Counties_DataNames),"")</f>
        <v>Holmes</v>
      </c>
      <c r="G278" s="460"/>
      <c r="H278" s="115" t="s">
        <v>30</v>
      </c>
      <c r="I278" s="115" t="s">
        <v>40</v>
      </c>
    </row>
    <row r="279" spans="1:9">
      <c r="A279" s="104" t="s">
        <v>65</v>
      </c>
      <c r="B279" s="102">
        <f t="shared" si="0"/>
        <v>1</v>
      </c>
      <c r="C279" s="105">
        <f>IF(B279&lt;&gt;1,"",SUM(B$250:B279))</f>
        <v>30</v>
      </c>
      <c r="D279" s="102">
        <v>30</v>
      </c>
      <c r="F279" s="111" t="str">
        <f>IF(COUNTA($A$250:$A279)&lt;=MAX(DS_Counties_Sequence)=TRUE,LOOKUP(COUNTA($A$250:$A279),DS_Counties_Sequence,DS_Counties_DataNames),"")</f>
        <v>Indian River</v>
      </c>
      <c r="G279" s="460"/>
      <c r="H279" s="115" t="s">
        <v>27</v>
      </c>
      <c r="I279" s="115" t="s">
        <v>33</v>
      </c>
    </row>
    <row r="280" spans="1:9">
      <c r="A280" s="104" t="s">
        <v>66</v>
      </c>
      <c r="B280" s="102">
        <f t="shared" si="0"/>
        <v>1</v>
      </c>
      <c r="C280" s="105">
        <f>IF(B280&lt;&gt;1,"",SUM(B$250:B280))</f>
        <v>31</v>
      </c>
      <c r="D280" s="102">
        <v>31</v>
      </c>
      <c r="F280" s="111" t="str">
        <f>IF(COUNTA($A$250:$A280)&lt;=MAX(DS_Counties_Sequence)=TRUE,LOOKUP(COUNTA($A$250:$A280),DS_Counties_Sequence,DS_Counties_DataNames),"")</f>
        <v>Jackson</v>
      </c>
      <c r="G280" s="460"/>
      <c r="H280" s="115" t="s">
        <v>30</v>
      </c>
      <c r="I280" s="115" t="s">
        <v>31</v>
      </c>
    </row>
    <row r="281" spans="1:9">
      <c r="A281" s="104" t="s">
        <v>67</v>
      </c>
      <c r="B281" s="102">
        <f t="shared" si="0"/>
        <v>1</v>
      </c>
      <c r="C281" s="105">
        <f>IF(B281&lt;&gt;1,"",SUM(B$250:B281))</f>
        <v>32</v>
      </c>
      <c r="D281" s="102">
        <v>32</v>
      </c>
      <c r="F281" s="111" t="str">
        <f>IF(COUNTA($A$250:$A281)&lt;=MAX(DS_Counties_Sequence)=TRUE,LOOKUP(COUNTA($A$250:$A281),DS_Counties_Sequence,DS_Counties_DataNames),"")</f>
        <v>Jefferson</v>
      </c>
      <c r="G281" s="460"/>
      <c r="H281" s="115" t="s">
        <v>30</v>
      </c>
      <c r="I281" s="115" t="s">
        <v>40</v>
      </c>
    </row>
    <row r="282" spans="1:9">
      <c r="A282" s="104" t="s">
        <v>68</v>
      </c>
      <c r="B282" s="102">
        <f t="shared" si="0"/>
        <v>1</v>
      </c>
      <c r="C282" s="105">
        <f>IF(B282&lt;&gt;1,"",SUM(B$250:B282))</f>
        <v>33</v>
      </c>
      <c r="D282" s="102">
        <v>33</v>
      </c>
      <c r="F282" s="111" t="str">
        <f>IF(COUNTA($A$250:$A282)&lt;=MAX(DS_Counties_Sequence)=TRUE,LOOKUP(COUNTA($A$250:$A282),DS_Counties_Sequence,DS_Counties_DataNames),"")</f>
        <v>Lafayette</v>
      </c>
      <c r="G282" s="460"/>
      <c r="H282" s="115" t="s">
        <v>30</v>
      </c>
      <c r="I282" s="115" t="s">
        <v>40</v>
      </c>
    </row>
    <row r="283" spans="1:9">
      <c r="A283" s="104" t="s">
        <v>69</v>
      </c>
      <c r="B283" s="102">
        <f t="shared" si="0"/>
        <v>1</v>
      </c>
      <c r="C283" s="105">
        <f>IF(B283&lt;&gt;1,"",SUM(B$250:B283))</f>
        <v>34</v>
      </c>
      <c r="D283" s="102">
        <v>34</v>
      </c>
      <c r="F283" s="111" t="str">
        <f>IF(COUNTA($A$250:$A283)&lt;=MAX(DS_Counties_Sequence)=TRUE,LOOKUP(COUNTA($A$250:$A283),DS_Counties_Sequence,DS_Counties_DataNames),"")</f>
        <v>Lake</v>
      </c>
      <c r="G283" s="460"/>
      <c r="H283" s="115" t="s">
        <v>27</v>
      </c>
      <c r="I283" s="115" t="s">
        <v>28</v>
      </c>
    </row>
    <row r="284" spans="1:9">
      <c r="A284" s="104" t="s">
        <v>70</v>
      </c>
      <c r="B284" s="102">
        <f t="shared" si="0"/>
        <v>1</v>
      </c>
      <c r="C284" s="105">
        <f>IF(B284&lt;&gt;1,"",SUM(B$250:B284))</f>
        <v>35</v>
      </c>
      <c r="D284" s="102">
        <v>35</v>
      </c>
      <c r="F284" s="111" t="str">
        <f>IF(COUNTA($A$250:$A284)&lt;=MAX(DS_Counties_Sequence)=TRUE,LOOKUP(COUNTA($A$250:$A284),DS_Counties_Sequence,DS_Counties_DataNames),"")</f>
        <v>Lee</v>
      </c>
      <c r="G284" s="460"/>
      <c r="H284" s="115" t="s">
        <v>27</v>
      </c>
      <c r="I284" s="115" t="s">
        <v>28</v>
      </c>
    </row>
    <row r="285" spans="1:9">
      <c r="A285" s="104" t="s">
        <v>71</v>
      </c>
      <c r="B285" s="102">
        <f t="shared" si="0"/>
        <v>1</v>
      </c>
      <c r="C285" s="105">
        <f>IF(B285&lt;&gt;1,"",SUM(B$250:B285))</f>
        <v>36</v>
      </c>
      <c r="D285" s="102">
        <v>36</v>
      </c>
      <c r="F285" s="111" t="str">
        <f>IF(COUNTA($A$250:$A285)&lt;=MAX(DS_Counties_Sequence)=TRUE,LOOKUP(COUNTA($A$250:$A285),DS_Counties_Sequence,DS_Counties_DataNames),"")</f>
        <v>Leon</v>
      </c>
      <c r="G285" s="460"/>
      <c r="H285" s="115" t="s">
        <v>27</v>
      </c>
      <c r="I285" s="115" t="s">
        <v>28</v>
      </c>
    </row>
    <row r="286" spans="1:9">
      <c r="A286" s="104" t="s">
        <v>72</v>
      </c>
      <c r="B286" s="102">
        <f t="shared" si="0"/>
        <v>1</v>
      </c>
      <c r="C286" s="105">
        <f>IF(B286&lt;&gt;1,"",SUM(B$250:B286))</f>
        <v>37</v>
      </c>
      <c r="D286" s="102">
        <v>37</v>
      </c>
      <c r="F286" s="111" t="str">
        <f>IF(COUNTA($A$250:$A286)&lt;=MAX(DS_Counties_Sequence)=TRUE,LOOKUP(COUNTA($A$250:$A286),DS_Counties_Sequence,DS_Counties_DataNames),"")</f>
        <v>Levy</v>
      </c>
      <c r="G286" s="460"/>
      <c r="H286" s="115" t="s">
        <v>30</v>
      </c>
      <c r="I286" s="115" t="s">
        <v>31</v>
      </c>
    </row>
    <row r="287" spans="1:9">
      <c r="A287" s="104" t="s">
        <v>73</v>
      </c>
      <c r="B287" s="102">
        <f t="shared" si="0"/>
        <v>1</v>
      </c>
      <c r="C287" s="105">
        <f>IF(B287&lt;&gt;1,"",SUM(B$250:B287))</f>
        <v>38</v>
      </c>
      <c r="D287" s="102">
        <v>38</v>
      </c>
      <c r="F287" s="111" t="str">
        <f>IF(COUNTA($A$250:$A287)&lt;=MAX(DS_Counties_Sequence)=TRUE,LOOKUP(COUNTA($A$250:$A287),DS_Counties_Sequence,DS_Counties_DataNames),"")</f>
        <v>Liberty</v>
      </c>
      <c r="G287" s="460"/>
      <c r="H287" s="115" t="s">
        <v>30</v>
      </c>
      <c r="I287" s="115" t="s">
        <v>40</v>
      </c>
    </row>
    <row r="288" spans="1:9">
      <c r="A288" s="104" t="s">
        <v>74</v>
      </c>
      <c r="B288" s="102">
        <f t="shared" si="0"/>
        <v>1</v>
      </c>
      <c r="C288" s="105">
        <f>IF(B288&lt;&gt;1,"",SUM(B$250:B288))</f>
        <v>39</v>
      </c>
      <c r="D288" s="102">
        <v>39</v>
      </c>
      <c r="F288" s="111" t="str">
        <f>IF(COUNTA($A$250:$A288)&lt;=MAX(DS_Counties_Sequence)=TRUE,LOOKUP(COUNTA($A$250:$A288),DS_Counties_Sequence,DS_Counties_DataNames),"")</f>
        <v>Madison</v>
      </c>
      <c r="G288" s="460"/>
      <c r="H288" s="115" t="s">
        <v>30</v>
      </c>
      <c r="I288" s="115" t="s">
        <v>40</v>
      </c>
    </row>
    <row r="289" spans="1:9">
      <c r="A289" s="104" t="s">
        <v>75</v>
      </c>
      <c r="B289" s="102">
        <f t="shared" si="0"/>
        <v>1</v>
      </c>
      <c r="C289" s="105">
        <f>IF(B289&lt;&gt;1,"",SUM(B$250:B289))</f>
        <v>40</v>
      </c>
      <c r="D289" s="102">
        <v>40</v>
      </c>
      <c r="F289" s="111" t="str">
        <f>IF(COUNTA($A$250:$A289)&lt;=MAX(DS_Counties_Sequence)=TRUE,LOOKUP(COUNTA($A$250:$A289),DS_Counties_Sequence,DS_Counties_DataNames),"")</f>
        <v>Manatee</v>
      </c>
      <c r="G289" s="460"/>
      <c r="H289" s="115" t="s">
        <v>27</v>
      </c>
      <c r="I289" s="115" t="s">
        <v>28</v>
      </c>
    </row>
    <row r="290" spans="1:9">
      <c r="A290" s="104" t="s">
        <v>76</v>
      </c>
      <c r="B290" s="102">
        <f t="shared" si="0"/>
        <v>1</v>
      </c>
      <c r="C290" s="105">
        <f>IF(B290&lt;&gt;1,"",SUM(B$250:B290))</f>
        <v>41</v>
      </c>
      <c r="D290" s="102">
        <v>41</v>
      </c>
      <c r="F290" s="111" t="str">
        <f>IF(COUNTA($A$250:$A290)&lt;=MAX(DS_Counties_Sequence)=TRUE,LOOKUP(COUNTA($A$250:$A290),DS_Counties_Sequence,DS_Counties_DataNames),"")</f>
        <v>Marion</v>
      </c>
      <c r="G290" s="460"/>
      <c r="H290" s="115" t="s">
        <v>27</v>
      </c>
      <c r="I290" s="115" t="s">
        <v>28</v>
      </c>
    </row>
    <row r="291" spans="1:9">
      <c r="A291" s="104" t="s">
        <v>77</v>
      </c>
      <c r="B291" s="102">
        <f t="shared" si="0"/>
        <v>1</v>
      </c>
      <c r="C291" s="105">
        <f>IF(B291&lt;&gt;1,"",SUM(B$250:B291))</f>
        <v>42</v>
      </c>
      <c r="D291" s="102">
        <v>42</v>
      </c>
      <c r="F291" s="111" t="str">
        <f>IF(COUNTA($A$250:$A291)&lt;=MAX(DS_Counties_Sequence)=TRUE,LOOKUP(COUNTA($A$250:$A291),DS_Counties_Sequence,DS_Counties_DataNames),"")</f>
        <v>Martin</v>
      </c>
      <c r="G291" s="460"/>
      <c r="H291" s="115" t="s">
        <v>27</v>
      </c>
      <c r="I291" s="115" t="s">
        <v>33</v>
      </c>
    </row>
    <row r="292" spans="1:9">
      <c r="A292" s="104" t="s">
        <v>78</v>
      </c>
      <c r="B292" s="102">
        <f t="shared" si="0"/>
        <v>1</v>
      </c>
      <c r="C292" s="105">
        <f>IF(B292&lt;&gt;1,"",SUM(B$250:B292))</f>
        <v>43</v>
      </c>
      <c r="D292" s="102">
        <v>43</v>
      </c>
      <c r="F292" s="111" t="str">
        <f>IF(COUNTA($A$250:$A292)&lt;=MAX(DS_Counties_Sequence)=TRUE,LOOKUP(COUNTA($A$250:$A292),DS_Counties_Sequence,DS_Counties_DataNames),"")</f>
        <v>Miami-Dade</v>
      </c>
      <c r="G292" s="460"/>
      <c r="H292" s="115" t="s">
        <v>37</v>
      </c>
      <c r="I292" s="115" t="s">
        <v>79</v>
      </c>
    </row>
    <row r="293" spans="1:9">
      <c r="A293" s="104" t="s">
        <v>80</v>
      </c>
      <c r="B293" s="102">
        <f t="shared" si="0"/>
        <v>1</v>
      </c>
      <c r="C293" s="105">
        <f>IF(B293&lt;&gt;1,"",SUM(B$250:B293))</f>
        <v>44</v>
      </c>
      <c r="D293" s="102">
        <v>44</v>
      </c>
      <c r="F293" s="111" t="str">
        <f>IF(COUNTA($A$250:$A293)&lt;=MAX(DS_Counties_Sequence)=TRUE,LOOKUP(COUNTA($A$250:$A293),DS_Counties_Sequence,DS_Counties_DataNames),"")</f>
        <v>Monroe</v>
      </c>
      <c r="G293" s="460"/>
      <c r="H293" s="115" t="s">
        <v>30</v>
      </c>
      <c r="I293" s="115" t="s">
        <v>81</v>
      </c>
    </row>
    <row r="294" spans="1:9">
      <c r="A294" s="104" t="s">
        <v>82</v>
      </c>
      <c r="B294" s="102">
        <f t="shared" si="0"/>
        <v>1</v>
      </c>
      <c r="C294" s="105">
        <f>IF(B294&lt;&gt;1,"",SUM(B$250:B294))</f>
        <v>45</v>
      </c>
      <c r="D294" s="102">
        <v>45</v>
      </c>
      <c r="F294" s="111" t="str">
        <f>IF(COUNTA($A$250:$A294)&lt;=MAX(DS_Counties_Sequence)=TRUE,LOOKUP(COUNTA($A$250:$A294),DS_Counties_Sequence,DS_Counties_DataNames),"")</f>
        <v>Nassau</v>
      </c>
      <c r="G294" s="460"/>
      <c r="H294" s="115" t="s">
        <v>30</v>
      </c>
      <c r="I294" s="115" t="s">
        <v>46</v>
      </c>
    </row>
    <row r="295" spans="1:9">
      <c r="A295" s="104" t="s">
        <v>83</v>
      </c>
      <c r="B295" s="102">
        <f t="shared" si="0"/>
        <v>1</v>
      </c>
      <c r="C295" s="105">
        <f>IF(B295&lt;&gt;1,"",SUM(B$250:B295))</f>
        <v>46</v>
      </c>
      <c r="D295" s="102">
        <v>46</v>
      </c>
      <c r="F295" s="111" t="str">
        <f>IF(COUNTA($A$250:$A295)&lt;=MAX(DS_Counties_Sequence)=TRUE,LOOKUP(COUNTA($A$250:$A295),DS_Counties_Sequence,DS_Counties_DataNames),"")</f>
        <v>Okaloosa</v>
      </c>
      <c r="G295" s="460"/>
      <c r="H295" s="115" t="s">
        <v>27</v>
      </c>
      <c r="I295" s="115" t="s">
        <v>33</v>
      </c>
    </row>
    <row r="296" spans="1:9">
      <c r="A296" s="104" t="s">
        <v>84</v>
      </c>
      <c r="B296" s="102">
        <f t="shared" si="0"/>
        <v>1</v>
      </c>
      <c r="C296" s="105">
        <f>IF(B296&lt;&gt;1,"",SUM(B$250:B296))</f>
        <v>47</v>
      </c>
      <c r="D296" s="102">
        <v>47</v>
      </c>
      <c r="F296" s="111" t="str">
        <f>IF(COUNTA($A$250:$A296)&lt;=MAX(DS_Counties_Sequence)=TRUE,LOOKUP(COUNTA($A$250:$A296),DS_Counties_Sequence,DS_Counties_DataNames),"")</f>
        <v>Okeechobee</v>
      </c>
      <c r="G296" s="460"/>
      <c r="H296" s="115" t="s">
        <v>30</v>
      </c>
      <c r="I296" s="115" t="s">
        <v>31</v>
      </c>
    </row>
    <row r="297" spans="1:9">
      <c r="A297" s="104" t="s">
        <v>85</v>
      </c>
      <c r="B297" s="102">
        <f t="shared" si="0"/>
        <v>1</v>
      </c>
      <c r="C297" s="105">
        <f>IF(B297&lt;&gt;1,"",SUM(B$250:B297))</f>
        <v>48</v>
      </c>
      <c r="D297" s="102">
        <v>48</v>
      </c>
      <c r="F297" s="111" t="str">
        <f>IF(COUNTA($A$250:$A297)&lt;=MAX(DS_Counties_Sequence)=TRUE,LOOKUP(COUNTA($A$250:$A297),DS_Counties_Sequence,DS_Counties_DataNames),"")</f>
        <v>Orange</v>
      </c>
      <c r="G297" s="460"/>
      <c r="H297" s="115" t="s">
        <v>37</v>
      </c>
      <c r="I297" s="115" t="s">
        <v>50</v>
      </c>
    </row>
    <row r="298" spans="1:9">
      <c r="A298" s="104" t="s">
        <v>86</v>
      </c>
      <c r="B298" s="102">
        <f t="shared" si="0"/>
        <v>1</v>
      </c>
      <c r="C298" s="105">
        <f>IF(B298&lt;&gt;1,"",SUM(B$250:B298))</f>
        <v>49</v>
      </c>
      <c r="D298" s="102">
        <v>49</v>
      </c>
      <c r="F298" s="111" t="str">
        <f>IF(COUNTA($A$250:$A298)&lt;=MAX(DS_Counties_Sequence)=TRUE,LOOKUP(COUNTA($A$250:$A298),DS_Counties_Sequence,DS_Counties_DataNames),"")</f>
        <v>Osceola</v>
      </c>
      <c r="G298" s="460"/>
      <c r="H298" s="115" t="s">
        <v>27</v>
      </c>
      <c r="I298" s="115" t="s">
        <v>28</v>
      </c>
    </row>
    <row r="299" spans="1:9">
      <c r="A299" s="104" t="s">
        <v>87</v>
      </c>
      <c r="B299" s="102">
        <f t="shared" si="0"/>
        <v>1</v>
      </c>
      <c r="C299" s="105">
        <f>IF(B299&lt;&gt;1,"",SUM(B$250:B299))</f>
        <v>50</v>
      </c>
      <c r="D299" s="102">
        <v>50</v>
      </c>
      <c r="F299" s="111" t="str">
        <f>IF(COUNTA($A$250:$A299)&lt;=MAX(DS_Counties_Sequence)=TRUE,LOOKUP(COUNTA($A$250:$A299),DS_Counties_Sequence,DS_Counties_DataNames),"")</f>
        <v>Palm Beach</v>
      </c>
      <c r="G299" s="460"/>
      <c r="H299" s="115" t="s">
        <v>37</v>
      </c>
      <c r="I299" s="115" t="s">
        <v>38</v>
      </c>
    </row>
    <row r="300" spans="1:9">
      <c r="A300" s="104" t="s">
        <v>88</v>
      </c>
      <c r="B300" s="102">
        <f t="shared" si="0"/>
        <v>1</v>
      </c>
      <c r="C300" s="105">
        <f>IF(B300&lt;&gt;1,"",SUM(B$250:B300))</f>
        <v>51</v>
      </c>
      <c r="D300" s="102">
        <v>51</v>
      </c>
      <c r="F300" s="111" t="str">
        <f>IF(COUNTA($A$250:$A300)&lt;=MAX(DS_Counties_Sequence)=TRUE,LOOKUP(COUNTA($A$250:$A300),DS_Counties_Sequence,DS_Counties_DataNames),"")</f>
        <v>Pasco</v>
      </c>
      <c r="G300" s="460"/>
      <c r="H300" s="115" t="s">
        <v>27</v>
      </c>
      <c r="I300" s="115" t="s">
        <v>28</v>
      </c>
    </row>
    <row r="301" spans="1:9">
      <c r="A301" s="104" t="s">
        <v>89</v>
      </c>
      <c r="B301" s="102">
        <f t="shared" si="0"/>
        <v>1</v>
      </c>
      <c r="C301" s="105">
        <f>IF(B301&lt;&gt;1,"",SUM(B$250:B301))</f>
        <v>52</v>
      </c>
      <c r="D301" s="102">
        <v>52</v>
      </c>
      <c r="F301" s="111" t="str">
        <f>IF(COUNTA($A$250:$A301)&lt;=MAX(DS_Counties_Sequence)=TRUE,LOOKUP(COUNTA($A$250:$A301),DS_Counties_Sequence,DS_Counties_DataNames),"")</f>
        <v>Pinellas</v>
      </c>
      <c r="G301" s="460"/>
      <c r="H301" s="115" t="s">
        <v>37</v>
      </c>
      <c r="I301" s="115" t="s">
        <v>90</v>
      </c>
    </row>
    <row r="302" spans="1:9">
      <c r="A302" s="104" t="s">
        <v>91</v>
      </c>
      <c r="B302" s="102">
        <f t="shared" si="0"/>
        <v>1</v>
      </c>
      <c r="C302" s="105">
        <f>IF(B302&lt;&gt;1,"",SUM(B$250:B302))</f>
        <v>53</v>
      </c>
      <c r="D302" s="102">
        <v>53</v>
      </c>
      <c r="F302" s="111" t="str">
        <f>IF(COUNTA($A$250:$A302)&lt;=MAX(DS_Counties_Sequence)=TRUE,LOOKUP(COUNTA($A$250:$A302),DS_Counties_Sequence,DS_Counties_DataNames),"")</f>
        <v>Polk</v>
      </c>
      <c r="G302" s="460"/>
      <c r="H302" s="115" t="s">
        <v>27</v>
      </c>
      <c r="I302" s="115" t="s">
        <v>28</v>
      </c>
    </row>
    <row r="303" spans="1:9">
      <c r="A303" s="104" t="s">
        <v>92</v>
      </c>
      <c r="B303" s="102">
        <f t="shared" ref="B303:B316" si="1">IF(AND(H303="Large",K$250="Yes"),1,IF(AND(H303="Medium",K$251="Yes"),1,IF(AND(H303="Small",K$252="Yes"),1,0)))</f>
        <v>1</v>
      </c>
      <c r="C303" s="105">
        <f>IF(B303&lt;&gt;1,"",SUM(B$250:B303))</f>
        <v>54</v>
      </c>
      <c r="D303" s="102">
        <v>54</v>
      </c>
      <c r="F303" s="111" t="str">
        <f>IF(COUNTA($A$250:$A303)&lt;=MAX(DS_Counties_Sequence)=TRUE,LOOKUP(COUNTA($A$250:$A303),DS_Counties_Sequence,DS_Counties_DataNames),"")</f>
        <v>Putnam</v>
      </c>
      <c r="G303" s="460"/>
      <c r="H303" s="115" t="s">
        <v>30</v>
      </c>
      <c r="I303" s="115" t="s">
        <v>46</v>
      </c>
    </row>
    <row r="304" spans="1:9">
      <c r="A304" s="104" t="s">
        <v>95</v>
      </c>
      <c r="B304" s="102">
        <f t="shared" si="1"/>
        <v>1</v>
      </c>
      <c r="C304" s="105">
        <f>IF(B304&lt;&gt;1,"",SUM(B$250:B304))</f>
        <v>55</v>
      </c>
      <c r="D304" s="102">
        <v>55</v>
      </c>
      <c r="F304" s="111" t="str">
        <f>IF(COUNTA($A$250:$A304)&lt;=MAX(DS_Counties_Sequence)=TRUE,LOOKUP(COUNTA($A$250:$A304),DS_Counties_Sequence,DS_Counties_DataNames),"")</f>
        <v>Santa Rosa</v>
      </c>
      <c r="G304" s="460"/>
      <c r="H304" s="115" t="s">
        <v>27</v>
      </c>
      <c r="I304" s="115" t="s">
        <v>28</v>
      </c>
    </row>
    <row r="305" spans="1:9">
      <c r="A305" s="104" t="s">
        <v>96</v>
      </c>
      <c r="B305" s="102">
        <f t="shared" si="1"/>
        <v>1</v>
      </c>
      <c r="C305" s="105">
        <f>IF(B305&lt;&gt;1,"",SUM(B$250:B305))</f>
        <v>56</v>
      </c>
      <c r="D305" s="102">
        <v>56</v>
      </c>
      <c r="F305" s="111" t="str">
        <f>IF(COUNTA($A$250:$A305)&lt;=MAX(DS_Counties_Sequence)=TRUE,LOOKUP(COUNTA($A$250:$A305),DS_Counties_Sequence,DS_Counties_DataNames),"")</f>
        <v>Sarasota</v>
      </c>
      <c r="G305" s="460"/>
      <c r="H305" s="115" t="s">
        <v>27</v>
      </c>
      <c r="I305" s="115" t="s">
        <v>28</v>
      </c>
    </row>
    <row r="306" spans="1:9">
      <c r="A306" s="104" t="s">
        <v>97</v>
      </c>
      <c r="B306" s="102">
        <f t="shared" si="1"/>
        <v>1</v>
      </c>
      <c r="C306" s="105">
        <f>IF(B306&lt;&gt;1,"",SUM(B$250:B306))</f>
        <v>57</v>
      </c>
      <c r="D306" s="102">
        <v>57</v>
      </c>
      <c r="F306" s="111" t="str">
        <f>IF(COUNTA($A$250:$A306)&lt;=MAX(DS_Counties_Sequence)=TRUE,LOOKUP(COUNTA($A$250:$A306),DS_Counties_Sequence,DS_Counties_DataNames),"")</f>
        <v>Seminole</v>
      </c>
      <c r="G306" s="460"/>
      <c r="H306" s="115" t="s">
        <v>27</v>
      </c>
      <c r="I306" s="115" t="s">
        <v>33</v>
      </c>
    </row>
    <row r="307" spans="1:9">
      <c r="A307" s="104" t="s">
        <v>93</v>
      </c>
      <c r="B307" s="102">
        <f t="shared" si="1"/>
        <v>1</v>
      </c>
      <c r="C307" s="105">
        <f>IF(B307&lt;&gt;1,"",SUM(B$250:B307))</f>
        <v>58</v>
      </c>
      <c r="D307" s="102">
        <v>58</v>
      </c>
      <c r="F307" s="111" t="str">
        <f>IF(COUNTA($A$250:$A307)&lt;=MAX(DS_Counties_Sequence)=TRUE,LOOKUP(COUNTA($A$250:$A307),DS_Counties_Sequence,DS_Counties_DataNames),"")</f>
        <v>St. Johns</v>
      </c>
      <c r="G307" s="460"/>
      <c r="H307" s="115" t="s">
        <v>27</v>
      </c>
      <c r="I307" s="115" t="s">
        <v>28</v>
      </c>
    </row>
    <row r="308" spans="1:9">
      <c r="A308" s="104" t="s">
        <v>94</v>
      </c>
      <c r="B308" s="102">
        <f t="shared" si="1"/>
        <v>1</v>
      </c>
      <c r="C308" s="105">
        <f>IF(B308&lt;&gt;1,"",SUM(B$250:B308))</f>
        <v>59</v>
      </c>
      <c r="D308" s="102">
        <v>59</v>
      </c>
      <c r="F308" s="111" t="str">
        <f>IF(COUNTA($A$250:$A308)&lt;=MAX(DS_Counties_Sequence)=TRUE,LOOKUP(COUNTA($A$250:$A308),DS_Counties_Sequence,DS_Counties_DataNames),"")</f>
        <v>St. Lucie</v>
      </c>
      <c r="G308" s="460"/>
      <c r="H308" s="115" t="s">
        <v>27</v>
      </c>
      <c r="I308" s="115" t="s">
        <v>28</v>
      </c>
    </row>
    <row r="309" spans="1:9">
      <c r="A309" s="104" t="s">
        <v>98</v>
      </c>
      <c r="B309" s="102">
        <f t="shared" si="1"/>
        <v>1</v>
      </c>
      <c r="C309" s="105">
        <f>IF(B309&lt;&gt;1,"",SUM(B$250:B309))</f>
        <v>60</v>
      </c>
      <c r="D309" s="102">
        <v>60</v>
      </c>
      <c r="F309" s="111" t="str">
        <f>IF(COUNTA($A$250:$A309)&lt;=MAX(DS_Counties_Sequence)=TRUE,LOOKUP(COUNTA($A$250:$A309),DS_Counties_Sequence,DS_Counties_DataNames),"")</f>
        <v>Sumter</v>
      </c>
      <c r="G309" s="460"/>
      <c r="H309" s="115" t="s">
        <v>27</v>
      </c>
      <c r="I309" s="115" t="s">
        <v>33</v>
      </c>
    </row>
    <row r="310" spans="1:9">
      <c r="A310" s="104" t="s">
        <v>99</v>
      </c>
      <c r="B310" s="102">
        <f t="shared" si="1"/>
        <v>1</v>
      </c>
      <c r="C310" s="105">
        <f>IF(B310&lt;&gt;1,"",SUM(B$250:B310))</f>
        <v>61</v>
      </c>
      <c r="D310" s="102">
        <v>61</v>
      </c>
      <c r="F310" s="111" t="str">
        <f>IF(COUNTA($A$250:$A310)&lt;=MAX(DS_Counties_Sequence)=TRUE,LOOKUP(COUNTA($A$250:$A310),DS_Counties_Sequence,DS_Counties_DataNames),"")</f>
        <v>Suwannee</v>
      </c>
      <c r="G310" s="460"/>
      <c r="H310" s="115" t="s">
        <v>30</v>
      </c>
      <c r="I310" s="115" t="s">
        <v>31</v>
      </c>
    </row>
    <row r="311" spans="1:9">
      <c r="A311" s="104" t="s">
        <v>100</v>
      </c>
      <c r="B311" s="102">
        <f t="shared" si="1"/>
        <v>1</v>
      </c>
      <c r="C311" s="105">
        <f>IF(B311&lt;&gt;1,"",SUM(B$250:B311))</f>
        <v>62</v>
      </c>
      <c r="D311" s="102">
        <v>62</v>
      </c>
      <c r="F311" s="111" t="str">
        <f>IF(COUNTA($A$250:$A311)&lt;=MAX(DS_Counties_Sequence)=TRUE,LOOKUP(COUNTA($A$250:$A311),DS_Counties_Sequence,DS_Counties_DataNames),"")</f>
        <v>Taylor</v>
      </c>
      <c r="G311" s="460"/>
      <c r="H311" s="115" t="s">
        <v>30</v>
      </c>
      <c r="I311" s="115" t="s">
        <v>31</v>
      </c>
    </row>
    <row r="312" spans="1:9">
      <c r="A312" s="104" t="s">
        <v>101</v>
      </c>
      <c r="B312" s="102">
        <f t="shared" si="1"/>
        <v>1</v>
      </c>
      <c r="C312" s="105">
        <f>IF(B312&lt;&gt;1,"",SUM(B$250:B312))</f>
        <v>63</v>
      </c>
      <c r="D312" s="102">
        <v>63</v>
      </c>
      <c r="F312" s="111" t="str">
        <f>IF(COUNTA($A$250:$A312)&lt;=MAX(DS_Counties_Sequence)=TRUE,LOOKUP(COUNTA($A$250:$A312),DS_Counties_Sequence,DS_Counties_DataNames),"")</f>
        <v>Union</v>
      </c>
      <c r="G312" s="460"/>
      <c r="H312" s="115" t="s">
        <v>30</v>
      </c>
      <c r="I312" s="115" t="s">
        <v>40</v>
      </c>
    </row>
    <row r="313" spans="1:9">
      <c r="A313" s="104" t="s">
        <v>102</v>
      </c>
      <c r="B313" s="102">
        <f t="shared" si="1"/>
        <v>1</v>
      </c>
      <c r="C313" s="105">
        <f>IF(B313&lt;&gt;1,"",SUM(B$250:B313))</f>
        <v>64</v>
      </c>
      <c r="D313" s="102">
        <v>64</v>
      </c>
      <c r="F313" s="111" t="str">
        <f>IF(COUNTA($A$250:$A313)&lt;=MAX(DS_Counties_Sequence)=TRUE,LOOKUP(COUNTA($A$250:$A313),DS_Counties_Sequence,DS_Counties_DataNames),"")</f>
        <v>Volusia</v>
      </c>
      <c r="G313" s="460"/>
      <c r="H313" s="115" t="s">
        <v>27</v>
      </c>
      <c r="I313" s="115" t="s">
        <v>28</v>
      </c>
    </row>
    <row r="314" spans="1:9">
      <c r="A314" s="104" t="s">
        <v>103</v>
      </c>
      <c r="B314" s="102">
        <f t="shared" si="1"/>
        <v>1</v>
      </c>
      <c r="C314" s="105">
        <f>IF(B314&lt;&gt;1,"",SUM(B$250:B314))</f>
        <v>65</v>
      </c>
      <c r="D314" s="102">
        <v>65</v>
      </c>
      <c r="F314" s="111" t="str">
        <f>IF(COUNTA($A$250:$A314)&lt;=MAX(DS_Counties_Sequence)=TRUE,LOOKUP(COUNTA($A$250:$A314),DS_Counties_Sequence,DS_Counties_DataNames),"")</f>
        <v>Wakulla</v>
      </c>
      <c r="G314" s="460"/>
      <c r="H314" s="115" t="s">
        <v>30</v>
      </c>
      <c r="I314" s="115" t="s">
        <v>31</v>
      </c>
    </row>
    <row r="315" spans="1:9">
      <c r="A315" s="104" t="s">
        <v>104</v>
      </c>
      <c r="B315" s="102">
        <f t="shared" si="1"/>
        <v>1</v>
      </c>
      <c r="C315" s="105">
        <f>IF(B315&lt;&gt;1,"",SUM(B$250:B315))</f>
        <v>66</v>
      </c>
      <c r="D315" s="102">
        <v>66</v>
      </c>
      <c r="F315" s="111" t="str">
        <f>IF(COUNTA($A$250:$A315)&lt;=MAX(DS_Counties_Sequence)=TRUE,LOOKUP(COUNTA($A$250:$A315),DS_Counties_Sequence,DS_Counties_DataNames),"")</f>
        <v>Walton</v>
      </c>
      <c r="G315" s="460"/>
      <c r="H315" s="115" t="s">
        <v>30</v>
      </c>
      <c r="I315" s="115" t="s">
        <v>46</v>
      </c>
    </row>
    <row r="316" spans="1:9">
      <c r="A316" s="104" t="s">
        <v>105</v>
      </c>
      <c r="B316" s="102">
        <f t="shared" si="1"/>
        <v>1</v>
      </c>
      <c r="C316" s="105">
        <f>IF(B316&lt;&gt;1,"",SUM(B$250:B316))</f>
        <v>67</v>
      </c>
      <c r="D316" s="102">
        <v>67</v>
      </c>
      <c r="F316" s="111" t="str">
        <f>IF(COUNTA($A$250:$A316)&lt;=MAX(DS_Counties_Sequence)=TRUE,LOOKUP(COUNTA($A$250:$A316),DS_Counties_Sequence,DS_Counties_DataNames),"")</f>
        <v>Washington</v>
      </c>
      <c r="G316" s="460"/>
      <c r="H316" s="115" t="s">
        <v>30</v>
      </c>
      <c r="I316" s="115" t="s">
        <v>31</v>
      </c>
    </row>
    <row r="318" spans="1:9" ht="18" customHeight="1">
      <c r="A318" s="1139" t="s">
        <v>968</v>
      </c>
      <c r="B318" s="108"/>
      <c r="C318" s="108"/>
      <c r="D318" s="108"/>
      <c r="E318" s="986" t="s">
        <v>957</v>
      </c>
      <c r="F318" s="111" t="s">
        <v>2</v>
      </c>
    </row>
    <row r="319" spans="1:9">
      <c r="F319" s="111" t="s">
        <v>660</v>
      </c>
    </row>
    <row r="320" spans="1:9">
      <c r="F320" s="111" t="s">
        <v>659</v>
      </c>
    </row>
    <row r="322" spans="1:6" ht="18" customHeight="1">
      <c r="A322" s="1139" t="s">
        <v>967</v>
      </c>
      <c r="B322" s="108"/>
      <c r="C322" s="108"/>
      <c r="D322" s="108"/>
      <c r="E322" s="986" t="s">
        <v>956</v>
      </c>
      <c r="F322" s="111" t="s">
        <v>2</v>
      </c>
    </row>
    <row r="323" spans="1:6">
      <c r="F323" s="111" t="s">
        <v>859</v>
      </c>
    </row>
    <row r="324" spans="1:6">
      <c r="F324" s="111" t="s">
        <v>860</v>
      </c>
    </row>
    <row r="326" spans="1:6" ht="18" customHeight="1">
      <c r="A326" s="1139" t="s">
        <v>106</v>
      </c>
      <c r="B326" s="1140" t="s">
        <v>4</v>
      </c>
      <c r="C326" s="1140" t="s">
        <v>5</v>
      </c>
      <c r="D326" s="1140" t="s">
        <v>6</v>
      </c>
      <c r="E326" s="986" t="s">
        <v>958</v>
      </c>
      <c r="F326" s="111" t="s">
        <v>2</v>
      </c>
    </row>
    <row r="327" spans="1:6">
      <c r="A327" s="104" t="s">
        <v>107</v>
      </c>
      <c r="B327" s="102">
        <v>1</v>
      </c>
      <c r="C327" s="105">
        <f>IF(B327&lt;&gt;1,"",SUM(B$327:B327))</f>
        <v>1</v>
      </c>
      <c r="D327" s="102">
        <v>1</v>
      </c>
      <c r="F327" s="111" t="str">
        <f>IF(COUNTA($A$327:$A327)&lt;=MAX(DS_DevType_Sequence)=TRUE,LOOKUP(COUNTA($A$327:$A327),DS_DevType_Sequence,DS_DevType_DataNames),"")</f>
        <v>Garden Apartments</v>
      </c>
    </row>
    <row r="328" spans="1:6">
      <c r="A328" s="104" t="s">
        <v>108</v>
      </c>
      <c r="B328" s="102"/>
      <c r="C328" s="105" t="str">
        <f>IF(B328&lt;&gt;1,"",SUM(B$327:B328))</f>
        <v/>
      </c>
      <c r="D328" s="102">
        <v>2</v>
      </c>
      <c r="F328" s="111" t="str">
        <f>IF(COUNTA($A$327:$A328)&lt;=MAX(DS_DevType_Sequence)=TRUE,LOOKUP(COUNTA($A$327:$A328),DS_DevType_Sequence,DS_DevType_DataNames),"")</f>
        <v>Duplexes</v>
      </c>
    </row>
    <row r="329" spans="1:6">
      <c r="A329" s="104" t="s">
        <v>109</v>
      </c>
      <c r="B329" s="102">
        <v>1</v>
      </c>
      <c r="C329" s="105">
        <f>IF(B329&lt;&gt;1,"",SUM(B$327:B329))</f>
        <v>2</v>
      </c>
      <c r="D329" s="102">
        <v>3</v>
      </c>
      <c r="F329" s="111" t="str">
        <f>IF(COUNTA($A$327:$A329)&lt;=MAX(DS_DevType_Sequence)=TRUE,LOOKUP(COUNTA($A$327:$A329),DS_DevType_Sequence,DS_DevType_DataNames),"")</f>
        <v>Triplexes</v>
      </c>
    </row>
    <row r="330" spans="1:6">
      <c r="A330" s="104" t="s">
        <v>110</v>
      </c>
      <c r="B330" s="102">
        <v>1</v>
      </c>
      <c r="C330" s="105">
        <f>IF(B330&lt;&gt;1,"",SUM(B$327:B330))</f>
        <v>3</v>
      </c>
      <c r="D330" s="102">
        <v>4</v>
      </c>
      <c r="F330" s="111" t="str">
        <f>IF(COUNTA($A$327:$A330)&lt;=MAX(DS_DevType_Sequence)=TRUE,LOOKUP(COUNTA($A$327:$A330),DS_DevType_Sequence,DS_DevType_DataNames),"")</f>
        <v>Quadraplexes</v>
      </c>
    </row>
    <row r="331" spans="1:6">
      <c r="A331" s="104" t="s">
        <v>111</v>
      </c>
      <c r="B331" s="102">
        <v>1</v>
      </c>
      <c r="C331" s="105">
        <f>IF(B331&lt;&gt;1,"",SUM(B$327:B331))</f>
        <v>4</v>
      </c>
      <c r="D331" s="102">
        <v>5</v>
      </c>
      <c r="F331" s="111" t="str">
        <f>IF(COUNTA($A$327:$A331)&lt;=MAX(DS_DevType_Sequence)=TRUE,LOOKUP(COUNTA($A$327:$A331),DS_DevType_Sequence,DS_DevType_DataNames),"")</f>
        <v>Mid-Rise (4 Stories)</v>
      </c>
    </row>
    <row r="332" spans="1:6">
      <c r="A332" s="104" t="s">
        <v>112</v>
      </c>
      <c r="B332" s="102"/>
      <c r="C332" s="105" t="str">
        <f>IF(B332&lt;&gt;1,"",SUM(B$327:B332))</f>
        <v/>
      </c>
      <c r="D332" s="102">
        <v>6</v>
      </c>
      <c r="F332" s="111" t="str">
        <f>IF(COUNTA($A$327:$A332)&lt;=MAX(DS_DevType_Sequence)=TRUE,LOOKUP(COUNTA($A$327:$A332),DS_DevType_Sequence,DS_DevType_DataNames),"")</f>
        <v/>
      </c>
    </row>
    <row r="333" spans="1:6">
      <c r="A333" s="104" t="s">
        <v>113</v>
      </c>
      <c r="B333" s="102">
        <v>1</v>
      </c>
      <c r="C333" s="105">
        <f>IF(B333&lt;&gt;1,"",SUM(B$327:B333))</f>
        <v>5</v>
      </c>
      <c r="D333" s="102">
        <v>7</v>
      </c>
      <c r="F333" s="111" t="str">
        <f>IF(COUNTA($A$327:$A333)&lt;=MAX(DS_DevType_Sequence)=TRUE,LOOKUP(COUNTA($A$327:$A333),DS_DevType_Sequence,DS_DevType_DataNames),"")</f>
        <v/>
      </c>
    </row>
    <row r="334" spans="1:6">
      <c r="A334" s="104" t="s">
        <v>114</v>
      </c>
      <c r="B334" s="102"/>
      <c r="C334" s="105" t="str">
        <f>IF(B334&lt;&gt;1,"",SUM(B$327:B334))</f>
        <v/>
      </c>
      <c r="D334" s="102">
        <v>8</v>
      </c>
      <c r="F334" s="111" t="str">
        <f>IF(COUNTA($A$327:$A334)&lt;=MAX(DS_DevType_Sequence)=TRUE,LOOKUP(COUNTA($A$327:$A334),DS_DevType_Sequence,DS_DevType_DataNames),"")</f>
        <v/>
      </c>
    </row>
    <row r="335" spans="1:6">
      <c r="A335" s="104" t="s">
        <v>115</v>
      </c>
      <c r="B335" s="102"/>
      <c r="C335" s="105" t="str">
        <f>IF(B335&lt;&gt;1,"",SUM(B$327:B335))</f>
        <v/>
      </c>
      <c r="D335" s="102">
        <v>9</v>
      </c>
      <c r="F335" s="111" t="str">
        <f>IF(COUNTA($A$327:$A335)&lt;=MAX(DS_DevType_Sequence)=TRUE,LOOKUP(COUNTA($A$327:$A335),DS_DevType_Sequence,DS_DevType_DataNames),"")</f>
        <v/>
      </c>
    </row>
    <row r="336" spans="1:6">
      <c r="A336" s="104" t="s">
        <v>116</v>
      </c>
      <c r="B336" s="102"/>
      <c r="C336" s="105" t="str">
        <f>IF(B336&lt;&gt;1,"",SUM(B$327:B336))</f>
        <v/>
      </c>
      <c r="D336" s="102">
        <v>10</v>
      </c>
      <c r="F336" s="111" t="str">
        <f>IF(COUNTA($A$327:$A336)&lt;=MAX(DS_DevType_Sequence)=TRUE,LOOKUP(COUNTA($A$327:$A336),DS_DevType_Sequence,DS_DevType_DataNames),"")</f>
        <v/>
      </c>
    </row>
    <row r="337" spans="1:31">
      <c r="A337" s="104" t="s">
        <v>117</v>
      </c>
      <c r="B337" s="102"/>
      <c r="C337" s="105" t="str">
        <f>IF(B337&lt;&gt;1,"",SUM(B$327:B337))</f>
        <v/>
      </c>
      <c r="D337" s="102">
        <v>11</v>
      </c>
      <c r="F337" s="111" t="str">
        <f>IF(COUNTA($A$327:$A337)&lt;=MAX(DS_DevType_Sequence)=TRUE,LOOKUP(COUNTA($A$327:$A337),DS_DevType_Sequence,DS_DevType_DataNames),"")</f>
        <v/>
      </c>
      <c r="P337" s="1162">
        <f>SQRT(((((6378137/1000)^2*COS(P339))^2)+(((6356752.3142245/1000)^2*SIN(P339))^2))/((((6378137/1000)*COS(P339))^2)+(((6356752.3142245/1000)*SIN(P339))^2)))/1.609347</f>
        <v>3960.5583311050227</v>
      </c>
    </row>
    <row r="338" spans="1:31" ht="16.5">
      <c r="A338" s="104" t="s">
        <v>118</v>
      </c>
      <c r="B338" s="102"/>
      <c r="C338" s="105" t="str">
        <f>IF(B338&lt;&gt;1,"",SUM(B$327:B338))</f>
        <v/>
      </c>
      <c r="D338" s="102">
        <v>12</v>
      </c>
      <c r="F338" s="111" t="str">
        <f>IF(COUNTA($A$327:$A338)&lt;=MAX(DS_DevType_Sequence)=TRUE,LOOKUP(COUNTA($A$327:$A338),DS_DevType_Sequence,DS_DevType_DataNames),"")</f>
        <v/>
      </c>
      <c r="P338" s="1083" t="s">
        <v>1338</v>
      </c>
    </row>
    <row r="339" spans="1:31">
      <c r="F339" s="979"/>
      <c r="L339" s="1192" t="s">
        <v>1337</v>
      </c>
      <c r="O339" s="1052" t="s">
        <v>1251</v>
      </c>
      <c r="P339" s="1097">
        <f>IF(VALUE(DLP_latitude)=0,27.812095,DLP_latitude)</f>
        <v>27.812094999999999</v>
      </c>
    </row>
    <row r="340" spans="1:31" ht="18" customHeight="1">
      <c r="A340" s="1139" t="s">
        <v>1241</v>
      </c>
      <c r="B340" s="108"/>
      <c r="C340" s="108"/>
      <c r="D340" s="108"/>
      <c r="E340" s="986" t="s">
        <v>1793</v>
      </c>
      <c r="F340" s="1176" t="s">
        <v>1323</v>
      </c>
      <c r="G340" s="1132" t="s">
        <v>30</v>
      </c>
      <c r="H340" s="1132" t="s">
        <v>27</v>
      </c>
      <c r="I340" s="1132" t="s">
        <v>37</v>
      </c>
      <c r="J340" s="1132" t="s">
        <v>1306</v>
      </c>
      <c r="K340" s="1132" t="s">
        <v>1307</v>
      </c>
      <c r="L340" s="1132" t="s">
        <v>1308</v>
      </c>
      <c r="O340" s="1100" t="s">
        <v>1247</v>
      </c>
      <c r="P340" s="849">
        <f>6378137/1000</f>
        <v>6378.1369999999997</v>
      </c>
      <c r="Q340" s="849">
        <f>P340^2</f>
        <v>40680631.590768993</v>
      </c>
      <c r="R340" s="849">
        <f>Q340*Q341</f>
        <v>-36411455.79754369</v>
      </c>
      <c r="S340" s="849">
        <f>R340^2</f>
        <v>1325794113296478</v>
      </c>
      <c r="T340" s="1101"/>
    </row>
    <row r="341" spans="1:31" ht="14.5" customHeight="1">
      <c r="A341" t="s">
        <v>1258</v>
      </c>
      <c r="B341" s="1538">
        <v>3</v>
      </c>
      <c r="C341" s="1175">
        <f>IF(PHA_Prox_boost="Yes",B341,0)</f>
        <v>0</v>
      </c>
      <c r="D341" s="1759" t="s">
        <v>1929</v>
      </c>
      <c r="E341" s="986"/>
      <c r="F341" s="1155" t="s">
        <v>1305</v>
      </c>
      <c r="G341" s="1151">
        <v>0.3</v>
      </c>
      <c r="H341" s="1151">
        <v>0.3</v>
      </c>
      <c r="I341" s="1151">
        <v>0.3</v>
      </c>
      <c r="J341" s="1153">
        <v>2</v>
      </c>
      <c r="K341" s="1153">
        <v>4</v>
      </c>
      <c r="L341" s="1153">
        <v>6</v>
      </c>
      <c r="O341" s="1102" t="s">
        <v>1249</v>
      </c>
      <c r="P341" s="215">
        <f>COS(P$339)</f>
        <v>-0.89505630502074007</v>
      </c>
      <c r="Q341" s="215">
        <f>P341</f>
        <v>-0.89505630502074007</v>
      </c>
      <c r="R341" s="215"/>
      <c r="S341" s="215"/>
      <c r="T341" s="1103">
        <f>S340+S342</f>
        <v>1650522031715820.5</v>
      </c>
      <c r="AB341" s="1196">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$343)</f>
        <v>0</v>
      </c>
      <c r="AC341" s="119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$343)</f>
        <v>0</v>
      </c>
      <c r="AD341" s="1200">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2)</f>
        <v>0</v>
      </c>
      <c r="AE341" s="120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row>
    <row r="342" spans="1:31" ht="14.5" customHeight="1">
      <c r="A342" t="s">
        <v>1259</v>
      </c>
      <c r="B342" s="403">
        <v>3</v>
      </c>
      <c r="C342" s="1174">
        <f>IF(RD_Prox_boost="Yes",B342,0)</f>
        <v>0</v>
      </c>
      <c r="D342" s="1759" t="s">
        <v>1929</v>
      </c>
      <c r="E342" s="986"/>
      <c r="F342" s="1155" t="s">
        <v>1305</v>
      </c>
      <c r="G342" s="1152">
        <v>0.75</v>
      </c>
      <c r="H342" s="1152">
        <v>0.4</v>
      </c>
      <c r="I342" s="1152">
        <v>0.4</v>
      </c>
      <c r="J342" s="1154">
        <v>1.5</v>
      </c>
      <c r="K342" s="1154">
        <v>3</v>
      </c>
      <c r="L342" s="1154">
        <v>5.5</v>
      </c>
      <c r="O342" s="1102" t="s">
        <v>1248</v>
      </c>
      <c r="P342" s="215">
        <f>6356752.3142245/1000</f>
        <v>6356.7523142245</v>
      </c>
      <c r="Q342" s="215">
        <f>P342^2</f>
        <v>40408299.984398536</v>
      </c>
      <c r="R342" s="215">
        <f>Q342*Q343</f>
        <v>18020208.611981787</v>
      </c>
      <c r="S342" s="215">
        <f>R342^2</f>
        <v>324727918419342.56</v>
      </c>
      <c r="T342" s="1103"/>
      <c r="V342" s="1052" t="s">
        <v>1244</v>
      </c>
      <c r="W342" s="1052" t="s">
        <v>1245</v>
      </c>
      <c r="AB342" s="1197">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$343)</f>
        <v>0</v>
      </c>
      <c r="AC342" s="1165">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$343)</f>
        <v>0</v>
      </c>
      <c r="AD342" s="120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2)</f>
        <v>0</v>
      </c>
      <c r="AE342" s="1203">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row>
    <row r="343" spans="1:31" ht="14.5" customHeight="1">
      <c r="A343" s="792" t="s">
        <v>1262</v>
      </c>
      <c r="C343" s="1164"/>
      <c r="D343" s="108"/>
      <c r="E343" s="986"/>
      <c r="F343" s="1155" t="s">
        <v>1305</v>
      </c>
      <c r="G343" s="1184">
        <v>1</v>
      </c>
      <c r="H343" s="1184">
        <v>0.5</v>
      </c>
      <c r="I343" s="1184">
        <v>0.5</v>
      </c>
      <c r="J343" s="1185">
        <v>1</v>
      </c>
      <c r="K343" s="1185">
        <v>2</v>
      </c>
      <c r="L343" s="1190">
        <f>IF(County_Size="Small",5,5.5)</f>
        <v>5.5</v>
      </c>
      <c r="O343" s="1102" t="s">
        <v>1250</v>
      </c>
      <c r="P343" s="215">
        <f>SIN(P$339)</f>
        <v>0.44595314870804531</v>
      </c>
      <c r="Q343" s="215">
        <f>P343</f>
        <v>0.44595314870804531</v>
      </c>
      <c r="R343" s="215"/>
      <c r="S343" s="215"/>
      <c r="T343" s="215"/>
      <c r="U343" s="2018">
        <f>T341/T345</f>
        <v>40626762.705522977</v>
      </c>
      <c r="V343" s="1194">
        <f>SQRT(U343)</f>
        <v>6373.9126684888752</v>
      </c>
      <c r="W343" s="1194">
        <f>V343/1.609347</f>
        <v>3960.5583311050227</v>
      </c>
      <c r="X343" t="s">
        <v>1254</v>
      </c>
      <c r="AB343" s="1197">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$343)</f>
        <v>0</v>
      </c>
      <c r="AC343" s="1165">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$343)</f>
        <v>0</v>
      </c>
      <c r="AD343" s="120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2)</f>
        <v>0</v>
      </c>
      <c r="AE343" s="1203">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row>
    <row r="344" spans="1:31" ht="14.5" customHeight="1">
      <c r="A344" t="s">
        <v>1263</v>
      </c>
      <c r="B344" s="403">
        <v>6</v>
      </c>
      <c r="C344" s="1168">
        <f>MIN(B344,SUM(C345:C349))</f>
        <v>0</v>
      </c>
      <c r="D344" s="108"/>
      <c r="E344" s="986"/>
      <c r="F344" s="1155" t="s">
        <v>1305</v>
      </c>
      <c r="G344" s="1184">
        <v>1.25</v>
      </c>
      <c r="H344" s="1184">
        <v>0.75</v>
      </c>
      <c r="I344" s="1184">
        <v>0.75</v>
      </c>
      <c r="J344" s="1154">
        <v>0</v>
      </c>
      <c r="K344" s="1154">
        <v>1</v>
      </c>
      <c r="L344" s="1191">
        <f>IF(County_Size="Small",4.5,5)</f>
        <v>5</v>
      </c>
      <c r="O344" s="1106" t="s">
        <v>1247</v>
      </c>
      <c r="P344" s="1107">
        <f>P340</f>
        <v>6378.1369999999997</v>
      </c>
      <c r="Q344" s="1107">
        <f>P344*P345</f>
        <v>-5708.7917361360678</v>
      </c>
      <c r="R344" s="1107">
        <f>Q344^2</f>
        <v>32590303.08657546</v>
      </c>
      <c r="S344" s="1107"/>
      <c r="T344" s="1107"/>
      <c r="U344" s="2019"/>
      <c r="V344">
        <f>P342</f>
        <v>6356.7523142245</v>
      </c>
      <c r="W344">
        <f>V344/1.609347</f>
        <v>3949.8954011934652</v>
      </c>
      <c r="X344" t="s">
        <v>1252</v>
      </c>
      <c r="Z344">
        <v>3949.9027999999998</v>
      </c>
      <c r="AB344" s="1197">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$343)</f>
        <v>0</v>
      </c>
      <c r="AC344" s="1165">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$343)</f>
        <v>0</v>
      </c>
      <c r="AD344" s="120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2)</f>
        <v>0</v>
      </c>
      <c r="AE344" s="1203">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row>
    <row r="345" spans="1:31" ht="14.5" customHeight="1">
      <c r="A345" s="599" t="s">
        <v>1264</v>
      </c>
      <c r="B345" s="403">
        <v>2</v>
      </c>
      <c r="C345" s="1164">
        <f>IF(AND(OR(Demographic="Elderly Non-ALF",Demographic="Elderly ALF"),Private_transportation="Yes"),B345,0)</f>
        <v>0</v>
      </c>
      <c r="D345" s="1759" t="s">
        <v>1929</v>
      </c>
      <c r="E345" s="986"/>
      <c r="F345" s="1188" t="s">
        <v>1305</v>
      </c>
      <c r="G345" s="1189">
        <f>G344</f>
        <v>1.25</v>
      </c>
      <c r="H345" s="1189">
        <f>H344</f>
        <v>0.75</v>
      </c>
      <c r="I345" s="1152">
        <v>1</v>
      </c>
      <c r="J345" s="1154">
        <v>0</v>
      </c>
      <c r="K345" s="1154">
        <v>0</v>
      </c>
      <c r="L345" s="1191">
        <f>IF(County_Size="Small",0,4.5)</f>
        <v>4.5</v>
      </c>
      <c r="O345" s="1102" t="s">
        <v>1249</v>
      </c>
      <c r="P345" s="215">
        <f>COS(P$339)</f>
        <v>-0.89505630502074007</v>
      </c>
      <c r="Q345" s="215"/>
      <c r="R345" s="215"/>
      <c r="S345" s="215"/>
      <c r="T345" s="1103">
        <f>R344+R346</f>
        <v>40626471.857464574</v>
      </c>
      <c r="V345">
        <f>P340</f>
        <v>6378.1369999999997</v>
      </c>
      <c r="W345" s="1099">
        <f>V345/1.609347</f>
        <v>3963.1832041194343</v>
      </c>
      <c r="X345" t="s">
        <v>1253</v>
      </c>
      <c r="Z345">
        <v>3963.1905999999999</v>
      </c>
      <c r="AB345" s="1197">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$343)</f>
        <v>0</v>
      </c>
      <c r="AC345" s="1165">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$343)</f>
        <v>0</v>
      </c>
      <c r="AD345" s="120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2)</f>
        <v>0</v>
      </c>
      <c r="AE345" s="1203">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row>
    <row r="346" spans="1:31" ht="14.5" customHeight="1">
      <c r="A346" s="599" t="s">
        <v>1265</v>
      </c>
      <c r="B346" s="403">
        <v>6</v>
      </c>
      <c r="C346" s="1164">
        <f>MIN(B346,C366)</f>
        <v>0</v>
      </c>
      <c r="D346" s="1761" t="s">
        <v>1930</v>
      </c>
      <c r="E346" s="986"/>
      <c r="F346" s="1156" t="s">
        <v>1305</v>
      </c>
      <c r="G346" s="1186"/>
      <c r="H346" s="1186"/>
      <c r="I346" s="1186">
        <f>I345</f>
        <v>1</v>
      </c>
      <c r="J346" s="1187">
        <v>0</v>
      </c>
      <c r="K346" s="1187">
        <v>0</v>
      </c>
      <c r="L346" s="1187">
        <v>0</v>
      </c>
      <c r="O346" s="1102" t="s">
        <v>1248</v>
      </c>
      <c r="P346" s="215">
        <f>P342</f>
        <v>6356.7523142245</v>
      </c>
      <c r="Q346" s="215">
        <f>P346*P347</f>
        <v>2834.8137100855697</v>
      </c>
      <c r="R346" s="215">
        <f>Q346^2</f>
        <v>8036168.7708891127</v>
      </c>
      <c r="S346" s="215"/>
      <c r="T346" s="1103"/>
      <c r="AB346" s="1198">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$343)</f>
        <v>0</v>
      </c>
      <c r="AC346" s="1166">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$343)</f>
        <v>0</v>
      </c>
      <c r="AD346" s="1204">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2)</f>
        <v>0</v>
      </c>
      <c r="AE346" s="120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row>
    <row r="347" spans="1:31" ht="14.5" customHeight="1">
      <c r="A347" s="599" t="s">
        <v>1266</v>
      </c>
      <c r="B347" s="403">
        <v>6</v>
      </c>
      <c r="C347" s="1164">
        <f>MIN(B347,C369)</f>
        <v>0</v>
      </c>
      <c r="D347" s="1761" t="s">
        <v>1930</v>
      </c>
      <c r="E347" s="986"/>
      <c r="F347" s="1155" t="s">
        <v>1309</v>
      </c>
      <c r="G347" s="1151">
        <v>0.3</v>
      </c>
      <c r="H347" s="1151">
        <v>0.3</v>
      </c>
      <c r="I347" s="1151">
        <v>0.3</v>
      </c>
      <c r="J347" s="1153">
        <v>6</v>
      </c>
      <c r="O347" s="1104" t="s">
        <v>1250</v>
      </c>
      <c r="P347" s="978">
        <f>SIN(P$339)</f>
        <v>0.44595314870804531</v>
      </c>
      <c r="Q347" s="978"/>
      <c r="R347" s="978"/>
      <c r="S347" s="978"/>
      <c r="T347" s="1105"/>
    </row>
    <row r="348" spans="1:31" ht="14.5" customHeight="1">
      <c r="A348" s="599" t="s">
        <v>1267</v>
      </c>
      <c r="B348" s="403">
        <v>6</v>
      </c>
      <c r="C348" s="1164">
        <f>MIN(B348,C370)</f>
        <v>0</v>
      </c>
      <c r="D348" s="1761" t="s">
        <v>1930</v>
      </c>
      <c r="E348" s="986"/>
      <c r="F348" s="1155" t="s">
        <v>1309</v>
      </c>
      <c r="G348" s="1151">
        <v>0.75</v>
      </c>
      <c r="H348" s="1151">
        <v>0.5</v>
      </c>
      <c r="I348" s="1151">
        <v>0.5</v>
      </c>
      <c r="J348" s="1154">
        <v>5.5</v>
      </c>
      <c r="O348" s="1539"/>
      <c r="P348" s="1107"/>
      <c r="Q348" s="1107"/>
      <c r="R348" s="1107"/>
      <c r="S348" s="1107"/>
      <c r="T348" s="1107"/>
    </row>
    <row r="349" spans="1:31" ht="14.5" customHeight="1">
      <c r="A349" s="599" t="s">
        <v>1268</v>
      </c>
      <c r="B349" s="403">
        <v>6</v>
      </c>
      <c r="C349" s="1164">
        <f>MIN(B349,C371)</f>
        <v>0</v>
      </c>
      <c r="D349" s="1761" t="s">
        <v>1930</v>
      </c>
      <c r="E349" s="986"/>
      <c r="F349" s="1155" t="s">
        <v>1309</v>
      </c>
      <c r="G349" s="1151">
        <v>1</v>
      </c>
      <c r="H349" s="1151">
        <v>0.75</v>
      </c>
      <c r="I349" s="1151">
        <v>0.75</v>
      </c>
      <c r="J349" s="1154">
        <v>5</v>
      </c>
      <c r="O349" s="1540"/>
      <c r="P349" s="215"/>
      <c r="Q349" s="215"/>
      <c r="R349" s="215"/>
      <c r="S349" s="215"/>
      <c r="T349" s="215"/>
    </row>
    <row r="350" spans="1:31" ht="14.5" customHeight="1">
      <c r="A350" t="s">
        <v>1315</v>
      </c>
      <c r="B350" s="403">
        <v>12</v>
      </c>
      <c r="C350" s="1171">
        <f>IF(B352=4,SUM(C372:C375),IF(SUM(D372:D375)=4,B352*C372,IF(AND(SUM(D372:D375)=7,COUNTIF(D372:D375,1)=3),B352*_xlfn.XLOOKUP(1,D372:D375,C372:C375),IF(SUM(D372:D375)=7,_xlfn.XLOOKUP(1,D372:D375,C372:C375)+(B352-1)*_xlfn.XLOOKUP(2,D372:D375,C372:C375),IF(SUM(D372:D375)=8,IF(B352&lt;3,B352*_xlfn.XLOOKUP(1,D372:D375,C372:C375),2*_xlfn.XLOOKUP(1,D372:D375,C372:C375)+IF(MAX(D372:D375)=4,_xlfn.XLOOKUP(2,D372:D375,C372:C375),_xlfn.XLOOKUP(3,D372:D375,C372:C375))),IF(SUM(D372:D375)=9,_xlfn.XLOOKUP(1,D372:D375,C372:C375)*MIN(B352,COUNTIF(D372:D375,1))+IFERROR(_xlfn.XLOOKUP(2,D372:D375,C372:C375),0)*MIN(B352-COUNTIF(D372:D375,1),COUNTIF(D372:D375,2))+IF(AND(B352=3,COUNTIF(D372:D375,3)&gt;0),_xlfn.XLOOKUP(3,D372:D375,C372:C375),0),IF(SUM(D372:D375)=10,_xlfn.XLOOKUP(1,D372:D375,C372:C375)*MIN(B352,COUNTIF(D372:D375,1))+IFERROR(_xlfn.XLOOKUP(2,D372:D375,C372:C375),0)*MIN(B352-COUNTIF(D372:D375,1),COUNTIF(D372:D375,2))+IF(B352=3,IFERROR(_xlfn.XLOOKUP(3,D372:D375,C372:C375),0)+IF(COUNTIF(D372:D375,3)=0,IFERROR(_xlfn.XLOOKUP(4,D372:D375,C372:C375),0),0),0),IF(SUM(D372:D375)=11,_xlfn.XLOOKUP(1,D372:D375,C372:C375)+IF(B352&gt;1,_xlfn.XLOOKUP(2,D372:D375,C372:C375)+IF(B466=3,_xlfn.XLOOKUP(4,D372:D375,C372:C375),0),0),_xlfn.XLOOKUP(1,D372:D375,C372:C375)+(B352-1)*_xlfn.XLOOKUP(4,D372:D375,C372:C375)))))))))</f>
        <v>0</v>
      </c>
      <c r="D350" s="108"/>
      <c r="E350" s="986"/>
      <c r="F350" s="1155" t="s">
        <v>1309</v>
      </c>
      <c r="G350" s="1151">
        <v>1.25</v>
      </c>
      <c r="H350" s="1151">
        <v>1</v>
      </c>
      <c r="I350" s="1151">
        <v>1</v>
      </c>
      <c r="J350" s="1154">
        <v>4.5</v>
      </c>
      <c r="O350" s="1540"/>
      <c r="P350" s="215"/>
      <c r="Q350" s="215"/>
      <c r="R350" s="215"/>
      <c r="S350" s="215"/>
      <c r="T350" s="215"/>
    </row>
    <row r="351" spans="1:31" ht="14.5" customHeight="1">
      <c r="A351" s="599" t="s">
        <v>1269</v>
      </c>
      <c r="B351" s="403">
        <v>4</v>
      </c>
      <c r="C351" s="1164"/>
      <c r="D351" s="1761" t="s">
        <v>1931</v>
      </c>
      <c r="E351" s="986"/>
      <c r="F351" s="1155" t="s">
        <v>1309</v>
      </c>
      <c r="G351" s="1151">
        <v>1.5</v>
      </c>
      <c r="H351" s="1151">
        <v>1.25</v>
      </c>
      <c r="I351" s="1151">
        <v>1.25</v>
      </c>
      <c r="J351" s="1154">
        <v>4</v>
      </c>
      <c r="O351" s="1540"/>
      <c r="P351" s="215"/>
      <c r="Q351" s="215"/>
      <c r="R351" s="215"/>
      <c r="S351" s="215"/>
      <c r="T351" s="215"/>
    </row>
    <row r="352" spans="1:31" ht="14.5" customHeight="1">
      <c r="A352" s="599" t="s">
        <v>1270</v>
      </c>
      <c r="B352" s="403">
        <v>3</v>
      </c>
      <c r="C352" s="1164"/>
      <c r="D352" s="108"/>
      <c r="E352" s="986"/>
      <c r="F352" s="1155" t="s">
        <v>1309</v>
      </c>
      <c r="G352" s="1151">
        <v>1.75</v>
      </c>
      <c r="H352" s="1151">
        <v>1.5</v>
      </c>
      <c r="I352" s="1151">
        <v>1.5</v>
      </c>
      <c r="J352" s="1153">
        <v>3.5</v>
      </c>
      <c r="O352" s="1540"/>
      <c r="P352" s="215"/>
      <c r="Q352" s="215"/>
      <c r="R352" s="215"/>
      <c r="S352" s="215"/>
      <c r="T352" s="215"/>
    </row>
    <row r="353" spans="1:21" ht="14.5" customHeight="1">
      <c r="A353" s="402" t="s">
        <v>1329</v>
      </c>
      <c r="C353" s="1179">
        <f>C$341+C$342+C$344+C$350</f>
        <v>0</v>
      </c>
      <c r="F353" s="1155" t="s">
        <v>1309</v>
      </c>
      <c r="G353" s="1151">
        <v>2</v>
      </c>
      <c r="H353" s="1151">
        <v>1.75</v>
      </c>
      <c r="I353" s="1151">
        <v>1.75</v>
      </c>
      <c r="J353" s="1154">
        <v>3</v>
      </c>
      <c r="O353" s="1540"/>
      <c r="P353" s="215"/>
      <c r="Q353" s="215"/>
      <c r="R353" s="215"/>
      <c r="S353" s="215"/>
      <c r="T353" s="215"/>
    </row>
    <row r="354" spans="1:21" ht="14.5" customHeight="1">
      <c r="A354" s="792" t="s">
        <v>1260</v>
      </c>
      <c r="E354" s="986"/>
      <c r="F354" s="1155" t="s">
        <v>1309</v>
      </c>
      <c r="G354" s="1151">
        <v>2.5</v>
      </c>
      <c r="H354" s="1151">
        <v>2</v>
      </c>
      <c r="I354" s="1151">
        <v>2</v>
      </c>
      <c r="J354" s="1154">
        <v>2.5</v>
      </c>
      <c r="O354" s="1540"/>
      <c r="P354" s="215"/>
      <c r="Q354" s="215"/>
      <c r="R354" s="215"/>
      <c r="S354" s="215"/>
      <c r="T354" s="215"/>
    </row>
    <row r="355" spans="1:21" ht="14.5" customHeight="1">
      <c r="A355" t="s">
        <v>1261</v>
      </c>
      <c r="B355" s="582">
        <v>10.5</v>
      </c>
      <c r="C355" s="1164" t="str">
        <f>IF(County_Size="Large",IF(C$353&gt;=B355,"Meets","Fails"),"")</f>
        <v/>
      </c>
      <c r="D355" s="1759" t="s">
        <v>1929</v>
      </c>
      <c r="F355" s="1156" t="s">
        <v>1309</v>
      </c>
      <c r="G355" s="1157">
        <f>G354</f>
        <v>2.5</v>
      </c>
      <c r="H355" s="1157">
        <f>H354</f>
        <v>2</v>
      </c>
      <c r="I355" s="1183">
        <f>I354</f>
        <v>2</v>
      </c>
      <c r="J355" s="1158">
        <v>0</v>
      </c>
      <c r="K355" s="1037"/>
      <c r="L355" s="1037"/>
      <c r="O355" s="1540"/>
      <c r="P355" s="215"/>
      <c r="Q355" s="215"/>
      <c r="R355" s="215"/>
      <c r="S355" s="215"/>
      <c r="T355" s="215"/>
    </row>
    <row r="356" spans="1:21" ht="14.5" customHeight="1">
      <c r="A356" t="s">
        <v>1310</v>
      </c>
      <c r="B356" s="582">
        <v>7</v>
      </c>
      <c r="C356" s="1164" t="str">
        <f>IF(County_Size="Medium",IF(C$353&gt;=B356,"Meets","Fails"),"")</f>
        <v/>
      </c>
      <c r="D356" s="1759" t="s">
        <v>1929</v>
      </c>
      <c r="F356" s="1155" t="s">
        <v>1314</v>
      </c>
      <c r="G356" s="1151">
        <v>0.3</v>
      </c>
      <c r="H356" s="1151">
        <v>0.3</v>
      </c>
      <c r="I356" s="1151">
        <v>0.3</v>
      </c>
      <c r="J356" s="1153">
        <v>4</v>
      </c>
      <c r="O356" s="1540"/>
      <c r="P356" s="215"/>
      <c r="Q356" s="215"/>
      <c r="R356" s="215"/>
      <c r="S356" s="215"/>
      <c r="T356" s="215"/>
    </row>
    <row r="357" spans="1:21" ht="14.5" customHeight="1">
      <c r="A357" t="s">
        <v>1311</v>
      </c>
      <c r="B357" s="582">
        <v>4</v>
      </c>
      <c r="C357" s="1164" t="str">
        <f>IF(County_Size="Small",IF(C$353&gt;=B357,"Meets","Fails"),"")</f>
        <v/>
      </c>
      <c r="D357" s="1759" t="s">
        <v>1929</v>
      </c>
      <c r="F357" s="1155" t="s">
        <v>1314</v>
      </c>
      <c r="G357" s="1151">
        <v>0.75</v>
      </c>
      <c r="H357" s="1151">
        <v>0.5</v>
      </c>
      <c r="I357" s="1151">
        <v>0.5</v>
      </c>
      <c r="J357" s="1153">
        <v>3.5</v>
      </c>
      <c r="O357" s="1540"/>
      <c r="P357" s="215"/>
      <c r="Q357" s="215"/>
      <c r="R357" s="215"/>
      <c r="S357" s="215"/>
      <c r="T357" s="215"/>
    </row>
    <row r="358" spans="1:21" ht="14.5" customHeight="1">
      <c r="A358" s="792" t="s">
        <v>1330</v>
      </c>
      <c r="F358" s="1155" t="s">
        <v>1314</v>
      </c>
      <c r="G358" s="1151">
        <v>1</v>
      </c>
      <c r="H358" s="1151">
        <v>0.75</v>
      </c>
      <c r="I358" s="1151">
        <v>0.75</v>
      </c>
      <c r="J358" s="1154">
        <v>3</v>
      </c>
      <c r="O358" s="1540"/>
      <c r="P358" s="215"/>
      <c r="Q358" s="215"/>
      <c r="R358" s="215"/>
      <c r="S358" s="215"/>
      <c r="T358" s="215"/>
    </row>
    <row r="359" spans="1:21" ht="14.5" customHeight="1">
      <c r="A359" t="s">
        <v>1261</v>
      </c>
      <c r="B359" s="582">
        <v>12.5</v>
      </c>
      <c r="C359" s="165" t="str">
        <f>IF(County_Size="Large",IF(C$353&gt;=B359,"Meets","Fails"),"")</f>
        <v/>
      </c>
      <c r="D359" s="1759" t="s">
        <v>1929</v>
      </c>
      <c r="F359" s="1155" t="s">
        <v>1314</v>
      </c>
      <c r="G359" s="1151">
        <v>1.25</v>
      </c>
      <c r="H359" s="1151">
        <v>1</v>
      </c>
      <c r="I359" s="1151">
        <v>1</v>
      </c>
      <c r="J359" s="1154">
        <v>2.5</v>
      </c>
      <c r="O359" s="1540"/>
      <c r="P359" s="215"/>
      <c r="Q359" s="215"/>
      <c r="R359" s="215"/>
      <c r="S359" s="215"/>
      <c r="T359" s="215"/>
    </row>
    <row r="360" spans="1:21" ht="14.5" customHeight="1">
      <c r="A360" t="s">
        <v>1331</v>
      </c>
      <c r="B360" s="582">
        <v>9</v>
      </c>
      <c r="C360" s="165" t="str">
        <f>IF(County_Size="Medium",IF(C$353&gt;=B360,"Meets","Fails"),"")</f>
        <v/>
      </c>
      <c r="D360" s="1759" t="s">
        <v>1929</v>
      </c>
      <c r="F360" s="1155" t="s">
        <v>1314</v>
      </c>
      <c r="G360" s="1151">
        <v>1.5</v>
      </c>
      <c r="H360" s="1151">
        <v>1.25</v>
      </c>
      <c r="I360" s="1151">
        <v>1.25</v>
      </c>
      <c r="J360" s="1154">
        <v>2</v>
      </c>
    </row>
    <row r="361" spans="1:21">
      <c r="A361" t="s">
        <v>1332</v>
      </c>
      <c r="B361" s="582">
        <v>6</v>
      </c>
      <c r="C361" s="165" t="str">
        <f>IF(County_Size="Small",IF(C$353&gt;=B361,"Meets","Fails"),"")</f>
        <v/>
      </c>
      <c r="D361" s="1759" t="s">
        <v>1929</v>
      </c>
      <c r="F361" s="1155" t="s">
        <v>1314</v>
      </c>
      <c r="G361" s="1151">
        <v>1.75</v>
      </c>
      <c r="H361" s="1151">
        <v>1.5</v>
      </c>
      <c r="I361" s="1151">
        <v>1.5</v>
      </c>
      <c r="J361" s="1153">
        <v>1.5</v>
      </c>
    </row>
    <row r="362" spans="1:21">
      <c r="A362" s="792" t="s">
        <v>1334</v>
      </c>
      <c r="F362" s="1155" t="s">
        <v>1314</v>
      </c>
      <c r="G362" s="1151">
        <v>2</v>
      </c>
      <c r="H362" s="1151">
        <v>1.75</v>
      </c>
      <c r="I362" s="1151">
        <v>1.75</v>
      </c>
      <c r="J362" s="1154">
        <v>1</v>
      </c>
    </row>
    <row r="363" spans="1:21">
      <c r="A363" t="s">
        <v>1335</v>
      </c>
      <c r="B363" s="582">
        <v>1.5</v>
      </c>
      <c r="C363" s="165" t="str">
        <f>IF(AND(County_Size="Large",OR(PHA_Prox_boost="Yes",RD_Prox_boost="Yes")),IF(C$344&gt;=B363,"Meets","Fails"),"")</f>
        <v/>
      </c>
      <c r="D363" s="1759" t="s">
        <v>1929</v>
      </c>
      <c r="E363" s="1132" t="s">
        <v>1333</v>
      </c>
      <c r="F363" s="1155" t="s">
        <v>1314</v>
      </c>
      <c r="G363" s="1151">
        <v>2.25</v>
      </c>
      <c r="H363" s="1151">
        <v>2</v>
      </c>
      <c r="I363" s="1151">
        <v>2</v>
      </c>
      <c r="J363" s="1154">
        <v>0.5</v>
      </c>
    </row>
    <row r="364" spans="1:21">
      <c r="A364" t="s">
        <v>1336</v>
      </c>
      <c r="B364" s="582">
        <v>2</v>
      </c>
      <c r="C364" s="165" t="str">
        <f>IF(AND(County_Size="Large",PHA_Prox_boost&lt;&gt;"Yes",RD_Prox_boost&lt;&gt;"Yes"),IF(C$344&gt;=B364,"Meets","Fails"),"")</f>
        <v/>
      </c>
      <c r="D364" s="1759" t="s">
        <v>1929</v>
      </c>
      <c r="E364" s="1177" t="s">
        <v>1316</v>
      </c>
      <c r="F364" s="1156" t="s">
        <v>1314</v>
      </c>
      <c r="G364" s="1157">
        <f>G363</f>
        <v>2.25</v>
      </c>
      <c r="H364" s="1157">
        <f>H363</f>
        <v>2</v>
      </c>
      <c r="I364" s="1183">
        <f>I363</f>
        <v>2</v>
      </c>
      <c r="J364" s="1158">
        <v>0</v>
      </c>
      <c r="K364" s="1037"/>
      <c r="L364" s="1037"/>
    </row>
    <row r="365" spans="1:21">
      <c r="B365" s="1132" t="s">
        <v>1339</v>
      </c>
      <c r="C365" s="1132" t="s">
        <v>1341</v>
      </c>
      <c r="D365" s="1132" t="s">
        <v>1340</v>
      </c>
      <c r="E365" s="1177" t="s">
        <v>1317</v>
      </c>
      <c r="F365" s="1160" t="s">
        <v>315</v>
      </c>
      <c r="G365" s="1151">
        <v>0.75</v>
      </c>
      <c r="H365" s="1151">
        <v>0.5</v>
      </c>
      <c r="I365" s="1151">
        <v>0.5</v>
      </c>
      <c r="J365" s="1153">
        <v>4</v>
      </c>
      <c r="M365" s="9" t="s">
        <v>1794</v>
      </c>
    </row>
    <row r="366" spans="1:21">
      <c r="A366" s="215" t="s">
        <v>305</v>
      </c>
      <c r="B366" s="1165">
        <f>Transit_PBS1_distance</f>
        <v>0</v>
      </c>
      <c r="C366" s="2010">
        <f>IF(SUM(B366:B368)=0,0,IF(County_Size="Small",IF(MAX(B366:B368)&lt;=G341,CHOOSE(COUNTIF(B366:B368,"&gt;0")+1,0,J341,K341,L341),IF(MAX(B366:B368)&lt;=G342,CHOOSE(COUNTIF(B366:B368,"&gt;0")+1,0,J342,K342,L342),IF(MAX(B366:B368)&lt;=G343,CHOOSE(COUNTIF(B366:B368,"&gt;0")+1,0,J343,K343,L343),IF(MAX(B366:B368)&lt;=G344,CHOOSE(COUNTIF(B366:B368,"&gt;0")+1,0,J344,K344,L344),0)))),IF(County_Size="Medium",IF(MAX(B366:B368)&lt;=H341,CHOOSE(COUNTIF(B366:B368,"&gt;0")+1,0,J341,K341,L341),IF(MAX(B366:B368)&lt;=H342,CHOOSE(COUNTIF(B366:B368,"&gt;0")+1,0,J342,K342,L342),IF(MAX(B366:B368)&lt;=H343,CHOOSE(COUNTIF(B366:B368,"&gt;0")+1,0,J343,K343,L343),IF(MAX(B366:B368)&lt;=H344,CHOOSE(COUNTIF(B366:B368,"&gt;0")+1,0,J344,K344,L344),0)))),IF(County_Size="Large",IF(MAX(B366:B368)&lt;=I341,CHOOSE(COUNTIF(B366:B368,"&gt;0")+1,0,J341,K341,L341),IF(MAX(B366:B368)&lt;=I342,CHOOSE(COUNTIF(B366:B368,"&gt;0")+1,0,J342,K342,L342),IF(MAX(B366:B368)&lt;=I343,CHOOSE(COUNTIF(B366:B368,"&gt;0")+1,0,J343,K343,L343),IF(MAX(B366:B368)&lt;=I344,CHOOSE(COUNTIF(B366:B368,"&gt;0")+1,0,J344,K344,L344),0)))),""))))</f>
        <v>0</v>
      </c>
      <c r="D366" s="116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366" s="1177" t="s">
        <v>1318</v>
      </c>
      <c r="F366" s="1159" t="s">
        <v>315</v>
      </c>
      <c r="G366" s="1151">
        <v>1</v>
      </c>
      <c r="H366" s="1151">
        <v>0.75</v>
      </c>
      <c r="I366" s="1151">
        <v>0.75</v>
      </c>
      <c r="J366" s="1153">
        <v>3.5</v>
      </c>
      <c r="M366" s="2025"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N366" s="2026"/>
      <c r="O366" s="2026"/>
      <c r="P366" s="2026"/>
      <c r="Q366" s="2026"/>
      <c r="R366" s="2026"/>
      <c r="S366" s="2026"/>
      <c r="T366" s="2026"/>
      <c r="U366" s="2027"/>
    </row>
    <row r="367" spans="1:21">
      <c r="A367" s="215" t="s">
        <v>306</v>
      </c>
      <c r="B367" s="1165">
        <f>Transit_PBS2_distance</f>
        <v>0</v>
      </c>
      <c r="C367" s="2010"/>
      <c r="D367" s="1163">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367" s="1177" t="s">
        <v>1325</v>
      </c>
      <c r="F367" s="1159" t="s">
        <v>315</v>
      </c>
      <c r="G367" s="1151">
        <v>1.25</v>
      </c>
      <c r="H367" s="1151">
        <v>1</v>
      </c>
      <c r="I367" s="1151">
        <v>1</v>
      </c>
      <c r="J367" s="1154">
        <v>3</v>
      </c>
      <c r="M367" s="2028"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N367" s="2029"/>
      <c r="O367" s="2029"/>
      <c r="P367" s="2029"/>
      <c r="Q367" s="2029"/>
      <c r="R367" s="2029"/>
      <c r="S367" s="2029"/>
      <c r="T367" s="2029"/>
      <c r="U367" s="2030"/>
    </row>
    <row r="368" spans="1:21">
      <c r="A368" s="1037" t="s">
        <v>307</v>
      </c>
      <c r="B368" s="1166">
        <f>Transit_PBS3_distance</f>
        <v>0</v>
      </c>
      <c r="C368" s="2011"/>
      <c r="D368" s="119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368" s="1177" t="s">
        <v>1322</v>
      </c>
      <c r="F368" s="1159" t="s">
        <v>315</v>
      </c>
      <c r="G368" s="1151">
        <v>1.5</v>
      </c>
      <c r="H368" s="1151">
        <v>1.25</v>
      </c>
      <c r="I368" s="1151">
        <v>1.25</v>
      </c>
      <c r="J368" s="1154">
        <v>2.5</v>
      </c>
      <c r="M368" s="2028"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N368" s="2029"/>
      <c r="O368" s="2029"/>
      <c r="P368" s="2029"/>
      <c r="Q368" s="2029"/>
      <c r="R368" s="2029"/>
      <c r="S368" s="2029"/>
      <c r="T368" s="2029"/>
      <c r="U368" s="2030"/>
    </row>
    <row r="369" spans="1:21">
      <c r="A369" t="s">
        <v>308</v>
      </c>
      <c r="B369" s="1075">
        <f>Transit_BTS_distance</f>
        <v>0</v>
      </c>
      <c r="C369" s="1164">
        <f>IF(B369=0,0,IF(County_Size="Small",IF(B369&lt;=G$347,J$347,IF(B369&lt;=G$348,J$348,IF(B369&lt;=G$349,J$349,IF(B369&lt;=G$350,J$350,IF(B369&lt;=G$351,J$351,IF(B369&lt;=G$352,J$352,IF(B369&lt;=G$353,J$353,IF(B369&lt;=G$354,J$354,0)))))))),IF(County_Size="Medium",IF(B369&lt;=H$347,J$347,IF(B369&lt;=H$348,J$348,IF(B369&lt;=H$349,J$349,IF(B369&lt;=H$350,J$350,IF(B369&lt;=H$351,J$351,IF(B369&lt;=H$352,J$352,IF(B369&lt;=H$353,J$353,IF(B369&lt;=H$354,J$354,0)))))))),IF(County_Size="Large",IF(B369&lt;=H$347,J$347,IF(B369&lt;=I$348,J$348,IF(B369&lt;=I$349,J$349,IF(B369&lt;=I$350,J$350,IF(B369&lt;=I$351,J$351,IF(B369&lt;=I$352,J$352,IF(B369&lt;=I$353,J$353,IF(B369&lt;=I$354,J$354,0)))))))),""))))</f>
        <v>0</v>
      </c>
      <c r="D369" s="1163">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369" s="1177" t="s">
        <v>1324</v>
      </c>
      <c r="F369" s="1159" t="s">
        <v>315</v>
      </c>
      <c r="G369" s="1151">
        <v>1.75</v>
      </c>
      <c r="H369" s="1151">
        <v>1.5</v>
      </c>
      <c r="I369" s="1151">
        <v>1.5</v>
      </c>
      <c r="J369" s="1154">
        <v>2</v>
      </c>
      <c r="M369" s="2028"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N369" s="2029"/>
      <c r="O369" s="2029"/>
      <c r="P369" s="2029"/>
      <c r="Q369" s="2029"/>
      <c r="R369" s="2029"/>
      <c r="S369" s="2029"/>
      <c r="T369" s="2029"/>
      <c r="U369" s="2030"/>
    </row>
    <row r="370" spans="1:21">
      <c r="A370" t="s">
        <v>1673</v>
      </c>
      <c r="B370" s="1075">
        <f>Transit_PBRTS_distance</f>
        <v>0</v>
      </c>
      <c r="C370" s="1164">
        <f>IF(B370=0,0,IF(County_Size="Small",IF(B370&lt;=G$347,J$347,IF(B370&lt;=G$348,J$348,IF(B370&lt;=G$349,J$349,IF(B370&lt;=G$350,J$350,IF(B370&lt;=G$351,J$351,IF(B370&lt;=G$352,J$352,IF(B370&lt;=G$353,J$353,IF(B370&lt;=G$354,J$354,0)))))))),IF(County_Size="Medium",IF(B370&lt;=H$347,J$347,IF(B370&lt;=H$348,J$348,IF(B370&lt;=H$349,J$349,IF(B370&lt;=H$350,J$350,IF(B370&lt;=H$351,J$351,IF(B370&lt;=H$352,J$352,IF(B370&lt;=H$353,J$353,IF(B370&lt;=H$354,J$354,0)))))))),IF(County_Size="Large",IF(B370&lt;=H$347,J$347,IF(B370&lt;=I$348,J$348,IF(B370&lt;=I$349,J$349,IF(B370&lt;=I$350,J$350,IF(B370&lt;=I$351,J$351,IF(B370&lt;=I$352,J$352,IF(B370&lt;=I$353,J$353,IF(B370&lt;=I$354,J$354,0)))))))),""))))</f>
        <v>0</v>
      </c>
      <c r="D370" s="1163">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370" s="1177" t="s">
        <v>1319</v>
      </c>
      <c r="F370" s="1159" t="s">
        <v>315</v>
      </c>
      <c r="G370" s="1151">
        <v>2</v>
      </c>
      <c r="H370" s="1151">
        <v>1.75</v>
      </c>
      <c r="I370" s="1151">
        <v>1.75</v>
      </c>
      <c r="J370" s="1153">
        <v>1.5</v>
      </c>
      <c r="M370" s="2028"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N370" s="2029"/>
      <c r="O370" s="2029"/>
      <c r="P370" s="2029"/>
      <c r="Q370" s="2029"/>
      <c r="R370" s="2029"/>
      <c r="S370" s="2029"/>
      <c r="T370" s="2029"/>
      <c r="U370" s="2030"/>
    </row>
    <row r="371" spans="1:21">
      <c r="A371" s="1037" t="s">
        <v>1246</v>
      </c>
      <c r="B371" s="1166">
        <f>Transit_Rail_distance</f>
        <v>0</v>
      </c>
      <c r="C371" s="1167">
        <f>IF(B371=0,0,IF(County_Size="Small",IF(B371&lt;=G$347,J$347,IF(B371&lt;=G$348,J$348,IF(B371&lt;=G$349,J$349,IF(B371&lt;=G$350,J$350,IF(B371&lt;=G$351,J$351,IF(B371&lt;=G$352,J$352,IF(B371&lt;=G$353,J$353,IF(B371&lt;=G$354,J$354,0)))))))),IF(County_Size="Medium",IF(B371&lt;=H$347,J$347,IF(B371&lt;=H$348,J$348,IF(B371&lt;=H$349,J$349,IF(B371&lt;=H$350,J$350,IF(B371&lt;=H$351,J$351,IF(B371&lt;=H$352,J$352,IF(B371&lt;=H$353,J$353,IF(B371&lt;=H$354,J$354,0)))))))),IF(County_Size="Large",IF(B371&lt;=H$347,J$347,IF(B371&lt;=I$348,J$348,IF(B371&lt;=I$349,J$349,IF(B371&lt;=I$350,J$350,IF(B371&lt;=I$351,J$351,IF(B371&lt;=I$352,J$352,IF(B371&lt;=I$353,J$353,IF(B371&lt;=I$354,J$354,0)))))))),""))))</f>
        <v>0</v>
      </c>
      <c r="D371" s="119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371" s="1177" t="s">
        <v>1321</v>
      </c>
      <c r="F371" s="1159" t="s">
        <v>315</v>
      </c>
      <c r="G371" s="1151">
        <v>2.25</v>
      </c>
      <c r="H371" s="1151">
        <v>2</v>
      </c>
      <c r="I371" s="1151">
        <v>2</v>
      </c>
      <c r="J371" s="1154">
        <v>1</v>
      </c>
      <c r="M371" s="2031"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N371" s="2032"/>
      <c r="O371" s="2032"/>
      <c r="P371" s="2032"/>
      <c r="Q371" s="2032"/>
      <c r="R371" s="2032"/>
      <c r="S371" s="2032"/>
      <c r="T371" s="2032"/>
      <c r="U371" s="2033"/>
    </row>
    <row r="372" spans="1:21">
      <c r="A372" t="s">
        <v>312</v>
      </c>
      <c r="B372" s="1075">
        <f>Grocery_Distance</f>
        <v>0</v>
      </c>
      <c r="C372" s="1164">
        <f>IF(B372=0,0,MIN(B$351,IF(County_Size="Small",IF(B372&lt;=G$356,J$356,IF(B372&lt;=G$357,J$357,IF(B372&lt;=G$358,J$358,IF(B372&lt;=G$359,J$359,IF(B372&lt;=G$360,J$360,IF(B372&lt;=G$361,J$361,IF(B372&lt;=G$362,J$362,IF(B372&lt;=G$363,J$363,0)))))))),IF(County_Size="Medium",IF(B372&lt;=H$356,J$356,IF(B372&lt;=H$357,J$357,IF(B372&lt;=H$358,J$358,IF(B372&lt;=H$359,J$359,IF(B372&lt;=H$360,J$360,IF(B372&lt;=H$361,J$361,IF(B372&lt;=H$362,J$362,IF(B372&lt;=H$363,J$363,0)))))))),IF(County_Size="Large",IF(B372&lt;=I$356,J$356,IF(B372&lt;=I$357,J$357,IF(B372&lt;=I$358,J$358,IF(B372&lt;=I$359,J$359,IF(B372&lt;=I$360,J$360,IF(B372&lt;=I$361,J$361,IF(B372&lt;=I$362,J$362,IF(B372&lt;=I$363,J$363,0)))))))),"")))))</f>
        <v>0</v>
      </c>
      <c r="D372" s="165">
        <f>RANK(C372,C$372:C$375,0)</f>
        <v>1</v>
      </c>
      <c r="E372" s="1177" t="s">
        <v>1326</v>
      </c>
      <c r="F372" s="1161" t="s">
        <v>315</v>
      </c>
      <c r="G372" s="1157">
        <f>G371</f>
        <v>2.25</v>
      </c>
      <c r="H372" s="1157">
        <f>H371</f>
        <v>2</v>
      </c>
      <c r="I372" s="1183">
        <f>I371</f>
        <v>2</v>
      </c>
      <c r="J372" s="1158">
        <v>0</v>
      </c>
      <c r="K372" s="1037"/>
      <c r="L372" s="1037"/>
    </row>
    <row r="373" spans="1:21">
      <c r="A373" t="s">
        <v>313</v>
      </c>
      <c r="B373" s="1075">
        <f>Medical_Distance</f>
        <v>0</v>
      </c>
      <c r="C373" s="1164">
        <f>IF(B373=0,0,MIN(B$351,IF(County_Size="Small",IF(B373&lt;=G$356,J$356,IF(B373&lt;=G$357,J$357,IF(B373&lt;=G$358,J$358,IF(B373&lt;=G$359,J$359,IF(B373&lt;=G$360,J$360,IF(B373&lt;=G$361,J$361,IF(B373&lt;=G$362,J$362,IF(B373&lt;=G$363,J$363,0)))))))),IF(County_Size="Medium",IF(B373&lt;=H$356,J$356,IF(B373&lt;=H$357,J$357,IF(B373&lt;=H$358,J$358,IF(B373&lt;=H$359,J$359,IF(B373&lt;=H$360,J$360,IF(B373&lt;=H$361,J$361,IF(B373&lt;=H$362,J$362,IF(B373&lt;=H$363,J$363,0)))))))),IF(County_Size="Large",IF(B373&lt;=I$356,J$356,IF(B373&lt;=I$357,J$357,IF(B373&lt;=I$358,J$358,IF(B373&lt;=I$359,J$359,IF(B373&lt;=I$360,J$360,IF(B373&lt;=I$361,J$361,IF(B373&lt;=I$362,J$362,IF(B373&lt;=I$363,J$363,0)))))))),"")))))</f>
        <v>0</v>
      </c>
      <c r="D373" s="165">
        <f>RANK(C373,C$372:C$375,0)</f>
        <v>1</v>
      </c>
      <c r="E373" s="1177" t="s">
        <v>1320</v>
      </c>
    </row>
    <row r="374" spans="1:21">
      <c r="A374" s="970" t="s">
        <v>314</v>
      </c>
      <c r="B374" s="1172">
        <f>Pharmacy_Distance</f>
        <v>0</v>
      </c>
      <c r="C374" s="1173">
        <f>IF(B374=0,0,MIN(B$351,IF(County_Size="Small",IF(B374&lt;=G$356,J$356,IF(B374&lt;=G$357,J$357,IF(B374&lt;=G$358,J$358,IF(B374&lt;=G$359,J$359,IF(B374&lt;=G$360,J$360,IF(B374&lt;=G$361,J$361,IF(B374&lt;=G$362,J$362,IF(B374&lt;=G$363,J$363,0)))))))),IF(County_Size="Medium",IF(B374&lt;=H$356,J$356,IF(B374&lt;=H$357,J$357,IF(B374&lt;=H$358,J$358,IF(B374&lt;=H$359,J$359,IF(B374&lt;=H$360,J$360,IF(B374&lt;=H$361,J$361,IF(B374&lt;=H$362,J$362,IF(B374&lt;=H$363,J$363,0)))))))),IF(County_Size="Large",IF(B374&lt;=I$356,J$356,IF(B374&lt;=I$357,J$357,IF(B374&lt;=I$358,J$358,IF(B374&lt;=I$359,J$359,IF(B374&lt;=I$360,J$360,IF(B374&lt;=I$361,J$361,IF(B374&lt;=I$362,J$362,IF(B374&lt;=I$363,J$363,0)))))))),"")))))</f>
        <v>0</v>
      </c>
      <c r="D374" s="165">
        <f>RANK(C374,C$372:C$375,0)</f>
        <v>1</v>
      </c>
      <c r="E374" s="1163" t="s">
        <v>1327</v>
      </c>
    </row>
    <row r="375" spans="1:21">
      <c r="A375" s="1037" t="s">
        <v>315</v>
      </c>
      <c r="B375" s="1166">
        <f>School_Distance</f>
        <v>0</v>
      </c>
      <c r="C375" s="1167">
        <f>IF(B375=0,0,MIN(B$351,IF(County_Size="Small",IF(B375&lt;=G$365,J$365,IF(B375&lt;=G$366,J$366,IF(B375&lt;=G$367,J$367,IF(B375&lt;=G$368,J$368,IF(B375&lt;=G$369,J$369,IF(B375&lt;=G$370,J$370,IF(B375&lt;=G$371,J$371,0))))))),IF(County_Size="Medium",IF(B375&lt;=H$365,J$365,IF(B375&lt;=H$366,J$366,IF(B375&lt;=H$367,J$367,IF(B375&lt;=H$368,J$368,IF(B375&lt;=H$369,J$369,IF(B375&lt;=H$370,J$370,IF(B375&lt;=H$371,J$371,0))))))),IF(County_Size="Large",IF(B375&lt;=I$365,J$365,IF(B375&lt;=I$366,J$366,IF(B375&lt;=I$367,J$367,IF(B375&lt;=I$368,J$368,IF(B375&lt;=I$369,J$369,IF(B375&lt;=I$370,J$370,IF(B375&lt;=I$371,J$371,0))))))),"")))))</f>
        <v>0</v>
      </c>
      <c r="D375" s="1178">
        <f>RANK(C375,C$372:C$375,0)</f>
        <v>1</v>
      </c>
      <c r="E375" s="1163" t="s">
        <v>1328</v>
      </c>
    </row>
    <row r="378" spans="1:21">
      <c r="A378" s="1073" t="s">
        <v>1242</v>
      </c>
      <c r="B378" s="2008">
        <f>COUNT('Proximity, Mand.Dist., RECAP'!H24:H26)</f>
        <v>0</v>
      </c>
      <c r="C378" s="2009"/>
      <c r="F378" s="1170" t="s">
        <v>1674</v>
      </c>
    </row>
    <row r="379" spans="1:21">
      <c r="A379" s="1074" t="s">
        <v>1243</v>
      </c>
      <c r="B379" s="2006">
        <f>MAX('Proximity, Mand.Dist., RECAP'!H24:H26)</f>
        <v>0</v>
      </c>
      <c r="C379" s="2007"/>
    </row>
    <row r="381" spans="1:21">
      <c r="A381" s="1108" t="s">
        <v>1312</v>
      </c>
    </row>
    <row r="382" spans="1:21">
      <c r="A382" s="1108" t="s">
        <v>1313</v>
      </c>
      <c r="F382" t="s">
        <v>2019</v>
      </c>
    </row>
    <row r="383" spans="1:21">
      <c r="F383" t="s">
        <v>12</v>
      </c>
    </row>
    <row r="384" spans="1:21">
      <c r="A384" s="792" t="s">
        <v>1271</v>
      </c>
    </row>
    <row r="385" spans="1:8">
      <c r="A385" t="s">
        <v>1486</v>
      </c>
    </row>
    <row r="386" spans="1:8">
      <c r="A386" t="s">
        <v>1832</v>
      </c>
      <c r="E386" s="1075"/>
    </row>
    <row r="388" spans="1:8" ht="30" customHeight="1">
      <c r="A388" s="1139" t="s">
        <v>966</v>
      </c>
      <c r="B388" s="108"/>
      <c r="C388" s="1132" t="s">
        <v>1342</v>
      </c>
      <c r="D388" s="1739" t="s">
        <v>1915</v>
      </c>
      <c r="E388" s="986" t="s">
        <v>964</v>
      </c>
    </row>
    <row r="389" spans="1:8">
      <c r="A389" t="s">
        <v>1890</v>
      </c>
      <c r="B389" s="1701">
        <v>30</v>
      </c>
      <c r="C389" s="1300" t="s">
        <v>192</v>
      </c>
      <c r="D389" s="1694">
        <v>1</v>
      </c>
      <c r="E389" s="137" t="s">
        <v>987</v>
      </c>
      <c r="F389" s="653" t="str">
        <f>IF(AND(Demographic="Persons with Developmental Disabilities",C389="Yes"),DS_Min_Units_PDD,IF(AND(Demographic="Persons with a Disabling Condition",C390="Yes"),DS_Min_Units_PDC,IF(AND(County="Monroe",C391="Yes"),DS_Min_Units_Keys,IF(AND(County="Miami-Dade",C392="Yes"),IF(MD_N_S=F323,DS_Min_Units_No_MiamiDade,DS_Min_Units_So_MiamiDade),IF(AND(County="Pinellas",C394="Yes"),DS_Min_Units_Pinellas,IF(AND(OR(County="Broward",County="Duval",County="Hillsborough",County="Orange",County="Palm Beach"),C395="Yes"),DS_Min_Units_6Large,IF(AND(County_Size="Small",C396="Yes"),DS_Min_Units_General_Small,IF(AND(County_Size="Medium",C397="Yes"),DS_Min_Units_General_Medium,IF(AND(County_Size="Large",C398="Yes"),DS_Min_Units_General_Large,"TBD")))))))))</f>
        <v>TBD</v>
      </c>
    </row>
    <row r="390" spans="1:8">
      <c r="A390" s="215" t="s">
        <v>1891</v>
      </c>
      <c r="B390" s="1701">
        <v>30</v>
      </c>
      <c r="C390" s="1300" t="s">
        <v>192</v>
      </c>
      <c r="D390" s="1694">
        <v>2</v>
      </c>
      <c r="E390" s="137"/>
    </row>
    <row r="391" spans="1:8">
      <c r="A391" t="s">
        <v>728</v>
      </c>
      <c r="B391" s="1536">
        <v>20</v>
      </c>
      <c r="C391" s="1217" t="s">
        <v>192</v>
      </c>
      <c r="D391" s="1694">
        <v>2</v>
      </c>
      <c r="E391" s="137"/>
    </row>
    <row r="392" spans="1:8">
      <c r="A392" t="s">
        <v>1123</v>
      </c>
      <c r="B392" s="1536">
        <v>75</v>
      </c>
      <c r="C392" s="2012" t="s">
        <v>192</v>
      </c>
      <c r="D392" s="1694">
        <v>3</v>
      </c>
      <c r="F392" t="s">
        <v>859</v>
      </c>
    </row>
    <row r="393" spans="1:8">
      <c r="A393" t="s">
        <v>1124</v>
      </c>
      <c r="B393" s="1538">
        <v>110</v>
      </c>
      <c r="C393" s="2013"/>
      <c r="D393" s="1694">
        <v>4</v>
      </c>
      <c r="F393" t="s">
        <v>860</v>
      </c>
    </row>
    <row r="394" spans="1:8">
      <c r="A394" t="s">
        <v>965</v>
      </c>
      <c r="B394" s="1701">
        <v>50</v>
      </c>
      <c r="C394" s="1300" t="s">
        <v>192</v>
      </c>
      <c r="D394" s="1694">
        <v>5</v>
      </c>
    </row>
    <row r="395" spans="1:8">
      <c r="A395" t="s">
        <v>1120</v>
      </c>
      <c r="B395" s="1701">
        <v>75</v>
      </c>
      <c r="C395" s="1300" t="s">
        <v>192</v>
      </c>
      <c r="D395" s="1694">
        <v>6</v>
      </c>
    </row>
    <row r="396" spans="1:8">
      <c r="A396" t="s">
        <v>1512</v>
      </c>
      <c r="B396" s="1538">
        <v>4</v>
      </c>
      <c r="C396" s="1300" t="s">
        <v>191</v>
      </c>
      <c r="D396" s="1694">
        <v>7</v>
      </c>
      <c r="F396" t="s">
        <v>1121</v>
      </c>
    </row>
    <row r="397" spans="1:8">
      <c r="A397" t="s">
        <v>1513</v>
      </c>
      <c r="B397" s="1538">
        <v>10</v>
      </c>
      <c r="C397" s="1301" t="s">
        <v>191</v>
      </c>
      <c r="D397" s="1694">
        <v>8</v>
      </c>
      <c r="F397" s="2"/>
    </row>
    <row r="398" spans="1:8">
      <c r="A398" s="970" t="s">
        <v>1514</v>
      </c>
      <c r="B398" s="1538">
        <v>10</v>
      </c>
      <c r="C398" s="1301" t="s">
        <v>191</v>
      </c>
      <c r="D398" s="1740">
        <v>9</v>
      </c>
      <c r="E398" s="970"/>
      <c r="F398" s="1702"/>
      <c r="G398" s="970"/>
      <c r="H398" s="970"/>
    </row>
    <row r="399" spans="1:8">
      <c r="A399" t="s">
        <v>1892</v>
      </c>
      <c r="B399" s="1701">
        <v>60</v>
      </c>
      <c r="C399" s="1300" t="s">
        <v>192</v>
      </c>
      <c r="D399" s="1694">
        <v>1</v>
      </c>
      <c r="E399" s="137" t="s">
        <v>988</v>
      </c>
      <c r="F399" s="653" t="str" cm="1">
        <f t="array" ref="F399">IF(AND(Demographic="Persons with Developmental Disabilities",C399="Yes"),DS_MaxUnits_PDD,IF(AND(Demographic="Persons with a Disabling Condition",C400="Yes"),DS_MaxUnits_PDC,IF(AND(OR(Development_Category="New Construction",Development_Category="Redevelopment",Development_Category="Acquisition and Redevelopment"),Demographic="Elderly Non-ALF",OR(County="Broward",County="Miami-Dade"),C401="Yes"),DS_MaxUnits_NC_E_BMD,IF(AND(OR(Development_Category="New Construction",Development_Category="Redevelopment",Development_Category="Acquisition and Redevelopment"),Demographic="Elderly Non-ALF",AND(County&lt;&gt;"Broward",County&lt;&gt;"Miami-Dade"),C402="Yes"),DS_MaxUnits_NC_E_NonBMD,IF(AND(OR(Development_Category="New Construction",Development_Category="Redevelopment",Development_Category="Acquisition and Redevelopment"),Demographic="Elderly ALF",C403="Yes"),DS_MaxUnits_NC_ALF,IF(AND(AND(Development_Category&lt;&gt;"New Construction",Development_Category&lt;&gt;"Redevelopment",Development_Category&lt;&gt;"Acquisition and Redevelopment"),Demographic="Elderly ALF",C405="Yes"),DS_MaxUnits_NotNC_ALF,IF(AND(OR(Development_Category="New Construction",Development_Category="Redevelopment",Development_Category="Acquisition and Redevelopment"),Demographic="Family",N(MMRB_Request_Amount)&gt;0,C406="Yes"),DS_MaxUnits_NC_F_MMRB,IF(AND(OR(Development_Category="Preservation",Development_Category="Acquisition and Preservation"),OR(Demographic="Family",Demographic="Elderly Non-ALF",Demographic="Persons with a Disability"),C407="Yes"),DS_MaxUnits_Pres,IF(AND(Demographic="Elderly Non-ALF",OR(Development_Category="Rehabilitation",Development_Category="Acquisition and Rehabilitation"),OR(occupancy_status="Existing Units are currently occupied",occupancy_status="Existing Units are at least 75% occupied currently"),C408="Yes"),DS_MaxUnits_E_OccRehab,IF(AND(Demographic="Elderly Non-ALF",OR(Development_Category="Rehabilitation",Development_Category="Acquisition and Rehabilitation"),AND(occupancy_status&lt;&gt;"Existing Units are currently occupied",occupancy_status&lt;&gt;"Existing Units are at least 75% occupied currently"),C409="Yes"),DS_MaxUnits_E_NonOccRehab,IF(AND(Demographic="Family",C410="Yes"),DS_MaxUnits_Fam,IF(AND(County_Size="Small",C411="Yes"),DS_MaxUnits_General_Small,IF(AND(County_Size="Medium",C412="Yes"),DS_MaxUnits_General_Medium,IF(AND(County_Size="Large",C413="Yes"),DS_MaxUnits_General_Large,IF(County="&lt;select one&gt;","TBD","No Limit")))))))))))))))</f>
        <v>TBD</v>
      </c>
      <c r="G399" t="s">
        <v>1894</v>
      </c>
    </row>
    <row r="400" spans="1:8">
      <c r="A400" t="s">
        <v>1893</v>
      </c>
      <c r="B400" s="1750" t="s">
        <v>1935</v>
      </c>
      <c r="C400" s="1300" t="s">
        <v>192</v>
      </c>
      <c r="D400" s="1694">
        <v>2</v>
      </c>
      <c r="E400" s="215"/>
      <c r="F400" s="215"/>
    </row>
    <row r="401" spans="1:8">
      <c r="A401" t="s">
        <v>985</v>
      </c>
      <c r="B401" s="1750">
        <v>200</v>
      </c>
      <c r="C401" s="1301" t="s">
        <v>192</v>
      </c>
      <c r="D401" s="1694">
        <v>3</v>
      </c>
      <c r="E401" s="215"/>
      <c r="F401" t="s">
        <v>986</v>
      </c>
      <c r="G401" t="s">
        <v>8</v>
      </c>
    </row>
    <row r="402" spans="1:8">
      <c r="A402" t="s">
        <v>1122</v>
      </c>
      <c r="B402" s="1750">
        <v>160</v>
      </c>
      <c r="C402" s="1301" t="s">
        <v>192</v>
      </c>
      <c r="D402" s="1694">
        <v>4</v>
      </c>
      <c r="F402" t="s">
        <v>986</v>
      </c>
      <c r="G402" t="s">
        <v>8</v>
      </c>
    </row>
    <row r="403" spans="1:8">
      <c r="A403" t="s">
        <v>2117</v>
      </c>
      <c r="B403" s="1935">
        <v>125</v>
      </c>
      <c r="C403" s="1301" t="s">
        <v>192</v>
      </c>
      <c r="D403" s="1694">
        <v>5</v>
      </c>
      <c r="F403" t="s">
        <v>986</v>
      </c>
      <c r="G403" t="s">
        <v>9</v>
      </c>
    </row>
    <row r="404" spans="1:8">
      <c r="A404" t="s">
        <v>2118</v>
      </c>
      <c r="B404" s="1935">
        <v>125</v>
      </c>
      <c r="C404" s="1301" t="s">
        <v>192</v>
      </c>
      <c r="D404" s="1934">
        <v>6</v>
      </c>
      <c r="F404" t="s">
        <v>2119</v>
      </c>
      <c r="G404" t="s">
        <v>9</v>
      </c>
    </row>
    <row r="405" spans="1:8">
      <c r="A405" t="s">
        <v>1127</v>
      </c>
      <c r="B405" s="1750">
        <v>300</v>
      </c>
      <c r="C405" s="1301" t="s">
        <v>192</v>
      </c>
      <c r="D405" s="1934">
        <v>7</v>
      </c>
      <c r="F405" t="s">
        <v>986</v>
      </c>
      <c r="G405" t="s">
        <v>7</v>
      </c>
    </row>
    <row r="406" spans="1:8">
      <c r="A406" t="s">
        <v>1126</v>
      </c>
      <c r="B406" s="1750">
        <v>250</v>
      </c>
      <c r="C406" s="1301" t="s">
        <v>192</v>
      </c>
      <c r="D406" s="1934">
        <v>8</v>
      </c>
      <c r="F406" t="s">
        <v>2120</v>
      </c>
      <c r="G406" t="s">
        <v>1125</v>
      </c>
    </row>
    <row r="407" spans="1:8">
      <c r="A407" t="s">
        <v>1932</v>
      </c>
      <c r="B407" s="1750" t="s">
        <v>1935</v>
      </c>
      <c r="C407" s="1301" t="s">
        <v>192</v>
      </c>
      <c r="D407" s="1934">
        <v>9</v>
      </c>
      <c r="F407" t="s">
        <v>2121</v>
      </c>
    </row>
    <row r="408" spans="1:8">
      <c r="A408" t="s">
        <v>1933</v>
      </c>
      <c r="B408" s="1750">
        <v>160</v>
      </c>
      <c r="C408" s="1301" t="s">
        <v>192</v>
      </c>
      <c r="D408" s="1934">
        <v>10</v>
      </c>
      <c r="F408" t="s">
        <v>2122</v>
      </c>
    </row>
    <row r="409" spans="1:8">
      <c r="A409" t="s">
        <v>1934</v>
      </c>
      <c r="B409" s="1750" t="s">
        <v>1935</v>
      </c>
      <c r="C409" s="1301" t="s">
        <v>192</v>
      </c>
      <c r="D409" s="1934">
        <v>11</v>
      </c>
    </row>
    <row r="410" spans="1:8">
      <c r="A410" t="s">
        <v>1515</v>
      </c>
      <c r="B410" s="1750">
        <v>15</v>
      </c>
      <c r="C410" s="1300" t="s">
        <v>191</v>
      </c>
      <c r="D410" s="1934">
        <v>12</v>
      </c>
    </row>
    <row r="411" spans="1:8">
      <c r="A411" t="s">
        <v>1516</v>
      </c>
      <c r="B411" s="1750">
        <v>30</v>
      </c>
      <c r="C411" s="1301" t="s">
        <v>191</v>
      </c>
      <c r="D411" s="1934">
        <v>13</v>
      </c>
    </row>
    <row r="412" spans="1:8">
      <c r="A412" s="970" t="s">
        <v>1517</v>
      </c>
      <c r="B412" s="1750">
        <v>30</v>
      </c>
      <c r="C412" s="1300" t="s">
        <v>191</v>
      </c>
      <c r="D412" s="1740">
        <v>14</v>
      </c>
      <c r="E412" s="970"/>
      <c r="F412" s="970"/>
      <c r="G412" s="970"/>
      <c r="H412" s="970"/>
    </row>
    <row r="414" spans="1:8" ht="18" customHeight="1">
      <c r="A414" s="1139" t="s">
        <v>455</v>
      </c>
      <c r="B414" s="1140" t="s">
        <v>4</v>
      </c>
      <c r="C414" s="1140" t="s">
        <v>5</v>
      </c>
      <c r="D414" s="1140" t="s">
        <v>6</v>
      </c>
      <c r="E414" s="986" t="s">
        <v>959</v>
      </c>
      <c r="F414" s="111" t="s">
        <v>2</v>
      </c>
    </row>
    <row r="415" spans="1:8">
      <c r="A415" s="104" t="str">
        <f>"Existing Units are "&amp;IF(B$419="No","currently occupied","at least 75% occupied currently")</f>
        <v>Existing Units are currently occupied</v>
      </c>
      <c r="B415" s="102">
        <v>1</v>
      </c>
      <c r="C415" s="105">
        <f>IF(B415&lt;&gt;1,"",SUM(B$415:B415))</f>
        <v>1</v>
      </c>
      <c r="D415" s="102">
        <v>1</v>
      </c>
      <c r="F415" s="163" t="str">
        <f>IF(COUNTA($A$415:$A415)&lt;=MAX(DS_Occ_Sequence)=TRUE,LOOKUP(COUNTA($A$415:$A415),DS_Occ_Sequence,DS_Occ_DataNames),"")</f>
        <v>Existing Units are currently occupied</v>
      </c>
    </row>
    <row r="416" spans="1:8">
      <c r="A416" s="104" t="str">
        <f>"Existing Units are not "&amp;IF(B$419="No","currently occupied","at least 75% occupied currently")</f>
        <v>Existing Units are not currently occupied</v>
      </c>
      <c r="B416" s="102">
        <v>1</v>
      </c>
      <c r="C416" s="105">
        <f>IF(B416&lt;&gt;1,"",SUM(B$415:B416))</f>
        <v>2</v>
      </c>
      <c r="D416" s="102">
        <v>2</v>
      </c>
      <c r="F416" s="163" t="str">
        <f>IF(COUNTA($A$415:$A416)&lt;=MAX(DS_Occ_Sequence)=TRUE,LOOKUP(COUNTA($A$415:$A416),DS_Occ_Sequence,DS_Occ_DataNames),"")</f>
        <v>Existing Units are not currently occupied</v>
      </c>
    </row>
    <row r="417" spans="1:15">
      <c r="A417" s="104" t="s">
        <v>119</v>
      </c>
      <c r="B417" s="102">
        <v>1</v>
      </c>
      <c r="C417" s="105">
        <f>IF(B417&lt;&gt;1,"",SUM(B$415:B417))</f>
        <v>3</v>
      </c>
      <c r="D417" s="102">
        <v>3</v>
      </c>
      <c r="F417" s="163" t="str">
        <f>IF(COUNTA($A$415:$A417)&lt;=MAX(DS_Occ_Sequence)=TRUE,LOOKUP(COUNTA($A$415:$A417),DS_Occ_Sequence,DS_Occ_DataNames),"")</f>
        <v>There are no existing units</v>
      </c>
    </row>
    <row r="418" spans="1:15" ht="5.15" customHeight="1">
      <c r="A418" s="725"/>
      <c r="B418" s="879"/>
      <c r="C418" s="729"/>
      <c r="D418" s="879"/>
      <c r="E418" s="203"/>
      <c r="F418" s="203"/>
    </row>
    <row r="419" spans="1:15">
      <c r="A419" s="725" t="s">
        <v>2036</v>
      </c>
      <c r="B419" s="1300" t="s">
        <v>192</v>
      </c>
      <c r="C419" s="729"/>
      <c r="D419" s="879"/>
      <c r="E419" s="203"/>
      <c r="F419" s="203"/>
    </row>
    <row r="421" spans="1:15" ht="18" customHeight="1">
      <c r="A421" s="1139" t="s">
        <v>456</v>
      </c>
      <c r="B421" s="1140" t="s">
        <v>4</v>
      </c>
      <c r="C421" s="1140" t="s">
        <v>5</v>
      </c>
      <c r="D421" s="1140" t="s">
        <v>6</v>
      </c>
      <c r="E421" s="986" t="s">
        <v>960</v>
      </c>
      <c r="F421" s="111" t="s">
        <v>2</v>
      </c>
    </row>
    <row r="422" spans="1:15">
      <c r="A422" s="104" t="s">
        <v>120</v>
      </c>
      <c r="B422" s="102"/>
      <c r="C422" s="105" t="str">
        <f>IF(B422&lt;&gt;1,"",SUM(B$422:B422))</f>
        <v/>
      </c>
      <c r="D422" s="102">
        <v>1</v>
      </c>
      <c r="F422" s="163" t="str">
        <f>IF(COUNTA($A$422:$A422)&lt;=MAX(DS_MinIRS_Sequence)=TRUE,LOOKUP(COUNTA($A$422:$A422),DS_MinIRS_Sequence,DS_MinIRS_DataNames),"")</f>
        <v>SAIL, HOME-ARP, NHTF Funding Set-Aside Commitment</v>
      </c>
      <c r="I422" s="733"/>
      <c r="J422" s="733"/>
      <c r="K422" s="733"/>
      <c r="L422" s="733"/>
      <c r="M422" s="733"/>
      <c r="N422" s="733"/>
      <c r="O422" s="733"/>
    </row>
    <row r="423" spans="1:15">
      <c r="A423" s="104" t="s">
        <v>1036</v>
      </c>
      <c r="B423" s="102"/>
      <c r="C423" s="105" t="str">
        <f>IF(B423&lt;&gt;1,"",SUM(B$422:B423))</f>
        <v/>
      </c>
      <c r="D423" s="102">
        <v>2</v>
      </c>
      <c r="F423" s="163" t="str">
        <f>IF(COUNTA($A$422:$A423)&lt;=MAX(DS_MinIRS_Sequence)=TRUE,LOOKUP(COUNTA($A$422:$A423),DS_MinIRS_Sequence,DS_MinIRS_DataNames),"")</f>
        <v/>
      </c>
      <c r="I423" s="733"/>
      <c r="J423" s="733"/>
      <c r="K423" s="733"/>
      <c r="L423" s="733"/>
      <c r="M423" s="733"/>
      <c r="N423" s="733"/>
      <c r="O423" s="733"/>
    </row>
    <row r="424" spans="1:15">
      <c r="A424" s="104" t="s">
        <v>121</v>
      </c>
      <c r="B424" s="102"/>
      <c r="C424" s="105" t="str">
        <f>IF(B424&lt;&gt;1,"",SUM(B$422:B424))</f>
        <v/>
      </c>
      <c r="D424" s="102">
        <v>3</v>
      </c>
      <c r="F424" s="163" t="str">
        <f>IF(COUNTA($A$422:$A424)&lt;=MAX(DS_MinIRS_Sequence)=TRUE,LOOKUP(COUNTA($A$422:$A424),DS_MinIRS_Sequence,DS_MinIRS_DataNames),"")</f>
        <v/>
      </c>
      <c r="I424" s="733"/>
      <c r="J424" s="733"/>
      <c r="K424" s="733"/>
      <c r="L424" s="733"/>
      <c r="M424" s="733"/>
      <c r="N424" s="733"/>
      <c r="O424" s="733"/>
    </row>
    <row r="425" spans="1:15">
      <c r="A425" s="640" t="str">
        <f>DS_Loan_Name&amp;" Funding Set-Aside Commitment"</f>
        <v>SAIL, HOME-ARP, NHTF Funding Set-Aside Commitment</v>
      </c>
      <c r="B425" s="102">
        <v>1</v>
      </c>
      <c r="C425" s="105">
        <f>IF(B425&lt;&gt;1,"",SUM(B$422:B425))</f>
        <v>1</v>
      </c>
      <c r="D425" s="102">
        <v>4</v>
      </c>
      <c r="F425" s="163" t="str">
        <f>IF(COUNTA($A$422:$A425)&lt;=MAX(DS_MinIRS_Sequence)=TRUE,LOOKUP(COUNTA($A$422:$A425),DS_MinIRS_Sequence,DS_MinIRS_DataNames),"")</f>
        <v/>
      </c>
      <c r="I425" s="733"/>
      <c r="J425" s="733"/>
      <c r="K425" s="733"/>
      <c r="L425" s="733"/>
      <c r="M425" s="733"/>
      <c r="N425" s="733"/>
      <c r="O425" s="733"/>
    </row>
    <row r="426" spans="1:15">
      <c r="I426" s="733"/>
      <c r="J426" s="733"/>
      <c r="K426" s="733"/>
      <c r="L426" s="733"/>
      <c r="M426" s="733"/>
      <c r="N426" s="733"/>
      <c r="O426" s="733"/>
    </row>
    <row r="427" spans="1:15" ht="18" customHeight="1">
      <c r="A427" s="1139" t="s">
        <v>1019</v>
      </c>
      <c r="B427" s="108"/>
      <c r="C427" s="1132" t="s">
        <v>1342</v>
      </c>
      <c r="D427" s="108"/>
      <c r="E427" s="986" t="s">
        <v>1018</v>
      </c>
      <c r="G427" s="211" t="s">
        <v>1022</v>
      </c>
      <c r="H427" s="211" t="s">
        <v>1030</v>
      </c>
      <c r="I427" s="211" t="s">
        <v>1033</v>
      </c>
      <c r="J427" s="211" t="s">
        <v>1034</v>
      </c>
      <c r="K427" s="733"/>
      <c r="L427" s="733"/>
      <c r="M427" s="733"/>
      <c r="N427" s="733"/>
      <c r="O427" s="733"/>
    </row>
    <row r="428" spans="1:15">
      <c r="A428" s="696" t="s">
        <v>1158</v>
      </c>
      <c r="B428" s="809">
        <v>0.8</v>
      </c>
      <c r="C428" s="1300" t="s">
        <v>191</v>
      </c>
      <c r="D428" s="725" t="str">
        <f>TEXT(B428,"0%")&amp;" of Total Units "&amp;IF(C428="No","is not applicable","["&amp;TEXT(ROUNDUP(Total_Units*B428,0),"0")&amp;" units] (maximum of "&amp;TEXT(1-B428,"0%")&amp;" Market Rate ["&amp;TEXT(Total_Units-ROUNDUP(Total_Units*B428,0),"0")&amp;" units])")</f>
        <v>80% of Total Units [0 units] (maximum of 20% Market Rate [0 units])</v>
      </c>
      <c r="E428" s="696"/>
      <c r="F428" s="696"/>
      <c r="G428" s="716">
        <f>IF(Minimum_SetAside_per_Sec_42=Data1!A$422,SUM('Units, Set-Asides, Bldgs'!G$20:G$27)+IF('Units, Set-Asides, Bldgs'!P$32=0,Workforce_AMI_non_avg_inc,0),IF(Minimum_SetAside_per_Sec_42=Data1!A$423,SUM('Units, Set-Asides, Bldgs'!G$20:G$28)+IF('Units, Set-Asides, Bldgs'!P$32=0,Workforce_AMI_non_avg_inc,0),IF(Minimum_SetAside_per_Sec_42=Data1!A$424,SUM('Units, Set-Asides, Bldgs'!G$39:G$45)+IF('Units, Set-Asides, Bldgs'!P$32=0,'Units, Set-Asides, Bldgs'!G46,0),IF(Minimum_SetAside_per_Sec_42=Data1!A$425,SUM('Units, Set-Asides, Bldgs'!G$20:G$27)+IF('Units, Set-Asides, Bldgs'!P32=0,Workforce_AMI_non_avg_inc,0),0))))</f>
        <v>0</v>
      </c>
      <c r="H428" s="726" t="str">
        <f>IF(Minimum_SetAside_per_Sec_42=Data1!A$424,IF(C428="Yes",IF(Data1!J428&gt;=Data1!I428,"Yes","No"),"NA"),IF(C428="Yes",IF(G428&gt;=B428,"Yes","No"),"NA"))</f>
        <v>No</v>
      </c>
      <c r="I428" s="726">
        <f>IF(C428="Yes",ROUNDUP(B428*Total_Units,0),"NA")</f>
        <v>0</v>
      </c>
      <c r="J428" s="917">
        <f>SUM('Units, Set-Asides, Bldgs'!F39:F45)+IF('Units, Set-Asides, Bldgs'!P32=0,Market_Avg_Income_Units,0)</f>
        <v>0</v>
      </c>
      <c r="M428" s="733"/>
      <c r="N428" s="733"/>
      <c r="O428" s="733"/>
    </row>
    <row r="429" spans="1:15">
      <c r="A429" s="1134" t="s">
        <v>1936</v>
      </c>
      <c r="B429" s="1141">
        <v>75</v>
      </c>
      <c r="C429" s="1300" t="s">
        <v>192</v>
      </c>
      <c r="D429" s="1762" t="s">
        <v>1937</v>
      </c>
      <c r="E429" s="1134"/>
      <c r="F429" s="1134"/>
      <c r="G429" s="1765">
        <f>IF(Minimum_SetAside_per_Sec_42=Data1!A$422,SUM('Units, Set-Asides, Bldgs'!F20:F27)+IF('Units, Set-Asides, Bldgs'!P$32=0,'Units, Set-Asides, Bldgs'!F30,0),IF(Minimum_SetAside_per_Sec_42=Data1!A$423,SUM('Units, Set-Asides, Bldgs'!F$20:F$28)+IF('Units, Set-Asides, Bldgs'!P$32=0,'Units, Set-Asides, Bldgs'!F30,0),IF(Minimum_SetAside_per_Sec_42=Data1!A$424,SUM('Units, Set-Asides, Bldgs'!F$39:F$45)+IF('Units, Set-Asides, Bldgs'!P$32=0,'Units, Set-Asides, Bldgs'!F46,0),IF(Minimum_SetAside_per_Sec_42=Data1!A$425,SUM('Units, Set-Asides, Bldgs'!F$20:F$27)+IF('Units, Set-Asides, Bldgs'!P32=0,'Units, Set-Asides, Bldgs'!F30,0),0))))</f>
        <v>0</v>
      </c>
      <c r="H429" s="1763" t="str">
        <f>IF(C429="Yes",IF(Data1!G429&gt;=Data1!B429,"Yes","No"),"NA")</f>
        <v>NA</v>
      </c>
      <c r="I429" s="1763"/>
      <c r="J429" s="1764"/>
      <c r="M429" s="733"/>
      <c r="N429" s="733"/>
      <c r="O429" s="733"/>
    </row>
    <row r="430" spans="1:15">
      <c r="M430" s="733"/>
      <c r="N430" s="733"/>
      <c r="O430" s="733"/>
    </row>
    <row r="431" spans="1:15" ht="14.5" customHeight="1">
      <c r="A431" s="1000" t="s">
        <v>1197</v>
      </c>
      <c r="E431" s="618"/>
      <c r="G431" s="211"/>
      <c r="H431" s="211"/>
      <c r="I431" s="211"/>
      <c r="J431" s="211"/>
      <c r="K431" s="733"/>
      <c r="L431" s="733"/>
      <c r="M431" s="733"/>
      <c r="N431" s="733"/>
      <c r="O431" s="733"/>
    </row>
    <row r="432" spans="1:15" ht="14.5" customHeight="1">
      <c r="A432" s="683" t="s">
        <v>1154</v>
      </c>
      <c r="B432" s="695">
        <f>IF(Minimum_SetAside_per_Sec_42=Data1!A$422,20%,40%)</f>
        <v>0.4</v>
      </c>
      <c r="C432" s="683" t="str">
        <f>"of Total Units ["&amp;TEXT(ROUNDUP(Total_Units*B432,0),"0")&amp;" units] (maximum of "&amp;TEXT(1-B432,"0%")&amp;" Market Rate ["&amp;TEXT(Total_Units-ROUNDUP(Total_Units*B432,0),"0")&amp;" units])"</f>
        <v>of Total Units [0 units] (maximum of 60% Market Rate [0 units])</v>
      </c>
      <c r="D432" s="696"/>
      <c r="E432" s="696"/>
      <c r="F432" s="696"/>
      <c r="G432" s="716">
        <f>IF(Minimum_SetAside_per_Sec_42=Data1!A$422,SUM('Units, Set-Asides, Bldgs'!G$20:G$27),IF(Minimum_SetAside_per_Sec_42=Data1!A$423,SUM('Units, Set-Asides, Bldgs'!G$20:G$28),IF(Minimum_SetAside_per_Sec_42=Data1!A$424,SUM('Units, Set-Asides, Bldgs'!G$39:G$45),0)))</f>
        <v>0</v>
      </c>
      <c r="H432" s="726" t="str">
        <f>IF(Minimum_SetAside_per_Sec_42=Data1!A$424,IF(Data1!J432&gt;=Data1!I432,"Yes","No"),IF(OR(Minimum_SetAside_per_Sec_42=Data1!A422,Minimum_SetAside_per_Sec_42=Data1!A423),IF(G432&gt;=B432,"Yes","No"),"NA"))</f>
        <v>NA</v>
      </c>
      <c r="I432" s="726">
        <f>ROUNDUP(B432*Total_Units,0)</f>
        <v>0</v>
      </c>
      <c r="J432" s="726">
        <f>IF(Minimum_SetAside_per_Sec_42=Data1!A$424,SUM('Units, Set-Asides, Bldgs'!F$39:F$45),0)</f>
        <v>0</v>
      </c>
      <c r="K432" s="733"/>
      <c r="L432" s="733"/>
      <c r="M432" s="733"/>
      <c r="N432" s="733"/>
      <c r="O432" s="733"/>
    </row>
    <row r="433" spans="1:15">
      <c r="A433" s="696" t="s">
        <v>1152</v>
      </c>
      <c r="B433" s="695">
        <f>IF(Minimum_SetAside_per_Sec_42=Data1!A$422,25%,45%)</f>
        <v>0.45</v>
      </c>
      <c r="C433" s="952" t="s">
        <v>1156</v>
      </c>
      <c r="D433" s="911"/>
      <c r="E433" s="476"/>
      <c r="F433" s="912"/>
      <c r="G433" s="716">
        <f>IF(Minimum_SetAside_per_Sec_42=Data1!A$422,SUM('Units, Set-Asides, Bldgs'!G$20:G$27),IF(Minimum_SetAside_per_Sec_42=Data1!A$423,SUM('Units, Set-Asides, Bldgs'!G$20:G$28),IF(Minimum_SetAside_per_Sec_42=Data1!A$424,SUM('Units, Set-Asides, Bldgs'!G$39:G$43),0)))</f>
        <v>0</v>
      </c>
      <c r="H433" s="913" t="str">
        <f>IF(OR(Minimum_SetAside_per_Sec_42=Data1!A422,Minimum_SetAside_per_Sec_42=Data1!A423),IF(G433&gt;=B433,"Yes","No"),IF(Minimum_SetAside_per_Sec_42=Data1!A424,IF(J433&gt;=I433,"Yes","No"),"NA"))</f>
        <v>NA</v>
      </c>
      <c r="I433" s="913">
        <f>ROUNDUP(Data1!B433*Total_Units,0)</f>
        <v>0</v>
      </c>
      <c r="J433" s="913">
        <f>IF(Minimum_SetAside_per_Sec_42=Data1!A$424,SUM('Units, Set-Asides, Bldgs'!F$39:F$43),0)</f>
        <v>0</v>
      </c>
      <c r="K433" s="733"/>
      <c r="L433" s="733"/>
      <c r="M433" s="733"/>
      <c r="N433" s="733"/>
      <c r="O433" s="733"/>
    </row>
    <row r="434" spans="1:15">
      <c r="A434" s="685" t="s">
        <v>1153</v>
      </c>
      <c r="B434" s="698">
        <f>IF(Minimum_SetAside_per_Sec_42=Data1!A$422,30%,50%)</f>
        <v>0.5</v>
      </c>
      <c r="C434" s="952" t="s">
        <v>1157</v>
      </c>
      <c r="D434" s="732"/>
      <c r="E434" s="685"/>
      <c r="F434" s="697"/>
      <c r="G434" s="685"/>
      <c r="H434" s="731" t="str">
        <f>IF(OR(Minimum_SetAside_per_Sec_42=Data1!A422,Minimum_SetAside_per_Sec_42=Data1!A423),IF(G433&lt;=B434,"Yes","No"),IF(Minimum_SetAside_per_Sec_42=Data1!A424,IF(J433&lt;=I434,"Yes","No"),"NA"))</f>
        <v>NA</v>
      </c>
      <c r="I434" s="731">
        <f>ROUNDUP(Data1!B434*Total_Units,0)</f>
        <v>0</v>
      </c>
      <c r="J434" s="731"/>
      <c r="K434" s="733"/>
      <c r="L434" s="733"/>
      <c r="M434" s="733"/>
      <c r="N434" s="733"/>
      <c r="O434" s="733"/>
    </row>
    <row r="435" spans="1:15">
      <c r="A435" s="697" t="s">
        <v>1151</v>
      </c>
      <c r="B435" s="694">
        <v>0.5</v>
      </c>
      <c r="C435" s="685" t="s">
        <v>1159</v>
      </c>
      <c r="D435" s="697"/>
      <c r="E435" s="697"/>
      <c r="F435" s="697"/>
      <c r="G435" s="1004" t="str">
        <f>IF(Demographic&lt;&gt;"Elderly ALF","NA",IF(OR(Minimum_SetAside_per_Sec_42=Data1!A422,Minimum_SetAside_per_Sec_42=Data1!A423),NonAIT_HC_SA_Percent,IF(Minimum_SetAside_per_Sec_42="Average Income Test",AIT_HC_SA_Percent,0)))</f>
        <v>NA</v>
      </c>
      <c r="H435" s="728" t="str">
        <f>IF(OR(Demographic&lt;&gt;"Elderly ALF",AND(Minimum_SetAside_per_Sec_42&lt;&gt;Data1!A422,Minimum_SetAside_per_Sec_42&lt;&gt;Data1!A423,Minimum_SetAside_per_Sec_42&lt;&gt;"Average Income Test")),"NA",IF(OR(AND(OR(Minimum_SetAside_per_Sec_42=Data1!A422,Minimum_SetAside_per_Sec_42=Data1!A423),NonAIT_HC_SA_Percent&gt;=Data1!B435),AND(Minimum_SetAside_per_Sec_42="Average Income Test",AIT_HC_SA_Percent&gt;=Data1!B435)),"Yes","No"))</f>
        <v>NA</v>
      </c>
      <c r="I435" s="728"/>
      <c r="J435" s="916"/>
      <c r="K435" s="733"/>
      <c r="L435" s="733"/>
      <c r="M435" s="733"/>
      <c r="N435" s="733"/>
      <c r="O435" s="733"/>
    </row>
    <row r="436" spans="1:15">
      <c r="A436" s="855" t="s">
        <v>1155</v>
      </c>
      <c r="B436" s="692">
        <v>0.8</v>
      </c>
      <c r="C436" s="856"/>
      <c r="D436" s="855"/>
      <c r="E436" s="855"/>
      <c r="F436" s="855"/>
      <c r="G436" s="914" t="str">
        <f>IF(OR(NonProfit_Applicant&lt;&gt;"Yes",AND(Minimum_SetAside_per_Sec_42&lt;&gt;Data1!A422,Minimum_SetAside_per_Sec_42&lt;&gt;Data1!A423,Minimum_SetAside_per_Sec_42&lt;&gt;"Average Income Test")),"NA",IF(OR(Minimum_SetAside_per_Sec_42=Data1!A422,Minimum_SetAside_per_Sec_42=Data1!A423),NonAIT_HC_SA_Percent,IF(Minimum_SetAside_per_Sec_42="Average Income Test",AIT_HC_SA_Percent,0)))</f>
        <v>NA</v>
      </c>
      <c r="H436" s="1003" t="str">
        <f>IF(OR(NonProfit_Applicant&lt;&gt;"Yes",AND(Minimum_SetAside_per_Sec_42&lt;&gt;Data1!A422,Minimum_SetAside_per_Sec_42&lt;&gt;Data1!A423,Minimum_SetAside_per_Sec_42&lt;&gt;"Average Income Test")),"NA",IF(OR(AND(OR(Minimum_SetAside_per_Sec_42=Data1!A422,Minimum_SetAside_per_Sec_42=Data1!A423),NonAIT_HC_SA_Percent&gt;=Data1!B436),AND(Minimum_SetAside_per_Sec_42="Average Income Test",AIT_HC_SA_Percent&gt;=Data1!B436)),"Yes","No"))</f>
        <v>NA</v>
      </c>
      <c r="I436" s="763"/>
      <c r="J436" s="915"/>
      <c r="K436" s="733"/>
      <c r="L436" s="733"/>
      <c r="M436" s="215"/>
      <c r="N436" s="733"/>
      <c r="O436" s="733"/>
    </row>
    <row r="437" spans="1:15">
      <c r="A437" s="1014" t="s">
        <v>1023</v>
      </c>
      <c r="B437" s="685"/>
      <c r="C437" s="693"/>
      <c r="D437" s="685"/>
      <c r="E437" s="685"/>
      <c r="F437" s="685"/>
      <c r="G437" s="685"/>
      <c r="H437" s="731" t="str">
        <f>IF(J437&lt;=60%,"Yes","No")</f>
        <v>Yes</v>
      </c>
      <c r="I437" s="1015">
        <v>0.6</v>
      </c>
      <c r="J437" s="1004">
        <f>IF(Minimum_SetAside_per_Sec_42=Data1!A424,avg_AMI_HC_Units_in_avg_inc_chart,0)</f>
        <v>0</v>
      </c>
      <c r="K437" s="733"/>
      <c r="L437" s="733"/>
      <c r="M437" s="1541"/>
      <c r="N437" s="733"/>
      <c r="O437" s="733"/>
    </row>
    <row r="438" spans="1:15">
      <c r="A438" s="1010"/>
      <c r="B438" s="215"/>
      <c r="C438" s="109"/>
      <c r="D438" s="215"/>
      <c r="E438" s="215"/>
      <c r="F438" s="215"/>
      <c r="G438" s="215"/>
      <c r="H438" s="1011"/>
      <c r="I438" s="1012"/>
      <c r="J438" s="1013"/>
      <c r="K438" s="733"/>
      <c r="L438" s="733"/>
      <c r="M438" s="733"/>
      <c r="N438" s="733"/>
      <c r="O438" s="733"/>
    </row>
    <row r="439" spans="1:15">
      <c r="A439" s="1001" t="s">
        <v>1198</v>
      </c>
      <c r="B439" s="215"/>
      <c r="C439" s="215"/>
      <c r="D439" s="215"/>
      <c r="L439" s="733"/>
      <c r="M439" s="733"/>
      <c r="N439" s="733"/>
      <c r="O439" s="733"/>
    </row>
    <row r="440" spans="1:15">
      <c r="A440" s="696" t="s">
        <v>1144</v>
      </c>
      <c r="B440" s="2005" t="s">
        <v>2090</v>
      </c>
      <c r="C440" s="2005"/>
      <c r="D440" s="2005"/>
      <c r="E440" s="1703" t="s">
        <v>1895</v>
      </c>
      <c r="F440" s="1703"/>
      <c r="G440" s="716"/>
      <c r="H440" s="726"/>
      <c r="I440" s="726"/>
      <c r="J440" s="917"/>
      <c r="K440" s="733"/>
      <c r="L440" s="733"/>
      <c r="M440" s="733"/>
      <c r="N440" s="733"/>
      <c r="O440" s="733"/>
    </row>
    <row r="441" spans="1:15">
      <c r="A441" s="699" t="s">
        <v>1031</v>
      </c>
      <c r="B441" s="700">
        <v>1</v>
      </c>
      <c r="C441" s="718" t="str">
        <f>"of Total Units ["&amp;TEXT(ROUNDUP(Total_Units*B441,0),"0")&amp;" units] (maximum of "&amp;TEXT(1-B441,"0%")&amp;" Market Rate ["&amp;TEXT(Total_Units-ROUNDUP(Total_Units*B441,0),"0")&amp;" units])"</f>
        <v>of Total Units [0 units] (maximum of 0% Market Rate [0 units])</v>
      </c>
      <c r="D441" s="699"/>
      <c r="E441" s="699"/>
      <c r="F441" s="699"/>
      <c r="G441" s="716">
        <f>IF(Minimum_SetAside_per_Sec_42=Data1!A$425,SUM('Units, Set-Asides, Bldgs'!G$20:G$28)+IF('Units, Set-Asides, Bldgs'!P32=0,Workforce_AMI_non_avg_inc,0),0)</f>
        <v>0</v>
      </c>
      <c r="H441" s="727" t="str">
        <f>IF(G441&gt;=B441,"Yes","No")</f>
        <v>No</v>
      </c>
      <c r="I441" s="739"/>
      <c r="J441" s="738"/>
      <c r="K441" s="733"/>
      <c r="L441" s="733"/>
      <c r="M441" s="733"/>
      <c r="N441" s="733"/>
      <c r="O441" s="733"/>
    </row>
    <row r="442" spans="1:15">
      <c r="A442" s="697" t="s">
        <v>1032</v>
      </c>
      <c r="B442" s="723">
        <f>IF('Units, Set-Asides, Bldgs'!P32=0,80%,60%)</f>
        <v>0.6</v>
      </c>
      <c r="C442" s="719" t="s">
        <v>1020</v>
      </c>
      <c r="D442" s="697"/>
      <c r="E442" s="697"/>
      <c r="F442" s="697"/>
      <c r="G442" s="685"/>
      <c r="H442" s="728"/>
      <c r="I442" s="728"/>
      <c r="J442" s="728"/>
      <c r="K442" s="733"/>
      <c r="L442" s="733"/>
      <c r="M442" s="733"/>
      <c r="N442" s="733"/>
      <c r="O442" s="733"/>
    </row>
    <row r="443" spans="1:15">
      <c r="A443" s="691"/>
      <c r="B443" s="1002"/>
      <c r="C443" s="725"/>
      <c r="D443" s="691"/>
      <c r="E443" s="691"/>
      <c r="F443" s="691"/>
      <c r="G443" s="215"/>
      <c r="H443" s="729"/>
      <c r="I443" s="729"/>
      <c r="J443" s="729"/>
      <c r="K443" s="733"/>
      <c r="L443" s="733"/>
      <c r="M443" s="733"/>
      <c r="N443" s="733"/>
      <c r="O443" s="733"/>
    </row>
    <row r="444" spans="1:15">
      <c r="A444" s="1001" t="s">
        <v>1299</v>
      </c>
      <c r="B444" s="1002"/>
      <c r="C444" s="725"/>
      <c r="D444" s="691"/>
      <c r="E444" s="691"/>
      <c r="F444" s="691"/>
      <c r="G444" s="215"/>
      <c r="H444" s="729"/>
      <c r="I444" s="729"/>
      <c r="J444" s="729"/>
      <c r="K444" s="733"/>
      <c r="L444" s="733"/>
      <c r="M444" s="733"/>
      <c r="N444" s="733"/>
      <c r="O444" s="733"/>
    </row>
    <row r="445" spans="1:15">
      <c r="A445" s="852" t="s">
        <v>2129</v>
      </c>
      <c r="B445" s="1300" t="s">
        <v>192</v>
      </c>
      <c r="C445" s="108"/>
      <c r="E445" s="691"/>
      <c r="F445" s="691"/>
      <c r="G445" s="215"/>
      <c r="H445" s="729"/>
      <c r="I445" s="729"/>
      <c r="J445" s="729"/>
      <c r="K445" s="733"/>
      <c r="L445" s="733"/>
      <c r="M445" s="733"/>
      <c r="N445" s="733"/>
      <c r="O445" s="733"/>
    </row>
    <row r="446" spans="1:15">
      <c r="A446" s="852" t="s">
        <v>1103</v>
      </c>
      <c r="B446" s="2005" t="s">
        <v>418</v>
      </c>
      <c r="C446" s="2005"/>
      <c r="D446" s="2005"/>
      <c r="E446" s="696"/>
      <c r="F446" s="476"/>
      <c r="G446" s="476"/>
      <c r="H446" s="726"/>
      <c r="I446" s="726"/>
      <c r="J446" s="726"/>
      <c r="K446" s="733"/>
      <c r="L446" s="733"/>
      <c r="M446" s="733"/>
      <c r="N446" s="733"/>
      <c r="O446" s="733"/>
    </row>
    <row r="447" spans="1:15">
      <c r="A447" s="853" t="s">
        <v>1896</v>
      </c>
      <c r="B447" s="1704">
        <f>IF(Minimum_SetAside_per_Sec_42="Average Income Test",80%,IF(Minimum_SetAside_per_Sec_42=A422,50%,60%))</f>
        <v>0.6</v>
      </c>
      <c r="C447" s="1300" t="s">
        <v>191</v>
      </c>
      <c r="D447" s="696"/>
      <c r="E447" s="696"/>
      <c r="F447" s="476"/>
      <c r="G447" s="476"/>
      <c r="H447" s="726"/>
      <c r="I447" s="726"/>
      <c r="J447" s="726"/>
      <c r="K447" s="733"/>
      <c r="L447" s="733"/>
      <c r="M447" s="733"/>
      <c r="N447" s="733"/>
      <c r="O447" s="733"/>
    </row>
    <row r="448" spans="1:15">
      <c r="A448" s="853" t="s">
        <v>1897</v>
      </c>
      <c r="B448" s="1695">
        <v>0.6</v>
      </c>
      <c r="C448" s="856"/>
      <c r="D448" s="855"/>
      <c r="E448" s="855"/>
      <c r="F448" s="855"/>
      <c r="G448" s="856"/>
      <c r="H448" s="763"/>
      <c r="I448" s="763"/>
      <c r="J448" s="763"/>
      <c r="K448" s="733"/>
      <c r="L448" s="733"/>
      <c r="M448" s="733"/>
      <c r="N448" s="733"/>
      <c r="O448" s="733"/>
    </row>
    <row r="449" spans="1:15">
      <c r="A449" s="853" t="s">
        <v>2009</v>
      </c>
      <c r="B449" s="1810" t="str">
        <f>IF(AND(C447="Yes",Minimum_SetAside_per_Sec_42="Average Income Test"),IF(SUM('Units, Set-Asides, Bldgs'!G73:G83)=0,0,SUMPRODUCT('Units, Set-Asides, Bldgs'!G73:G83,'Units, Set-Asides, Bldgs'!I73:I83)/SUM('Units, Set-Asides, Bldgs'!G73:G83)),"NA")</f>
        <v>NA</v>
      </c>
      <c r="C449" s="856"/>
      <c r="D449" s="855"/>
      <c r="E449" s="855"/>
      <c r="F449" s="855"/>
      <c r="G449" s="856"/>
      <c r="H449" s="763"/>
      <c r="I449" s="763"/>
      <c r="J449" s="763"/>
      <c r="K449" s="733"/>
      <c r="L449" s="733"/>
      <c r="M449" s="733"/>
      <c r="N449" s="733"/>
      <c r="O449" s="733"/>
    </row>
    <row r="450" spans="1:15">
      <c r="A450" s="855" t="s">
        <v>2005</v>
      </c>
      <c r="B450" s="692">
        <f>DS_HC_Min_SA_Perc</f>
        <v>0.8</v>
      </c>
      <c r="C450" s="757"/>
      <c r="D450" s="1806" t="s">
        <v>1131</v>
      </c>
      <c r="E450" s="855"/>
      <c r="F450" s="855"/>
      <c r="G450" s="1807">
        <f>SUM('Units, Set-Asides, Bldgs'!G73:G81)</f>
        <v>0</v>
      </c>
      <c r="H450" s="763" t="str">
        <f>IF(G450&gt;=B450,"Yes","No")</f>
        <v>No</v>
      </c>
      <c r="I450" s="1808"/>
      <c r="J450" s="1808"/>
      <c r="K450" s="733"/>
      <c r="L450" s="733"/>
      <c r="M450" s="733"/>
      <c r="N450" s="733"/>
      <c r="O450" s="733"/>
    </row>
    <row r="451" spans="1:15">
      <c r="A451" s="855" t="s">
        <v>2006</v>
      </c>
      <c r="B451" s="692">
        <v>1</v>
      </c>
      <c r="C451" s="854"/>
      <c r="D451" s="855"/>
      <c r="E451" s="855"/>
      <c r="F451" s="855"/>
      <c r="G451" s="856"/>
      <c r="H451" s="763" t="str">
        <f>IF(G450&lt;=B451,"Yes","No")</f>
        <v>Yes</v>
      </c>
      <c r="I451" s="1808"/>
      <c r="J451" s="1808"/>
      <c r="K451" s="733"/>
      <c r="L451" s="733"/>
      <c r="M451" s="733"/>
      <c r="N451" s="733"/>
      <c r="O451" s="733"/>
    </row>
    <row r="452" spans="1:15">
      <c r="A452" s="1134" t="s">
        <v>2007</v>
      </c>
      <c r="B452" s="1809">
        <f>B435</f>
        <v>0.5</v>
      </c>
      <c r="C452" s="1762"/>
      <c r="D452" s="1134"/>
      <c r="E452" s="1134"/>
      <c r="F452" s="1134"/>
      <c r="G452" s="978"/>
      <c r="H452" s="1763"/>
      <c r="I452" s="1805"/>
      <c r="J452" s="1805"/>
      <c r="K452" s="733"/>
      <c r="L452" s="733"/>
      <c r="M452" s="733"/>
      <c r="N452" s="733"/>
      <c r="O452" s="733"/>
    </row>
    <row r="453" spans="1:15">
      <c r="A453" s="858" t="s">
        <v>1302</v>
      </c>
      <c r="B453" s="809">
        <v>0.05</v>
      </c>
      <c r="C453" s="865" t="str">
        <f>"of Total Units ["&amp;TEXT(ROUNDUP(Total_Units*B453,0),"0")&amp;" units]"</f>
        <v>of Total Units [0 units]</v>
      </c>
      <c r="D453" s="476"/>
      <c r="E453" s="476"/>
      <c r="F453" s="476" t="s">
        <v>1172</v>
      </c>
      <c r="G453" s="476"/>
      <c r="H453" s="726"/>
      <c r="I453" s="726"/>
      <c r="J453" s="726"/>
      <c r="K453" s="733"/>
      <c r="L453" s="733"/>
      <c r="M453" s="733"/>
      <c r="N453" s="733"/>
      <c r="O453" s="733"/>
    </row>
    <row r="454" spans="1:15">
      <c r="A454" s="861" t="s">
        <v>1301</v>
      </c>
      <c r="B454" s="692">
        <v>0.45</v>
      </c>
      <c r="C454" s="862" t="str">
        <f>"(i.e., must be below "&amp;TEXT(B454+5%,"0%")&amp;" AMI)"</f>
        <v>(i.e., must be below 50% AMI)</v>
      </c>
      <c r="D454" s="856"/>
      <c r="E454" s="856"/>
      <c r="F454" s="856"/>
      <c r="G454" s="856"/>
      <c r="H454" s="763"/>
      <c r="I454" s="763"/>
      <c r="J454" s="763"/>
      <c r="K454" s="733"/>
      <c r="L454" s="733"/>
      <c r="M454" s="733"/>
      <c r="N454" s="733"/>
      <c r="O454" s="733"/>
    </row>
    <row r="455" spans="1:15">
      <c r="A455" s="1006" t="s">
        <v>1303</v>
      </c>
      <c r="B455" s="863">
        <v>0.05</v>
      </c>
      <c r="C455" s="1007" t="str">
        <f>"of Total Units ["&amp;TEXT(ROUNDUP(Total_Units*B455,0),"0")&amp;" units]"</f>
        <v>of Total Units [0 units]</v>
      </c>
      <c r="D455" s="849"/>
      <c r="E455" s="849"/>
      <c r="F455" s="849" t="s">
        <v>1173</v>
      </c>
      <c r="G455" s="849"/>
      <c r="H455" s="1008"/>
      <c r="I455" s="1008"/>
      <c r="J455" s="1008"/>
      <c r="K455" s="733"/>
      <c r="L455" s="733"/>
      <c r="M455" s="733"/>
      <c r="N455" s="733"/>
      <c r="O455" s="733"/>
    </row>
    <row r="456" spans="1:15">
      <c r="A456" s="965" t="s">
        <v>1300</v>
      </c>
      <c r="B456" s="694">
        <v>0.45</v>
      </c>
      <c r="C456" s="1009" t="str">
        <f>"(i.e., must be below "&amp;TEXT(B456+5%,"0%")&amp;" AMI)"</f>
        <v>(i.e., must be below 50% AMI)</v>
      </c>
      <c r="D456" s="685"/>
      <c r="E456" s="685"/>
      <c r="F456" s="856"/>
      <c r="G456" s="685"/>
      <c r="H456" s="728"/>
      <c r="I456" s="728"/>
      <c r="J456" s="728"/>
      <c r="K456" s="733"/>
      <c r="L456" s="733"/>
      <c r="M456" s="733"/>
      <c r="N456" s="733"/>
      <c r="O456" s="733"/>
    </row>
    <row r="457" spans="1:15">
      <c r="D457" s="1735" t="s">
        <v>2004</v>
      </c>
      <c r="E457" s="921"/>
      <c r="F457" s="921"/>
      <c r="G457" s="1132" t="s">
        <v>1971</v>
      </c>
      <c r="I457" s="1132" t="s">
        <v>1970</v>
      </c>
      <c r="J457" s="1132" t="str">
        <f>"2."&amp;IF('Units, Set-Asides, Bldgs'!C70="","c",'Units, Set-Asides, Bldgs'!C70)&amp;". Act %"</f>
        <v>2.c. Act %</v>
      </c>
      <c r="K457" s="1132" t="s">
        <v>1969</v>
      </c>
      <c r="L457" s="1132" t="s">
        <v>1297</v>
      </c>
    </row>
    <row r="458" spans="1:15">
      <c r="A458" s="1134" t="str">
        <f>IF(Minimum_SetAside_per_Sec_42="Average Income Test","","Non-")&amp;"AIT "&amp;IF(Self_Sourced_Applicant="Yes","","Non-")&amp;"Self-Sourced ELI Min required in App (Base only)"</f>
        <v>Non-AIT Non-Self-Sourced ELI Min required in App (Base only)</v>
      </c>
      <c r="B458" s="1135">
        <f>IF(OR(Minimum_SetAside_per_Sec_42=Data1!A$422,Minimum_SetAside_per_Sec_42=Data1!A$423,Minimum_SetAside_per_Sec_42=Data1!A$425),IF(Self_Sourced_Applicant="Yes",DS_Min_ELI_NonAIT_SS,DS_Min_ELI_NonAIT_NSS),IF(Self_Sourced_Applicant="Yes",DS_Min_ELI_AIT_SS,DS_Min_ELI_AIT_NSS))</f>
        <v>0.05</v>
      </c>
      <c r="C458" s="753"/>
      <c r="D458" s="1136"/>
      <c r="E458" s="978"/>
      <c r="F458" s="1136" t="str">
        <f>IF(Minimum_SetAside_per_Sec_42=Data1!A424,"AIT ELI Units converted to % of Total:","")</f>
        <v/>
      </c>
      <c r="G458" s="1137">
        <f>MAX(IF(OR(Minimum_SetAside_per_Sec_42=Data1!A$422,Minimum_SetAside_per_Sec_42=Data1!A$423,Minimum_SetAside_per_Sec_42=Data1!A$425),SUMIF('Units, Set-Asides, Bldgs'!I$20:I$28,"&lt;="&amp;VLOOKUP(County,DS_CountyData,14),'Units, Set-Asides, Bldgs'!G$20:G$28),IF(Minimum_SetAside_per_Sec_42="Average Income Test",SUM('Units, Set-Asides, Bldgs'!G$39:G$40),0)),IF('Units, Set-Asides, Bldgs'!P$70=1,SUMIF('Units, Set-Asides, Bldgs'!I$73:I$81,"&lt;="&amp;VLOOKUP(County,DS_CountyData,14),'Units, Set-Asides, Bldgs'!G$73:G$81),0))</f>
        <v>0</v>
      </c>
      <c r="H458" s="1138" t="str">
        <f>IF(OR(Minimum_SetAside_per_Sec_42=Data1!A$422,Minimum_SetAside_per_Sec_42=Data1!A$423,Minimum_SetAside_per_Sec_42=Data1!A$425),IF(G458&gt;=B458,"Yes","No"),IF(L458&gt;=K458,"Yes","No"))</f>
        <v>Yes</v>
      </c>
      <c r="I458" s="1137">
        <f>IF(OR(Minimum_SetAside_per_Sec_42=Data1!A$422,Minimum_SetAside_per_Sec_42=Data1!A$423,Minimum_SetAside_per_Sec_42=Data1!A$425),SUMIF('Units, Set-Asides, Bldgs'!I$20:I$28,"&lt;="&amp;VLOOKUP(County,DS_CountyData,14),'Units, Set-Asides, Bldgs'!G$20:G$28),0)</f>
        <v>0</v>
      </c>
      <c r="J458" s="1137">
        <f>IF('Units, Set-Asides, Bldgs'!P$70=1,SUMIF('Units, Set-Asides, Bldgs'!I$73:I$81,"&lt;="&amp;VLOOKUP(County,DS_CountyData,14),'Units, Set-Asides, Bldgs'!G$73:G$81),0)</f>
        <v>0</v>
      </c>
      <c r="K458" s="1138">
        <f>ROUNDUP(B458*Total_Units,0)</f>
        <v>0</v>
      </c>
      <c r="L458" s="1138">
        <f>twenty_AMI_Avg_Income_Units+thirty_AMI_Avg_Income_Units</f>
        <v>0</v>
      </c>
      <c r="O458" s="733"/>
    </row>
    <row r="459" spans="1:15">
      <c r="A459" s="696" t="str">
        <f>IF(Minimum_SetAside_per_Sec_42="Average Income Test","","Non-")&amp;"AIT "&amp;IF(Self_Sourced_Applicant="Yes","","Non-")&amp;"Self-Sourced ELI Max considered in App (Base+Purchased)"</f>
        <v>Non-AIT Non-Self-Sourced ELI Max considered in App (Base+Purchased)</v>
      </c>
      <c r="B459" s="695">
        <f>IF(OR(Minimum_SetAside_per_Sec_42=Data1!A$422,Minimum_SetAside_per_Sec_42=Data1!A$423,Minimum_SetAside_per_Sec_42=Data1!A$425),IF(Self_Sourced_Applicant="Yes",DS_Min_ELI_NonAIT_SS+DS_Min_ELI_NonAIT_Buy_SS,DS_Min_ELI_NonAIT_NSS+DS_Min_ELI_NonAIT_Buy_NSS),IF(Self_Sourced_Applicant="Yes",DS_Min_ELI_AIT_SS+DS_Min_ELI_AIT_Buy_SS,DS_Min_ELI_AIT_NSS+DS_Min_ELI_AIT_Buy_NSS))</f>
        <v>0.15000000000000002</v>
      </c>
      <c r="C459" s="600"/>
      <c r="D459" s="911"/>
      <c r="E459" s="476"/>
      <c r="F459" s="911"/>
      <c r="G459" s="716">
        <f>MAX(IF(OR(Minimum_SetAside_per_Sec_42=Data1!A$422,Minimum_SetAside_per_Sec_42=Data1!A$423,Minimum_SetAside_per_Sec_42=Data1!A$425),SUMIF('Units, Set-Asides, Bldgs'!I$20:I$28,"&lt;="&amp;VLOOKUP(County,DS_CountyData,14),'Units, Set-Asides, Bldgs'!G$20:G$28),IF(Minimum_SetAside_per_Sec_42="Average Income Test",SUM('Units, Set-Asides, Bldgs'!G$39:G$40),0)),IF('Units, Set-Asides, Bldgs'!P$70=1,SUMIF('Units, Set-Asides, Bldgs'!I$73:I$81,"&lt;="&amp;VLOOKUP(County,DS_CountyData,14),'Units, Set-Asides, Bldgs'!G$73:G$81),0))</f>
        <v>0</v>
      </c>
      <c r="H459" s="1133" t="str">
        <f>IF(OR(Minimum_SetAside_per_Sec_42=Data1!A$422,Minimum_SetAside_per_Sec_42=Data1!A$423,Minimum_SetAside_per_Sec_42=Data1!A$425),IF(G459&gt;=B459,"Yes","No"),IF(L459&gt;=K459,"Yes","No"))</f>
        <v>Yes</v>
      </c>
      <c r="I459" s="1137">
        <f>-I458</f>
        <v>0</v>
      </c>
      <c r="J459" s="1137">
        <f>J458</f>
        <v>0</v>
      </c>
      <c r="K459" s="1133">
        <f>ROUNDUP(B459*Total_Units,0)</f>
        <v>0</v>
      </c>
      <c r="L459" s="1133">
        <f>twenty_AMI_Avg_Income_Units+thirty_AMI_Avg_Income_Units</f>
        <v>0</v>
      </c>
      <c r="O459" s="733"/>
    </row>
    <row r="460" spans="1:15">
      <c r="A460" s="691" t="s">
        <v>1298</v>
      </c>
      <c r="B460" s="1940" t="str">
        <f>IF(Self_Sourced_Applicant="Yes","No",E460)</f>
        <v>Yes</v>
      </c>
      <c r="C460" s="1669" t="s">
        <v>2116</v>
      </c>
      <c r="D460" s="1130"/>
      <c r="E460" s="1933" t="s">
        <v>191</v>
      </c>
      <c r="F460" s="1130" t="str">
        <f>"Minimum ELI = Base "&amp;IF(B460="Yes","+ Purchased","Only")&amp;":"</f>
        <v>Minimum ELI = Base + Purchased:</v>
      </c>
      <c r="G460" s="1131">
        <f>IF(B460="Yes",B459,B458)</f>
        <v>0.15000000000000002</v>
      </c>
      <c r="H460" s="1011"/>
      <c r="I460" s="1131"/>
      <c r="J460" s="1131"/>
      <c r="K460" s="1011"/>
      <c r="L460" s="1011"/>
      <c r="O460" s="733"/>
    </row>
    <row r="461" spans="1:15">
      <c r="A461" s="699" t="s">
        <v>1025</v>
      </c>
      <c r="B461" s="1939">
        <v>30</v>
      </c>
      <c r="C461" s="720" t="s">
        <v>1027</v>
      </c>
      <c r="D461" s="699"/>
      <c r="E461" s="708"/>
      <c r="F461" s="2014" t="s">
        <v>1343</v>
      </c>
      <c r="G461" s="708"/>
      <c r="H461" s="730"/>
      <c r="I461" s="1782"/>
      <c r="J461" s="1782"/>
      <c r="K461" s="730"/>
      <c r="L461" s="730"/>
      <c r="O461" s="733"/>
    </row>
    <row r="462" spans="1:15">
      <c r="A462" s="697" t="s">
        <v>1026</v>
      </c>
      <c r="B462" s="721">
        <v>15</v>
      </c>
      <c r="C462" s="693" t="s">
        <v>1027</v>
      </c>
      <c r="D462" s="697"/>
      <c r="E462" s="685"/>
      <c r="F462" s="2015"/>
      <c r="G462" s="685"/>
      <c r="H462" s="731"/>
      <c r="I462" s="1783"/>
      <c r="J462" s="1783"/>
      <c r="K462" s="731"/>
      <c r="L462" s="731"/>
      <c r="O462" s="733"/>
    </row>
    <row r="463" spans="1:15">
      <c r="A463" s="699" t="s">
        <v>1797</v>
      </c>
      <c r="B463" s="722">
        <v>15</v>
      </c>
      <c r="C463" s="720" t="s">
        <v>1027</v>
      </c>
      <c r="D463" s="708"/>
      <c r="E463" s="708"/>
      <c r="F463" s="708"/>
      <c r="G463" s="708"/>
      <c r="H463" s="708"/>
      <c r="I463" s="1784"/>
      <c r="J463" s="1784"/>
      <c r="K463" s="1610"/>
      <c r="L463" s="1610"/>
      <c r="O463" s="733"/>
    </row>
    <row r="464" spans="1:15">
      <c r="A464" s="1134" t="s">
        <v>1796</v>
      </c>
      <c r="B464" s="1609">
        <v>99</v>
      </c>
      <c r="C464" s="753" t="s">
        <v>1027</v>
      </c>
      <c r="D464" s="978"/>
      <c r="E464" s="978"/>
      <c r="F464" s="978"/>
      <c r="G464" s="978"/>
      <c r="H464" s="978"/>
      <c r="I464" s="1785"/>
      <c r="J464" s="1785"/>
      <c r="K464" s="1608"/>
      <c r="L464" s="1608"/>
      <c r="O464" s="733"/>
    </row>
    <row r="465" spans="1:19">
      <c r="A465" s="215"/>
      <c r="B465" s="215"/>
      <c r="C465" s="215"/>
      <c r="D465" s="215"/>
      <c r="E465" s="215"/>
      <c r="F465" s="215"/>
      <c r="K465" s="733"/>
      <c r="L465" s="733"/>
      <c r="M465" s="733"/>
      <c r="N465" s="733"/>
      <c r="O465" s="733"/>
    </row>
    <row r="466" spans="1:19" ht="18" customHeight="1">
      <c r="A466" s="1139" t="s">
        <v>2063</v>
      </c>
      <c r="B466" s="108"/>
      <c r="C466" s="109"/>
      <c r="D466" s="108"/>
      <c r="E466" s="986" t="s">
        <v>1021</v>
      </c>
      <c r="F466" s="402" t="s">
        <v>1132</v>
      </c>
      <c r="I466" s="211" t="s">
        <v>1829</v>
      </c>
      <c r="J466" s="211" t="s">
        <v>1030</v>
      </c>
      <c r="K466" s="211" t="s">
        <v>1831</v>
      </c>
      <c r="L466" s="211" t="s">
        <v>1830</v>
      </c>
      <c r="M466" s="1643">
        <v>101</v>
      </c>
      <c r="N466" s="1643">
        <v>201</v>
      </c>
      <c r="O466" s="1643">
        <v>202</v>
      </c>
      <c r="P466" s="211">
        <v>203</v>
      </c>
      <c r="Q466" s="211">
        <v>205</v>
      </c>
      <c r="R466" s="211">
        <v>103</v>
      </c>
      <c r="S466" s="211">
        <v>106</v>
      </c>
    </row>
    <row r="467" spans="1:19">
      <c r="A467" s="1556" t="s">
        <v>1771</v>
      </c>
      <c r="B467" s="684">
        <v>0</v>
      </c>
      <c r="C467" s="696" t="str">
        <f>"of Total Units ["&amp;TEXT(ROUNDUP(Total_Units*B467,0),"0")&amp;" units] at County Level AMI"</f>
        <v>of Total Units [0 units] at County Level AMI</v>
      </c>
      <c r="D467" s="476"/>
      <c r="E467" s="476"/>
      <c r="F467" s="476"/>
      <c r="G467" s="476" t="s">
        <v>1170</v>
      </c>
      <c r="H467" s="476"/>
      <c r="I467" s="1641">
        <f>SUMIF('Units, Set-Asides, Bldgs'!$I$20:$I$28,"&lt;="&amp;VLOOKUP(County,DS_CountyData,14),'Units, Set-Asides, Bldgs'!$G$20:$G$28)</f>
        <v>0</v>
      </c>
      <c r="J467" s="1639" t="str">
        <f>IF(I467&gt;=DS_Min_ELI_NonAIT_NSS,"Yes","No")</f>
        <v>Yes</v>
      </c>
      <c r="K467" s="1639">
        <f>ROUNDUP(DS_Min_ELI_NonAIT_NSS*Total_Units,0)</f>
        <v>0</v>
      </c>
      <c r="L467" s="1639">
        <f>SUMIF('Units, Set-Asides, Bldgs'!$I$20:$I$28,"&lt;="&amp;VLOOKUP(County,DS_CountyData,14),'Units, Set-Asides, Bldgs'!$F$20:$F$28)</f>
        <v>0</v>
      </c>
      <c r="M467" s="1644">
        <v>0</v>
      </c>
      <c r="N467" s="1644">
        <v>0.1</v>
      </c>
      <c r="O467" s="1644">
        <v>0.1</v>
      </c>
      <c r="P467" s="1644">
        <v>0.1</v>
      </c>
      <c r="Q467" s="1644">
        <v>0</v>
      </c>
      <c r="R467" s="1645"/>
      <c r="S467" s="1645"/>
    </row>
    <row r="468" spans="1:19">
      <c r="A468" s="1556" t="s">
        <v>1770</v>
      </c>
      <c r="B468" s="684">
        <v>0</v>
      </c>
      <c r="C468" s="683" t="str">
        <f>"(for a total minimum of "&amp;TEXT(B467+B468,"0%")&amp;" ELI, or "&amp;TEXT(ROUNDUP((B467+B468)*Total_Units,0),"0")&amp;" units)"</f>
        <v>(for a total minimum of 0% ELI, or 0 units)</v>
      </c>
      <c r="D468" s="600"/>
      <c r="E468" s="600"/>
      <c r="F468" s="476"/>
      <c r="G468" s="978"/>
      <c r="H468" s="978"/>
      <c r="I468" s="1641">
        <f>SUMIF('Units, Set-Asides, Bldgs'!$I$20:$I$28,"&lt;="&amp;VLOOKUP(County,DS_CountyData,14),'Units, Set-Asides, Bldgs'!$G$20:$G$28)</f>
        <v>0</v>
      </c>
      <c r="J468" s="1639" t="str">
        <f>IF(I467&gt;=DS_Min_ELI_NonAIT_NSS+IF(B460="Yes",DS_Min_ELI_NonAIT_Buy_NSS,0),"Yes","No")</f>
        <v>Yes</v>
      </c>
      <c r="K468" s="1639">
        <f>ROUNDUP((DS_Min_ELI_NonAIT_NSS+IF(B460="Yes",DS_Min_ELI_NonAIT_Buy_NSS,0))*Total_Units,0)</f>
        <v>0</v>
      </c>
      <c r="L468" s="1639">
        <f>SUMIF('Units, Set-Asides, Bldgs'!$I$20:$I$28,"&lt;="&amp;VLOOKUP(County,DS_CountyData,14),'Units, Set-Asides, Bldgs'!$F$20:$F$28)</f>
        <v>0</v>
      </c>
      <c r="M468" s="1644">
        <v>0.1</v>
      </c>
      <c r="N468" s="1644">
        <v>0</v>
      </c>
      <c r="O468" s="1644">
        <v>0</v>
      </c>
      <c r="P468" s="1644">
        <v>0</v>
      </c>
      <c r="Q468" s="1644">
        <v>0.1</v>
      </c>
      <c r="R468" s="1645"/>
      <c r="S468" s="1645"/>
    </row>
    <row r="469" spans="1:19">
      <c r="A469" s="1128" t="s">
        <v>1834</v>
      </c>
      <c r="B469" s="700">
        <v>0</v>
      </c>
      <c r="C469" s="860" t="str">
        <f>"of Total Units ["&amp;TEXT(ROUNDUP(Total_Units*B469,0),"0")&amp;" units]"</f>
        <v>of Total Units [0 units]</v>
      </c>
      <c r="D469" s="708"/>
      <c r="E469" s="708"/>
      <c r="F469" s="708"/>
      <c r="G469" s="476" t="s">
        <v>1175</v>
      </c>
      <c r="H469" s="476"/>
      <c r="I469" s="1641">
        <f>SUMIF('Units, Set-Asides, Bldgs'!$I$20:$I$28,"&lt;="&amp;VLOOKUP(County,DS_CountyData,14),'Units, Set-Asides, Bldgs'!$G$20:$G$28)</f>
        <v>0</v>
      </c>
      <c r="J469" s="1639" t="str">
        <f>IF(I469&gt;=DS_Min_ELI_NonAIT_SS,"Yes","No")</f>
        <v>Yes</v>
      </c>
      <c r="K469" s="1639">
        <f>ROUNDUP(DS_Min_ELI_NonAIT_SS*Total_Units,0)</f>
        <v>0</v>
      </c>
      <c r="L469" s="1639">
        <f>SUMIF('Units, Set-Asides, Bldgs'!$I$20:$I$28,"&lt;="&amp;VLOOKUP(County,DS_CountyData,14),'Units, Set-Asides, Bldgs'!$F$20:$F$28)</f>
        <v>0</v>
      </c>
      <c r="M469" s="1640"/>
      <c r="N469" s="1640"/>
      <c r="O469" s="1640"/>
      <c r="P469" s="1640"/>
      <c r="Q469" s="1644">
        <v>0</v>
      </c>
      <c r="R469" s="1640"/>
      <c r="S469" s="1640"/>
    </row>
    <row r="470" spans="1:19">
      <c r="A470" s="1746" t="s">
        <v>1835</v>
      </c>
      <c r="B470" s="857">
        <v>0.1</v>
      </c>
      <c r="C470" s="967" t="str">
        <f>"(for a total minimum of "&amp;TEXT(B469+IF(B$460="Yes",B470,0),"0%")&amp;" ELI, or "&amp;TEXT(ROUNDUP((B469+IF(B$460="Yes",B470,0))*Total_Units,0),"0")&amp;" units)"</f>
        <v>(for a total minimum of 10% ELI, or 0 units)</v>
      </c>
      <c r="G470" s="970"/>
      <c r="H470" s="970"/>
      <c r="I470" s="1641">
        <f>SUMIF('Units, Set-Asides, Bldgs'!$I$20:$I$28,"&lt;="&amp;VLOOKUP(County,DS_CountyData,14),'Units, Set-Asides, Bldgs'!$G$20:$G$28)</f>
        <v>0</v>
      </c>
      <c r="J470" s="1639" t="str">
        <f>IF(I470&gt;=DS_Min_ELI_NonAIT_SS+IF(B460="Yes",DS_Min_ELI_NonAIT_Buy_SS,0),"Yes","No")</f>
        <v>No</v>
      </c>
      <c r="K470" s="1639">
        <f>ROUNDUP((DS_Min_ELI_NonAIT_SS+IF(B460="Yes",DS_Min_ELI_NonAIT_Buy_SS,0))*Total_Units,0)</f>
        <v>0</v>
      </c>
      <c r="L470" s="1639">
        <f>SUMIF('Units, Set-Asides, Bldgs'!$I$20:$I$28,"&lt;="&amp;VLOOKUP(County,DS_CountyData,14),'Units, Set-Asides, Bldgs'!$F$20:$F$28)</f>
        <v>0</v>
      </c>
      <c r="M470" s="1640"/>
      <c r="N470" s="1640"/>
      <c r="O470" s="1640"/>
      <c r="P470" s="1640"/>
      <c r="Q470" s="1644">
        <v>0.1</v>
      </c>
      <c r="R470" s="1640"/>
      <c r="S470" s="1640"/>
    </row>
    <row r="471" spans="1:19">
      <c r="A471" s="1129" t="s">
        <v>1833</v>
      </c>
      <c r="B471" s="701">
        <v>0.05</v>
      </c>
      <c r="C471" s="1747" t="str">
        <f>"of Total Units ["&amp;TEXT(ROUNDUP(Total_Units*B471,0),"0")&amp;" units] at 30% AMI"</f>
        <v>of Total Units [0 units] at 30% AMI</v>
      </c>
      <c r="D471" s="864"/>
      <c r="E471" s="864"/>
      <c r="F471" s="864"/>
      <c r="G471" s="476" t="s">
        <v>1170</v>
      </c>
      <c r="H471" s="476"/>
      <c r="I471" s="1641">
        <f>SUM('Units, Set-Asides, Bldgs'!$G$39:$G$40)</f>
        <v>0</v>
      </c>
      <c r="J471" s="1639"/>
      <c r="K471" s="1639"/>
      <c r="L471" s="1639"/>
      <c r="M471" s="1644">
        <v>0.05</v>
      </c>
      <c r="N471" s="1644">
        <v>0.15</v>
      </c>
      <c r="O471" s="1644">
        <v>0.15</v>
      </c>
      <c r="P471" s="1644">
        <v>0.15</v>
      </c>
      <c r="Q471" s="1644">
        <v>0.05</v>
      </c>
      <c r="R471" s="1645"/>
      <c r="S471" s="1645"/>
    </row>
    <row r="472" spans="1:19">
      <c r="A472" s="719" t="s">
        <v>1836</v>
      </c>
      <c r="B472" s="694">
        <f>10%*1</f>
        <v>0.1</v>
      </c>
      <c r="C472" s="719" t="str">
        <f>"(for a total minimum of "&amp;TEXT(B471+B472,"0%")&amp;" ELI, or "&amp;TEXT(ROUNDUP((B471+B472)*Total_Units,0),"0")&amp;" units)"</f>
        <v>(for a total minimum of 15% ELI, or 0 units)</v>
      </c>
      <c r="D472" s="693"/>
      <c r="E472" s="693"/>
      <c r="F472" s="685"/>
      <c r="G472" s="978"/>
      <c r="H472" s="978"/>
      <c r="I472" s="1641">
        <f>SUM('Units, Set-Asides, Bldgs'!$G$39:$G$40)</f>
        <v>0</v>
      </c>
      <c r="J472" s="1639"/>
      <c r="K472" s="1639"/>
      <c r="L472" s="1639"/>
      <c r="M472" s="1644">
        <v>0.1</v>
      </c>
      <c r="N472" s="1644">
        <v>0</v>
      </c>
      <c r="O472" s="1644">
        <v>0</v>
      </c>
      <c r="P472" s="1644">
        <v>0</v>
      </c>
      <c r="Q472" s="1644">
        <v>0.1</v>
      </c>
      <c r="R472" s="1645"/>
      <c r="S472" s="1645"/>
    </row>
    <row r="473" spans="1:19">
      <c r="A473" s="964" t="s">
        <v>1837</v>
      </c>
      <c r="B473" s="746">
        <v>0</v>
      </c>
      <c r="C473" s="865" t="str">
        <f>"of Total Units ["&amp;TEXT(ROUNDUP(Total_Units*B473,0),"0")&amp;" units]"</f>
        <v>of Total Units [0 units]</v>
      </c>
      <c r="D473" s="476"/>
      <c r="E473" s="476"/>
      <c r="F473" s="476"/>
      <c r="G473" s="476" t="s">
        <v>1176</v>
      </c>
      <c r="H473" s="476"/>
      <c r="I473" s="1641">
        <f>SUM('Units, Set-Asides, Bldgs'!$G$39:$G$40)</f>
        <v>0</v>
      </c>
      <c r="J473" s="1639"/>
      <c r="K473" s="1639"/>
      <c r="L473" s="1639"/>
      <c r="M473" s="1640"/>
      <c r="N473" s="1640"/>
      <c r="O473" s="1640"/>
      <c r="P473" s="1640"/>
      <c r="Q473" s="1644">
        <v>0</v>
      </c>
      <c r="R473" s="1640"/>
      <c r="S473" s="1640"/>
    </row>
    <row r="474" spans="1:19">
      <c r="A474" s="966" t="s">
        <v>1838</v>
      </c>
      <c r="B474" s="859">
        <f>10%*1</f>
        <v>0.1</v>
      </c>
      <c r="C474" s="967" t="str">
        <f>"(for a total minimum of "&amp;TEXT(B473+IF(B$460="Yes",B474,0),"0%")&amp;" ELI, or "&amp;TEXT(ROUNDUP((B473+IF(B$460="Yes",B474,0))*Total_Units,0),"0")&amp;" units)"</f>
        <v>(for a total minimum of 10% ELI, or 0 units)</v>
      </c>
      <c r="D474" s="760"/>
      <c r="E474" s="760"/>
      <c r="F474" s="866"/>
      <c r="G474" s="970"/>
      <c r="H474" s="970"/>
      <c r="I474" s="1641">
        <f>SUM('Units, Set-Asides, Bldgs'!$G$39:$G$40)</f>
        <v>0</v>
      </c>
      <c r="J474" s="1639"/>
      <c r="K474" s="1639"/>
      <c r="L474" s="1639"/>
      <c r="M474" s="1640"/>
      <c r="N474" s="1640"/>
      <c r="O474" s="1640"/>
      <c r="P474" s="1640"/>
      <c r="Q474" s="1644">
        <v>0.1</v>
      </c>
      <c r="R474" s="1640"/>
      <c r="S474" s="1640"/>
    </row>
    <row r="475" spans="1:19">
      <c r="A475" s="1745" t="s">
        <v>1917</v>
      </c>
      <c r="B475" s="701">
        <v>0.05</v>
      </c>
      <c r="C475" s="1744" t="s">
        <v>1919</v>
      </c>
      <c r="D475" s="864"/>
      <c r="E475" s="864"/>
      <c r="F475" s="476"/>
      <c r="G475" s="2034" t="s">
        <v>1839</v>
      </c>
      <c r="H475" s="2036" t="s">
        <v>191</v>
      </c>
      <c r="I475" s="1641">
        <f>SUM('Units, Set-Asides, Bldgs'!$G$20:$G$26)</f>
        <v>0.25</v>
      </c>
      <c r="J475" s="1639"/>
      <c r="K475" s="1639"/>
      <c r="L475" s="1639"/>
      <c r="M475" s="1640"/>
      <c r="N475" s="1640"/>
      <c r="O475" s="1640"/>
      <c r="P475" s="1640"/>
      <c r="Q475" s="1644">
        <v>0.05</v>
      </c>
      <c r="R475" s="1640"/>
      <c r="S475" s="1640"/>
    </row>
    <row r="476" spans="1:19">
      <c r="A476" s="966" t="s">
        <v>1922</v>
      </c>
      <c r="B476" s="694">
        <v>0.05</v>
      </c>
      <c r="C476" s="965" t="s">
        <v>1918</v>
      </c>
      <c r="D476" s="693"/>
      <c r="E476" s="693"/>
      <c r="F476" s="866"/>
      <c r="G476" s="2035"/>
      <c r="H476" s="2037"/>
      <c r="I476" s="1641">
        <f>SUM('Units, Set-Asides, Bldgs'!$G$39:$G$41)</f>
        <v>0</v>
      </c>
      <c r="J476" s="1639"/>
      <c r="K476" s="1639"/>
      <c r="L476" s="1639"/>
      <c r="M476" s="1640"/>
      <c r="N476" s="1640"/>
      <c r="O476" s="1640"/>
      <c r="P476" s="1640"/>
      <c r="Q476" s="1644">
        <v>0.05</v>
      </c>
      <c r="R476" s="1640"/>
      <c r="S476" s="1640"/>
    </row>
    <row r="477" spans="1:19" ht="29">
      <c r="L477" s="1642" t="s">
        <v>1921</v>
      </c>
      <c r="M477" s="1632" t="s">
        <v>191</v>
      </c>
      <c r="N477" s="1647" t="s">
        <v>1840</v>
      </c>
      <c r="O477" s="1647" t="s">
        <v>1840</v>
      </c>
      <c r="P477" s="1647" t="s">
        <v>1840</v>
      </c>
      <c r="Q477" s="1647" t="s">
        <v>1920</v>
      </c>
      <c r="R477" s="1647"/>
      <c r="S477" s="971"/>
    </row>
    <row r="478" spans="1:19" ht="18" customHeight="1">
      <c r="A478" s="1139" t="s">
        <v>1160</v>
      </c>
      <c r="B478" s="108"/>
      <c r="C478" s="108"/>
      <c r="D478" s="1143"/>
      <c r="E478" s="108"/>
    </row>
    <row r="479" spans="1:19">
      <c r="A479" s="402" t="str">
        <f>"Section 4.A.6."&amp;'Units, Set-Asides, Bldgs'!A$10&amp;"."&amp;'Units, Set-Asides, Bldgs'!B$15&amp;"("&amp;'Units, Set-Asides, Bldgs'!C$17&amp;") Set-Aside Table (Non-AIT)"</f>
        <v>Section 4.A.6.b.(2)(a) Set-Aside Table (Non-AIT)</v>
      </c>
    </row>
    <row r="480" spans="1:19">
      <c r="A480" t="s">
        <v>1181</v>
      </c>
      <c r="B480" s="163" t="str">
        <f>IF(AND(Total_Units=0,total_units_in_setaside_chart=0),"","All of the units have "&amp;IF(Total_Units=total_units_in_setaside_chart,"","NOT ")&amp;"been entered in the "&amp;IF(Minimum_SetAside_per_Sec_42=A425,DS_Loan_Name,"IRS Minimum HC")&amp;" Set-Aside Chart"&amp;IF('Units, Set-Asides, Bldgs'!F30&gt;0,", including "&amp;TEXT('Units, Set-Asides, Bldgs'!F30,"0")&amp;" "&amp;'Units, Set-Asides, Bldgs'!J30,"")&amp;".")</f>
        <v/>
      </c>
      <c r="C480" s="163"/>
      <c r="D480" s="163"/>
      <c r="E480" s="163"/>
      <c r="F480" s="163"/>
      <c r="G480" s="163"/>
      <c r="H480" s="163"/>
      <c r="I480" s="163"/>
      <c r="J480" s="163"/>
      <c r="K480" s="163"/>
      <c r="L480" s="163"/>
      <c r="M480" s="163"/>
      <c r="N480" s="163"/>
      <c r="O480" s="163"/>
    </row>
    <row r="481" spans="1:15">
      <c r="A481" s="108" t="str">
        <f>"Minimum IRS/"&amp;DS_Loan_Name&amp;" Set-Aside"</f>
        <v>Minimum IRS/SAIL, HOME-ARP, NHTF Set-Aside</v>
      </c>
      <c r="B481" s="112" t="str">
        <f>IF(AND(Total_Units=0,total_units_in_setaside_chart=0),"",IF(Minimum_SetAside_per_Sec_42=Data1!A$422," With a HC commitment of "&amp;TEXT(SUM('Units, Set-Asides, Bldgs'!G20:G27),"0%")&amp;", the minimum IRS Set-Aside commitment of 20% is"&amp;IF(SUM('Units, Set-Asides, Bldgs'!G20:G27)&gt;=20%,""," NOT")&amp;" met.",IF(Minimum_SetAside_per_Sec_42=Data1!A$423," With a HC commitment of "&amp;TEXT(SUM('Units, Set-Asides, Bldgs'!G20:G28),"0%")&amp;", the minimum IRS Set-Aside commitment of 40% is"&amp;IF(SUM('Units, Set-Asides, Bldgs'!G20:G28)&gt;=40%,""," NOT")&amp;" met.",IF(Minimum_SetAside_per_Sec_42=Data1!A$425," The minimum "&amp;Data1!A$425&amp;" of "&amp;TEXT(Data1!B$441,"0%")&amp;" is"&amp;IF(SUM('Units, Set-Asides, Bldgs'!G20:G28)+IF('Units, Set-Asides, Bldgs'!P32=0,'Units, Set-Asides, Bldgs'!G30,0)&gt;=Data1!B$441,""," NOT")&amp;" met with a commitment of "&amp;TEXT(SUM('Units, Set-Asides, Bldgs'!G20:G28)+IF('Units, Set-Asides, Bldgs'!P32=0,'Units, Set-Asides, Bldgs'!G30,0),"0%")&amp;".",IF(Minimum_SetAside_per_Sec_42="Average Income Test"," This set-aside table is not applicable.","")))))</f>
        <v/>
      </c>
      <c r="C481" s="163"/>
      <c r="D481" s="163"/>
      <c r="E481" s="163"/>
      <c r="F481" s="163"/>
      <c r="G481" s="163"/>
      <c r="H481" s="163"/>
      <c r="I481" s="163"/>
      <c r="J481" s="163"/>
      <c r="K481" s="163"/>
      <c r="L481" s="163"/>
      <c r="M481" s="163"/>
      <c r="N481" s="163"/>
      <c r="O481" s="163"/>
    </row>
    <row r="482" spans="1:15">
      <c r="A482" s="108" t="s">
        <v>1161</v>
      </c>
      <c r="B482" s="112" t="str">
        <f>IF(AND(Total_Units=0,total_units_in_setaside_chart=0),"",IF(Minimum_SetAside_per_Sec_42=Data1!A$425,"",IF(NonProfit_Applicant="Yes"," The minimum IRS Safe-Harbor Set-Aside commitment for Non-Profit Applicants of "&amp;TEXT(Data1!B436,"0%")&amp;" is "&amp;IF(SUM('Units, Set-Asides, Bldgs'!G20:G27)+IF(Minimum_SetAside_per_Sec_42=Data1!A423,'Units, Set-Asides, Bldgs'!G28,0)&gt;=Data1!B436,"","NOT ")&amp;"met.","")))</f>
        <v/>
      </c>
      <c r="C482" s="163"/>
      <c r="D482" s="163"/>
      <c r="E482" s="163"/>
      <c r="F482" s="163"/>
      <c r="G482" s="163"/>
      <c r="H482" s="163"/>
      <c r="I482" s="163"/>
      <c r="J482" s="163"/>
      <c r="K482" s="163"/>
      <c r="L482" s="163"/>
      <c r="M482" s="163"/>
      <c r="N482" s="163"/>
      <c r="O482" s="163"/>
    </row>
    <row r="483" spans="1:15">
      <c r="A483" s="108" t="s">
        <v>1162</v>
      </c>
      <c r="B483" s="112" t="str">
        <f>IF(AND(Total_Units=0,total_units_in_setaside_chart=0),"",IF(Minimum_SetAside_per_Sec_42=Data1!A$425,"",IF('Units, Set-Asides, Bldgs'!P32=0," For Workforce Developments, the minimum FHFC HC commitment of "&amp;TEXT(Data1!B433,"0%")&amp;" is "&amp;IF(SUM('Units, Set-Asides, Bldgs'!G20:G27)+IF(Minimum_SetAside_per_Sec_42=Data1!A423,'Units, Set-Asides, Bldgs'!G28,0)&gt;=Data1!B433,"","NOT ")&amp;"met, and the maximum HC commitment of "&amp;TEXT(Data1!B434,"0%")&amp;" is "&amp;IF(SUM('Units, Set-Asides, Bldgs'!G20:G28)&lt;=Data1!B434,"","NOT ")&amp;"met.","")))</f>
        <v/>
      </c>
      <c r="C483" s="163"/>
      <c r="D483" s="163"/>
      <c r="E483" s="163"/>
      <c r="F483" s="163"/>
      <c r="G483" s="163"/>
      <c r="H483" s="163"/>
      <c r="I483" s="163"/>
      <c r="J483" s="163"/>
      <c r="K483" s="163"/>
      <c r="L483" s="163"/>
      <c r="M483" s="163"/>
      <c r="N483" s="163"/>
      <c r="O483" s="163"/>
    </row>
    <row r="484" spans="1:15">
      <c r="A484" s="108" t="s">
        <v>1163</v>
      </c>
      <c r="B484" s="112" t="str">
        <f>IF(AND(Total_Units=0,total_units_in_setaside_chart=0),"",IF(Minimum_SetAside_per_Sec_42=Data1!A$425,"",IF(Demographic="Elderly ALF"," The minimum FHFC HC commitment for Elderly ALF Developments of "&amp;TEXT(Data1!B435,"0%")&amp;" is "&amp;IF(SUM('Units, Set-Asides, Bldgs'!G20:G27)+IF(Minimum_SetAside_per_Sec_42=Data1!A423,'Units, Set-Asides, Bldgs'!G28,0)&gt;=Data1!B435,"","NOT ")&amp;"met.","")))</f>
        <v/>
      </c>
      <c r="C484" s="163"/>
      <c r="D484" s="163"/>
      <c r="E484" s="163"/>
      <c r="F484" s="163"/>
      <c r="G484" s="163"/>
      <c r="H484" s="163"/>
      <c r="I484" s="163"/>
      <c r="J484" s="163"/>
      <c r="K484" s="163"/>
      <c r="L484" s="163"/>
      <c r="M484" s="163"/>
      <c r="N484" s="163"/>
      <c r="O484" s="163"/>
    </row>
    <row r="485" spans="1:15">
      <c r="A485" s="1023" t="s">
        <v>1164</v>
      </c>
      <c r="B485" s="112" t="str">
        <f>IF(AND(Total_Units=0,total_units_in_setaside_chart=0,Total_AIT_Chart_Units=0),"",IF(AND(C$428="Yes",C$429="Yes",OR(Demographic="Family",Demographic="Elderly Non-ALF"),OR(NonProfit_Applicant="No",NonProfit_Applicant="&lt;select one&gt;"),AND(total_HC_units_NonAIT&gt;=Data1!B$429,'Units, Set-Asides, Bldgs'!P17&lt;&gt;0))," The Development qualifies for the minimum FHFC RFA overall set-aside commitment of at least "&amp;TEXT(Data1!B$429,"0")&amp;" Set-Aside Units as a for profit Applicant with a Demographic Commitment of "&amp;Demographic&amp;".",IF(C$428="Yes"," The minimum FHFC RFA overall set-aside commitment of "&amp;TEXT(Data1!B$428,"0%")&amp;" is"&amp;IF(SUM('Units, Set-Asides, Bldgs'!G20:G27)+IF(Minimum_SetAside_per_Sec_42&lt;&gt;Data1!A422,'Units, Set-Asides, Bldgs'!G28,0)+IF(OR('Units, Set-Asides, Bldgs'!P30=0,'Units, Set-Asides, Bldgs'!P32=1),0,'Units, Set-Asides, Bldgs'!G30)&gt;=Data1!B$428,"",IF(AND('Units, Set-Asides, Bldgs'!N70=1,SUMIF('Units, Set-Asides, Bldgs'!I$73:I$84,"&lt;="&amp;IF(C$447="Yes",Data1!B$447,Data1!B$448),'Units, Set-Asides, Bldgs'!G$73:G$84)&gt;=Data1!B$428),"n't"," NOT"))&amp;" met"&amp;IF(OR('Units, Set-Asides, Bldgs'!N70=0,SUM('Units, Set-Asides, Bldgs'!G20:G27)+IF(Minimum_SetAside_per_Sec_42&lt;&gt;Data1!A422,'Units, Set-Asides, Bldgs'!G28,0)+IF(Data1!B440="HOME",'Units, Set-Asides, Bldgs'!G29,0)+IF(OR('Units, Set-Asides, Bldgs'!P30=0,'Units, Set-Asides, Bldgs'!P32=1),0,'Units, Set-Asides, Bldgs'!G30)&lt;=IF(Minimum_SetAside_per_Sec_42=Data1!A$425,Data1!B$441,Data1!B$428)),"."," with the "&amp;IF(Minimum_SetAside_per_Sec_42=Data1!A$425,Data1!B440&amp;" Loan","HC")&amp;" set-aside commitment.")&amp;IF(SUM('Units, Set-Asides, Bldgs'!G20:G27)+IF(Minimum_SetAside_per_Sec_42&lt;&gt;Data1!A422,'Units, Set-Asides, Bldgs'!G28,0)+IF(Data1!B440="HOME",'Units, Set-Asides, Bldgs'!G29,0)+IF(OR('Units, Set-Asides, Bldgs'!P30=0,'Units, Set-Asides, Bldgs'!P32=1),0,'Units, Set-Asides, Bldgs'!G30)&lt;IF(Minimum_SetAside_per_Sec_42=Data1!A$425,Data1!B$441,Data1!B$428),IF('Units, Set-Asides, Bldgs'!N70=0,"",IF(SUMIF('Units, Set-Asides, Bldgs'!I$73:I$84,"&lt;="&amp;IF(C$447="Yes",DS_Gap_AMI_Auto,DS_Gap_AMI_Max),'Units, Set-Asides, Bldgs'!G$73:G$84)&gt;=Data1!B$428," However,"," In addition,")&amp;" the "&amp;DS_Gap_Name&amp;" Set-Aside table shows the minimum FHFC RFA overall set-aside commitment is"&amp;IF(SUMIF('Units, Set-Asides, Bldgs'!I$73:I$84,"&lt;="&amp;IF(C$447="Yes",DS_Gap_AMI_Auto,DS_Gap_AMI_Max),'Units, Set-Asides, Bldgs'!G$73:G$84)&gt;=Data1!B$428,""," NOT")&amp;" met with a "&amp;DS_Gap_Name&amp;" commitment of "&amp;TEXT(SUMIF('Units, Set-Asides, Bldgs'!I$73:I$84,"&lt;="&amp;IF(C$447="Yes",DS_Gap_AMI_Auto,DS_Gap_AMI_Max),'Units, Set-Asides, Bldgs'!G$73:G$84),"0%")&amp;"."),""),"")))</f>
        <v/>
      </c>
      <c r="C485" s="163"/>
      <c r="D485" s="163"/>
      <c r="E485" s="163"/>
      <c r="F485" s="163"/>
      <c r="G485" s="163"/>
      <c r="H485" s="163"/>
      <c r="I485" s="163"/>
      <c r="J485" s="163"/>
      <c r="K485" s="163"/>
      <c r="L485" s="163"/>
      <c r="M485" s="163"/>
      <c r="N485" s="163"/>
      <c r="O485" s="163"/>
    </row>
    <row r="486" spans="1:15">
      <c r="A486" s="108" t="s">
        <v>1165</v>
      </c>
      <c r="B486" s="112" t="str">
        <f>IF(AND(Total_Units=0,total_units_in_setaside_chart=0),"",IF(IF(Self_Sourced_Applicant="Yes",DS_Min_ELI_NonAIT_SS+IF(B$460="Yes",DS_Min_ELI_NonAIT_Buy_SS,0),DS_Min_ELI_NonAIT_NSS+IF(B$460="Yes",DS_Min_ELI_NonAIT_Buy_NSS,0))&gt;0," The minimum FHFC ELI commitment of "&amp;TEXT(IF(Self_Sourced_Applicant="Yes",DS_Min_ELI_NonAIT_SS+IF(B$460="Yes",DS_Min_ELI_NonAIT_Buy_SS,0),DS_Min_ELI_NonAIT_NSS+IF(B$460="Yes",DS_Min_ELI_NonAIT_Buy_NSS,0)),"0%")&amp;" is "&amp;IF(I458&gt;=DS_Minimum_ELI,"","NOT ")&amp;"met with an ELI commitment of "&amp;TEXT(I458,"0%")&amp;".",""))</f>
        <v/>
      </c>
      <c r="C486" s="163"/>
      <c r="D486" s="163"/>
      <c r="E486" s="163"/>
      <c r="F486" s="163"/>
      <c r="G486" s="163"/>
      <c r="H486" s="163"/>
      <c r="I486" s="163"/>
      <c r="J486" s="163"/>
      <c r="K486" s="163"/>
      <c r="L486" s="163"/>
      <c r="M486" s="163"/>
      <c r="N486" s="163"/>
      <c r="O486" s="163"/>
    </row>
    <row r="487" spans="1:15">
      <c r="A487" s="754" t="s">
        <v>1841</v>
      </c>
      <c r="B487" s="1648" t="str">
        <f>IF(AND(Total_Units=0,total_units_in_setaside_chart=0),"",IF(IF(AND(Self_Sourced_Applicant="Yes",$H$475="Yes"),$B$475,0)&gt;0," The minimum FHFC commitment for units below 50% AMI of "&amp;TEXT(IF(AND(Self_Sourced_Applicant="Yes",$H$475="Yes"),$B$475,0),"0%")&amp;" is "&amp;IF(SUM('Units, Set-Asides, Bldgs'!$G$20:$G$26)&gt;=$B$475,"","NOT ")&amp;"met with a commitment of "&amp;TEXT(SUM('Units, Set-Asides, Bldgs'!$G$20:$G$26),"0%")&amp;".",""))</f>
        <v/>
      </c>
      <c r="C487" s="578"/>
      <c r="D487" s="578"/>
      <c r="E487" s="578"/>
      <c r="F487" s="578"/>
      <c r="G487" s="578"/>
      <c r="H487" s="578"/>
      <c r="I487" s="578"/>
      <c r="J487" s="578"/>
      <c r="K487" s="578"/>
      <c r="L487" s="578"/>
      <c r="M487" s="578"/>
      <c r="N487" s="578"/>
      <c r="O487" s="578"/>
    </row>
    <row r="488" spans="1:15">
      <c r="A488" s="402" t="str">
        <f>"Section 4.A.6."&amp;'Units, Set-Asides, Bldgs'!A$10&amp;"."&amp;'Units, Set-Asides, Bldgs'!B$15&amp;"("&amp;'Units, Set-Asides, Bldgs'!C$36&amp;") Set-Aside Table (AIT)"</f>
        <v>Section 4.A.6.b.(2)() Set-Aside Table (AIT)</v>
      </c>
      <c r="M488" s="961"/>
    </row>
    <row r="489" spans="1:15">
      <c r="A489" t="s">
        <v>1181</v>
      </c>
      <c r="B489" s="163" t="str">
        <f>IF(AND(Total_Units=0,Total_AIT_Chart_Units=0),"","All of the units have "&amp;IF(AND(Total_Units&gt;0,Total_Units=Total_AIT_Chart_Units),"","NOT ")&amp;"been entered in the AIT Set-Aside Chart"&amp;IF('Units, Set-Asides, Bldgs'!F46&gt;0,", including "&amp;TEXT('Units, Set-Asides, Bldgs'!F46,"0")&amp;" "&amp;'Units, Set-Asides, Bldgs'!J46,"")&amp;".")</f>
        <v/>
      </c>
      <c r="C489" s="163"/>
      <c r="D489" s="163"/>
      <c r="E489" s="163"/>
      <c r="F489" s="163"/>
      <c r="G489" s="163"/>
      <c r="H489" s="163"/>
      <c r="I489" s="163"/>
      <c r="J489" s="163"/>
      <c r="K489" s="163"/>
      <c r="L489" s="163"/>
      <c r="M489" s="163"/>
      <c r="N489" s="163"/>
      <c r="O489" s="163"/>
    </row>
    <row r="490" spans="1:15">
      <c r="A490" s="108" t="str">
        <f>"Minimum IRS/"&amp;DS_Loan_Name&amp;" Set-Aside"</f>
        <v>Minimum IRS/SAIL, HOME-ARP, NHTF Set-Aside</v>
      </c>
      <c r="B490" s="112" t="str">
        <f>IF(AND(Total_Units=0,Total_AIT_Chart_Units=0),""," With a HC commitment of "&amp;TEXT(SUM('Units, Set-Asides, Bldgs'!F39:F45),"0")&amp;" units, the minimum IRS Set-Aside commitment of 40% ("&amp;TEXT(ROUNDUP(40%*Total_Units,0),"0")&amp;" units) is"&amp;IF(SUM('Units, Set-Asides, Bldgs'!G39:G45)&gt;=40%,""," NOT")&amp;" met. The average AMI of the HC units must be 60% or less which is "&amp;IF(avg_AMI_HC_Units_in_avg_inc_chart&lt;=60%,"","NOT ")&amp;"met with an average of "&amp;TEXT(avg_AMI_HC_Units_in_avg_inc_chart,"0.000%")&amp;".")</f>
        <v/>
      </c>
      <c r="C490" s="163"/>
      <c r="D490" s="163"/>
      <c r="E490" s="163"/>
      <c r="F490" s="163"/>
      <c r="G490" s="163"/>
      <c r="H490" s="163"/>
      <c r="I490" s="163"/>
      <c r="J490" s="163"/>
      <c r="K490" s="163"/>
      <c r="L490" s="163"/>
      <c r="M490" s="163"/>
      <c r="N490" s="163"/>
      <c r="O490" s="163"/>
    </row>
    <row r="491" spans="1:15">
      <c r="A491" s="108" t="s">
        <v>1161</v>
      </c>
      <c r="B491" s="112" t="str">
        <f>IF(AND(Total_Units=0,Total_AIT_Chart_Units=0),"",IF(NonProfit_Applicant="Yes"," The minimum IRS Safe-Harbor Set-Aside commitment for Non-Profit Applicants of "&amp;TEXT(Data1!B436,"0%")&amp;" ("&amp;TEXT(ROUNDUP(Data1!B436*Total_Units,0),"0")&amp;" units) is "&amp;IF(SUM('Units, Set-Asides, Bldgs'!G39:G45)&gt;=Data1!B436,"","NOT ")&amp;"met.",""))</f>
        <v/>
      </c>
      <c r="C491" s="163"/>
      <c r="D491" s="163"/>
      <c r="E491" s="163"/>
      <c r="F491" s="163"/>
      <c r="G491" s="163"/>
      <c r="H491" s="163"/>
      <c r="I491" s="163"/>
      <c r="J491" s="163"/>
      <c r="K491" s="163"/>
      <c r="L491" s="163"/>
      <c r="M491" s="163"/>
      <c r="N491" s="163"/>
      <c r="O491" s="163"/>
    </row>
    <row r="492" spans="1:15">
      <c r="A492" s="108" t="s">
        <v>1162</v>
      </c>
      <c r="B492" s="112" t="str">
        <f>IF(AND(Total_Units=0,Total_AIT_Chart_Units=0),"",IF('Units, Set-Asides, Bldgs'!P32=1,""," For Workforce Developments, the minimum FHFC HC commitment at 60% AMI or less of "&amp;TEXT(Data1!B433,"0%")&amp;" ("&amp;TEXT(ROUNDUP(Data1!B433*Total_Units,0),"0")&amp;" units) is "&amp;IF(SUM('Units, Set-Asides, Bldgs'!G39:G43)&gt;=Data1!B433,"","NOT ")&amp;"met with a commitment of "&amp;TEXT(SUM('Units, Set-Asides, Bldgs'!F39:F43),"0")&amp;" units, and the maximum HC commitment at 60% AMI or less of "&amp;TEXT(Data1!B434,"0%")&amp;" ("&amp;TEXT(ROUNDUP(Data1!B434*Total_Units,0),"0")&amp;" units) is "&amp;IF(ROUNDUP(Data1!B434*Total_Units,0)&gt;=SUM('Units, Set-Asides, Bldgs'!F39:F43),"","NOT ")&amp;"met."))</f>
        <v/>
      </c>
      <c r="C492" s="163"/>
      <c r="D492" s="163"/>
      <c r="E492" s="163"/>
      <c r="F492" s="163"/>
      <c r="G492" s="163"/>
      <c r="H492" s="163"/>
      <c r="I492" s="163"/>
      <c r="J492" s="163"/>
      <c r="K492" s="163"/>
      <c r="L492" s="163"/>
      <c r="M492" s="163"/>
      <c r="N492" s="163"/>
      <c r="O492" s="163"/>
    </row>
    <row r="493" spans="1:15">
      <c r="A493" s="108" t="s">
        <v>1163</v>
      </c>
      <c r="B493" s="112" t="str">
        <f>IF(AND(Total_Units=0,Total_AIT_Chart_Units=0),"",IF(Demographic="Elderly ALF"," The minimum FHFC HC commitment for Elderly ALF Developments of "&amp;TEXT(Data1!B435,"0%")&amp;" is "&amp;IF(SUM('Units, Set-Asides, Bldgs'!G39:G45)&gt;=Data1!B435,"","NOT ")&amp;"met.",""))</f>
        <v/>
      </c>
      <c r="C493" s="163"/>
      <c r="D493" s="163"/>
      <c r="E493" s="163"/>
      <c r="F493" s="163"/>
      <c r="G493" s="163"/>
      <c r="H493" s="163"/>
      <c r="I493" s="163"/>
      <c r="J493" s="163"/>
      <c r="K493" s="163"/>
      <c r="L493" s="163"/>
      <c r="M493" s="163"/>
      <c r="N493" s="163"/>
      <c r="O493" s="163"/>
    </row>
    <row r="494" spans="1:15">
      <c r="A494" s="1023" t="s">
        <v>1942</v>
      </c>
      <c r="B494" s="112" t="str">
        <f>IF(AND(Total_Units=0,Total_AIT_Chart_Units=0),"",IF(AND(C$428="Yes",C$429="Yes",OR(Demographic="Family",Demographic="Elderly Non-ALF"),OR(NonProfit_Applicant="No",NonProfit_Applicant="&lt;select one&gt;"),AND(total_HC_units_avg_inc&gt;=Data1!B$429,'Units, Set-Asides, Bldgs'!P36&lt;&gt;0)),"The Development qualifies for the minimum FHFC RFA overall set-aside commitment of at least "&amp;TEXT(Data1!B$429,"0")&amp;" Set-Aside Units as a for profit Applicant with a Demographic Commitment of "&amp;Demographic&amp;".",IF(C$428="Yes"," The minimum FHFC RFA overall set-aside commitment of "&amp;TEXT(Data1!B$428,"0%")&amp;" ("&amp;TEXT(ROUNDUP(Data1!B$428*Total_Units,0),"0")&amp;" units) is"&amp;IF(SUM('Units, Set-Asides, Bldgs'!G39:G45)+IF(OR('Units, Set-Asides, Bldgs'!P30=0,'Units, Set-Asides, Bldgs'!P32=1),0,'Units, Set-Asides, Bldgs'!G46)&gt;=Data1!B$428,"",IF(AND('Units, Set-Asides, Bldgs'!N70=1,SUMIF('Units, Set-Asides, Bldgs'!I$73:I$84,"&lt;="&amp;IF(C$447="Yes",Data1!B$447,Data1!B$448),'Units, Set-Asides, Bldgs'!G$73:G$84)&gt;=Data1!B$428),"n't"," NOT"))&amp;" met"&amp;IF(OR('Units, Set-Asides, Bldgs'!N70=0,SUM('Units, Set-Asides, Bldgs'!G39:G45)&lt;=Data1!B428),"."," with a "&amp;IF(Minimum_SetAside_per_Sec_42=Data1!A$425,"Loan","HC")&amp;" commitment of "&amp;TEXT(SUM('Units, Set-Asides, Bldgs'!F39:F45)+IF(OR('Units, Set-Asides, Bldgs'!P30=0,'Units, Set-Asides, Bldgs'!P32=1),0,'Units, Set-Asides, Bldgs'!F46),"0")&amp;" units.")&amp;IF(SUM('Units, Set-Asides, Bldgs'!G39:G45)+IF(OR('Units, Set-Asides, Bldgs'!P30=0,'Units, Set-Asides, Bldgs'!P32=1),0,'Units, Set-Asides, Bldgs'!G46)&lt;Data1!B$428,IF('Units, Set-Asides, Bldgs'!N70=0,"",IF(SUMIF('Units, Set-Asides, Bldgs'!I$73:I$84,"&lt;="&amp;IF(C$447="Yes",Data1!B$447,Data1!B$448),'Units, Set-Asides, Bldgs'!G$73:G$84)&gt;=Data1!B$428," However"," In addition")&amp;", the "&amp;DS_Gap_Name&amp;" Set-Aside table shows the minimum FHFC RFA overall set-aside commitment is"&amp;IF(SUMIF('Units, Set-Asides, Bldgs'!I$73:I$84,"&lt;="&amp;IF(C$447="Yes",Data1!B$447,Data1!B$448),'Units, Set-Asides, Bldgs'!G$73:G$84)&gt;=Data1!B$428,""," NOT")&amp;" met with a "&amp;DS_Gap_Name&amp;" commitment of "&amp;TEXT(SUMIF('Units, Set-Asides, Bldgs'!I$73:I$84,"&lt;="&amp;IF(C$447="Yes",Data1!B$447,Data1!B$448),'Units, Set-Asides, Bldgs'!G$73:G$84),"0%")&amp;"."),""),"")))</f>
        <v/>
      </c>
      <c r="C494" s="163"/>
      <c r="D494" s="163"/>
      <c r="E494" s="163"/>
      <c r="F494" s="163"/>
      <c r="G494" s="163"/>
      <c r="H494" s="163"/>
      <c r="I494" s="163"/>
      <c r="J494" s="163"/>
      <c r="K494" s="163"/>
      <c r="L494" s="163"/>
      <c r="M494" s="163"/>
      <c r="N494" s="163"/>
      <c r="O494" s="163"/>
    </row>
    <row r="495" spans="1:15">
      <c r="A495" s="108" t="s">
        <v>1165</v>
      </c>
      <c r="B495" s="112" t="str">
        <f>IF(AND(Total_Units=0,Total_AIT_Chart_Units=0),"",IF(IF(Self_Sourced_Applicant="Yes",DS_Min_ELI_AIT_SS+IF(B460="Yes",DS_Min_ELI_AIT_Buy_SS,0),DS_Min_ELI_AIT_NSS+IF(B460="Yes",DS_Min_ELI_AIT_Buy_NSS,0))&gt;0," The minimum FHFC ELI commitment (at 30% AMI or less) of "&amp;TEXT(IF(Self_Sourced_Applicant="Yes",DS_Min_ELI_AIT_SS+IF(B460="Yes",DS_Min_ELI_AIT_Buy_SS,0),DS_Min_ELI_AIT_NSS+IF(B460="Yes",DS_Min_ELI_AIT_Buy_NSS,0)),"0%")&amp;" ("&amp;TEXT(ROUNDUP(IF(Self_Sourced_Applicant="Yes",DS_Min_ELI_AIT_SS+IF(B460="Yes",DS_Min_ELI_AIT_Buy_SS,0),DS_Min_ELI_AIT_NSS+IF(B460="Yes",DS_Min_ELI_AIT_Buy_NSS,0))*Total_Units,0),"0")&amp;" units) is "&amp;IF(ROUND(IF(Self_Sourced_Applicant="Yes",DS_Min_ELI_AIT_SS+IF(B460="Yes",DS_Min_ELI_AIT_Buy_SS,0),DS_Min_ELI_AIT_NSS+IF(B460="Yes",DS_Min_ELI_AIT_Buy_NSS,0))*Total_Units,0)&lt;='Units, Set-Asides, Bldgs'!F39+'Units, Set-Asides, Bldgs'!F40,"","NOT ")&amp;"met with an ELI commitment of "&amp;TEXT('Units, Set-Asides, Bldgs'!F39+'Units, Set-Asides, Bldgs'!F40,"0")&amp;" units.",""))</f>
        <v/>
      </c>
      <c r="C495" s="163"/>
      <c r="D495" s="163"/>
      <c r="E495" s="163"/>
      <c r="F495" s="163"/>
      <c r="G495" s="163"/>
      <c r="H495" s="163"/>
      <c r="I495" s="163"/>
      <c r="J495" s="163"/>
      <c r="K495" s="163"/>
      <c r="L495" s="163"/>
      <c r="M495" s="163"/>
      <c r="N495" s="163"/>
      <c r="O495" s="163"/>
    </row>
    <row r="496" spans="1:15">
      <c r="A496" s="754" t="s">
        <v>1841</v>
      </c>
      <c r="B496" s="752" t="str">
        <f>IF(AND(Total_Units=0,Total_AIT_Chart_Units=0),"",IF(IF(AND(Self_Sourced_Applicant="Yes",$H$475="Yes"),$B$476,0)&gt;0," The minimum FHFC commitment for units below 50% AMI of "&amp;TEXT(IF(AND(Self_Sourced_Applicant="Yes",$H$475="Yes"),$B$476,0),"0%")&amp;" is "&amp;IF(SUM('Units, Set-Asides, Bldgs'!$G$39:$G$41)&gt;=$B$476,"","NOT ")&amp;"met with a commitment of "&amp;TEXT(SUM('Units, Set-Asides, Bldgs'!$G$39:$G$41),"0%")&amp;".",""))</f>
        <v/>
      </c>
      <c r="C496" s="578"/>
      <c r="D496" s="578"/>
      <c r="E496" s="578"/>
      <c r="F496" s="578"/>
      <c r="G496" s="578"/>
      <c r="H496" s="578"/>
      <c r="I496" s="578"/>
      <c r="J496" s="578"/>
      <c r="K496" s="578"/>
      <c r="L496" s="578"/>
      <c r="M496" s="578"/>
      <c r="N496" s="578"/>
      <c r="O496" s="578"/>
    </row>
    <row r="497" spans="1:48">
      <c r="A497" s="402" t="str">
        <f>"Section 4.A.6."&amp;'Units, Set-Asides, Bldgs'!A$10&amp;"."&amp;'Units, Set-Asides, Bldgs'!B$15&amp;"("&amp;'Units, Set-Asides, Bldgs'!C$70&amp;") Set-Aside Table (Gap)"</f>
        <v>Section 4.A.6.b.(2)() Set-Aside Table (Gap)</v>
      </c>
    </row>
    <row r="498" spans="1:48">
      <c r="A498" t="s">
        <v>1181</v>
      </c>
      <c r="B498" s="163" t="str">
        <f>IF(AND(Total_Units=0,Total_Gap_Chart_Units=0),"","All of the units have "&amp;IF(Total_Units=Total_Gap_Chart_Units,"","NOT ")&amp;"been entered in the "&amp;DS_Gap_Name&amp;" Set-Aside Chart.")</f>
        <v/>
      </c>
      <c r="C498" s="163"/>
      <c r="D498" s="163"/>
      <c r="E498" s="163"/>
      <c r="F498" s="163"/>
      <c r="G498" s="163"/>
      <c r="H498" s="163"/>
      <c r="I498" s="163"/>
      <c r="J498" s="163"/>
      <c r="K498" s="163"/>
      <c r="L498" s="163"/>
      <c r="M498" s="163"/>
      <c r="N498" s="163"/>
      <c r="O498" s="163"/>
    </row>
    <row r="499" spans="1:48">
      <c r="A499" s="108" t="str">
        <f>"Minimum "&amp;DS_Gap_Name&amp;" Set-Asides"</f>
        <v>Minimum SAIL Set-Asides</v>
      </c>
      <c r="B499" s="112" t="str">
        <f>IF(AND(Total_Units=0,Total_Gap_Chart_Units=0),""," The minimum "&amp;DS_Gap_Name&amp;" Set-Aside commitment of "&amp;TEXT(IF(Demographic="Elderly ALF",DS_Gap_Min_SA_ALF,DS_Gap_Min_SA_Perc),"0%")&amp;" is"&amp;IF(SUMIF('Units, Set-Asides, Bldgs'!I73:I84,"&lt;="&amp;IF(C$447="Yes",DS_Gap_AMI_Auto,DS_Gap_AMI_Max),'Units, Set-Asides, Bldgs'!G73:G84)&gt;=IF(Demographic="Elderly ALF",DS_Gap_Min_SA_ALF,DS_Gap_Min_SA_Perc),""," NOT")&amp;" met.")&amp;IF(Minimum_SetAside_per_Sec_42="Average Income Test",IF(AND(Total_Units=0,Total_Gap_Chart_Units=0,DS_Gap_Name&lt;&gt;"SAIL"),"",IF(C$447="Yes"," The maximum average AMI of the qualified SAIL Set-Aside units of "&amp;TEXT(DS_Gap_AMI_Auto_AvgAIT,"0.000%")&amp;" is"&amp;IF(DS_Gap_AMI_Auto_AvgAIT&lt;=60%,""," NOT")&amp;" met.","")),"")</f>
        <v/>
      </c>
      <c r="C499" s="163"/>
      <c r="D499" s="163"/>
      <c r="E499" s="163"/>
      <c r="F499" s="163"/>
      <c r="G499" s="163"/>
      <c r="H499" s="163"/>
      <c r="I499" s="163"/>
      <c r="J499" s="163"/>
      <c r="K499" s="163"/>
      <c r="L499" s="163"/>
      <c r="M499" s="163"/>
      <c r="N499" s="163"/>
      <c r="O499" s="163"/>
    </row>
    <row r="500" spans="1:48">
      <c r="A500" s="108" t="str">
        <f>"Maximum "&amp;DS_Gap_Name&amp;" Set-Asides"</f>
        <v>Maximum SAIL Set-Asides</v>
      </c>
      <c r="B500" s="112" t="str">
        <f>IF(AND(Total_Units=0,Total_Gap_Chart_Units=0),""," The maximum "&amp;DS_Gap_Name&amp;" commitment of "&amp;TEXT(DS_Gap_Max_SA_Perc,"0%")&amp;" is "&amp;IF(SUMIF('Units, Set-Asides, Bldgs'!I73:I84,"&lt;="&amp;IF(C$447="Yes",DS_Gap_AMI_Auto,DS_Gap_AMI_Max),'Units, Set-Asides, Bldgs'!G73:G84)&lt;=DS_Gap_Max_SA_Perc,"","NOT ")&amp;"met.")</f>
        <v/>
      </c>
      <c r="C500" s="163"/>
      <c r="D500" s="163"/>
      <c r="E500" s="163"/>
      <c r="F500" s="163"/>
      <c r="G500" s="163"/>
      <c r="H500" s="163"/>
      <c r="I500" s="163"/>
      <c r="J500" s="163"/>
      <c r="K500" s="163"/>
      <c r="L500" s="163"/>
      <c r="M500" s="163"/>
      <c r="N500" s="163"/>
      <c r="O500" s="163"/>
    </row>
    <row r="501" spans="1:48">
      <c r="A501" s="1023" t="s">
        <v>2008</v>
      </c>
      <c r="B501" s="112" t="str">
        <f>IF(OR(Demographic&lt;&gt;"Elderly ALF",AND(Total_Units=0,Total_Gap_Chart_Units=0)),""," The minimum "&amp;DS_Gap_Name&amp;" Set-Aside commitment for a proposed Development commiting to the Elderly ALF Demographic of "&amp;TEXT(DS_Gap_Min_SA_ALF,"0%")&amp;" is"&amp;IF(SUMIF('Units, Set-Asides, Bldgs'!I73:I84,"&lt;="&amp;IF(C$447="Yes",DS_Gap_AMI_Auto,DS_Gap_AMI_Max),'Units, Set-Asides, Bldgs'!G73:G84)&gt;=DS_Gap_Min_SA_ALF,""," NOT")&amp;" met.")</f>
        <v/>
      </c>
      <c r="C501" s="163"/>
      <c r="D501" s="163"/>
      <c r="E501" s="163"/>
      <c r="F501" s="163"/>
      <c r="G501" s="163"/>
      <c r="H501" s="163"/>
      <c r="I501" s="163"/>
      <c r="J501" s="163"/>
      <c r="K501" s="163"/>
      <c r="L501" s="163"/>
      <c r="M501" s="163"/>
      <c r="N501" s="163"/>
      <c r="O501" s="163"/>
    </row>
    <row r="502" spans="1:48">
      <c r="A502" s="1023" t="str">
        <f>"Minimum "&amp;DS_Gap_Name&amp;" ELI Set-Asides"</f>
        <v>Minimum SAIL ELI Set-Asides</v>
      </c>
      <c r="B502" s="112" t="str">
        <f>IF(AND(Total_Units=0,Total_Gap_Chart_Units=0),""," The "&amp;TEXT(IF('General Information'!G34="Yes",IF(Minimum_SetAside_per_Sec_42="Average Income Test",Data1!B473,Data1!B469),IF(Minimum_SetAside_per_Sec_42="Average Income Test",Data1!B471,Data1!B467)),"0%")&amp;" minimum "&amp;DS_Gap_Name&amp;" ELI commitment (at "&amp;TEXT(IF(Minimum_SetAside_per_Sec_42="Average Income Test",30%,IFERROR(VLOOKUP(County,DS_CountyData,14),25%)),"0%")&amp;" AMI or less) "&amp;IF('General Information'!K34=0,"","for a "&amp;IF('General Information'!G34="Yes","","Non-")&amp;"Self-Sourced Development ")&amp;"is "&amp;IF(IF(Minimum_SetAside_per_Sec_42="Average Income Test",SUM('Units, Set-Asides, Bldgs'!G73:G75),SUMIF('Units, Set-Asides, Bldgs'!I73:I84,"&lt;="&amp;IFERROR(VLOOKUP(County,DS_CountyData,14),25%),'Units, Set-Asides, Bldgs'!G73:G84))&gt;=IF('General Information'!G34="Yes",IF(Minimum_SetAside_per_Sec_42="Average Income Test",Data1!B473,Data1!B469),IF(Minimum_SetAside_per_Sec_42="Average Income Test",Data1!B471,Data1!B467)),"","NOT ")&amp;"met with an ELI commitment of "&amp;TEXT(IF(Minimum_SetAside_per_Sec_42="Average Income Test",SUM('Units, Set-Asides, Bldgs'!G73:G75),SUMIF('Units, Set-Asides, Bldgs'!I73:I84,"&lt;="&amp;IFERROR(VLOOKUP(County,DS_CountyData,14),25%),'Units, Set-Asides, Bldgs'!G73:G84)),"0%")&amp;". ")</f>
        <v/>
      </c>
      <c r="C502" s="163"/>
      <c r="D502" s="163"/>
      <c r="E502" s="163"/>
      <c r="F502" s="163"/>
      <c r="G502" s="163"/>
      <c r="H502" s="163"/>
      <c r="I502" s="163"/>
      <c r="J502" s="163"/>
      <c r="K502" s="163"/>
      <c r="L502" s="163"/>
      <c r="M502" s="163"/>
      <c r="N502" s="163"/>
      <c r="O502" s="163"/>
    </row>
    <row r="503" spans="1:48">
      <c r="A503" s="754" t="s">
        <v>1841</v>
      </c>
      <c r="B503" s="752" t="str">
        <f>IF(AND(Total_Units=0,Total_Gap_Chart_Units=0),"",IF(OR('General Information'!K34=0,'General Information'!G34&lt;&gt;"Yes",$H$475="No"),""," The "&amp;TEXT(IF(Minimum_SetAside_per_Sec_42="Average Income Test",Data1!B455,Data1!B453),"0%")&amp;" minimum Self-Sourced commitment requirement for units below 50% AMI is "&amp;IF(SUM('Units, Set-Asides, Bldgs'!$G$73:$G$79)&gt;=$B$475,"","NOT ")&amp;"met with a commitment of "&amp;TEXT(SUM('Units, Set-Asides, Bldgs'!$G$73:$G$79),"0%")&amp;"."))</f>
        <v/>
      </c>
      <c r="C503" s="578"/>
      <c r="D503" s="578"/>
      <c r="E503" s="578"/>
      <c r="F503" s="578"/>
      <c r="G503" s="578"/>
      <c r="H503" s="578"/>
      <c r="I503" s="578"/>
      <c r="J503" s="578"/>
      <c r="K503" s="578"/>
      <c r="L503" s="578"/>
      <c r="M503" s="578"/>
      <c r="N503" s="578"/>
      <c r="O503" s="578"/>
    </row>
    <row r="504" spans="1:48">
      <c r="A504" s="10"/>
      <c r="B504" s="10"/>
      <c r="C504" s="10"/>
      <c r="D504" s="10"/>
      <c r="E504" s="10"/>
      <c r="F504" s="10"/>
    </row>
    <row r="505" spans="1:48" ht="18" customHeight="1">
      <c r="A505" s="1139" t="s">
        <v>1938</v>
      </c>
      <c r="B505" s="108"/>
      <c r="C505" s="108"/>
      <c r="D505" s="108"/>
      <c r="E505" s="986" t="s">
        <v>970</v>
      </c>
      <c r="G505" s="9" t="s">
        <v>857</v>
      </c>
      <c r="V505" s="211" t="s">
        <v>1030</v>
      </c>
      <c r="W505" s="9" t="s">
        <v>1060</v>
      </c>
      <c r="AF505" s="9" t="s">
        <v>1061</v>
      </c>
    </row>
    <row r="506" spans="1:48">
      <c r="A506" s="600" t="s">
        <v>1054</v>
      </c>
      <c r="B506" s="741">
        <v>0.4</v>
      </c>
      <c r="C506" s="600" t="s">
        <v>855</v>
      </c>
      <c r="D506" s="600"/>
      <c r="E506" s="600"/>
      <c r="F506" s="1340">
        <f>SUM('Units, Set-Asides, Bldgs'!H95:H96)</f>
        <v>0</v>
      </c>
      <c r="G506" s="104" t="str">
        <f>IF(OR(AND(F506=0,'Units, Set-Asides, Bldgs'!H112=0),ROUNDUP(Total_Units*Data1!$B506,0)&lt;='Units, Set-Asides, Bldgs'!$H$95+'Units, Set-Asides, Bldgs'!$H$96),"","The minimum 0 and 1 bedroom units is "&amp;TEXT(Data1!$B506,"0%")&amp;" of the "&amp;TEXT(Total_Units,"0")&amp;" total units (or "&amp;TEXT(ROUNDUP(Total_Units*Data1!$B506,0),"0")&amp;" units) and the combined "&amp;TEXT('Units, Set-Asides, Bldgs'!$H$95+'Units, Set-Asides, Bldgs'!$H$96,"0")&amp;" units entered is "&amp;IF(ROUNDUP(Total_Units*Data1!$B506,0)&gt;'Units, Set-Asides, Bldgs'!$H$95+'Units, Set-Asides, Bldgs'!$H$96,"NOT ","")&amp;"meeting the requirement.")</f>
        <v/>
      </c>
      <c r="H506" s="703"/>
      <c r="I506" s="703"/>
      <c r="J506" s="703"/>
      <c r="K506" s="703"/>
      <c r="L506" s="703"/>
      <c r="M506" s="703"/>
      <c r="N506" s="703"/>
      <c r="O506" s="703"/>
      <c r="P506" s="703"/>
      <c r="Q506" s="703"/>
      <c r="R506" s="703"/>
      <c r="S506" s="703"/>
      <c r="T506" s="703"/>
      <c r="U506" s="703"/>
      <c r="V506" s="726" t="str">
        <f>IF(AND(OR(Demographic="Elderly Non-ALF",Demographic="Elderly (Elderly Transformative Preservation)"),OR(Development_Category="Rehabilitation",Development_Category="Acquisition and Rehabilitation")),IF(SUM('Units, Set-Asides, Bldgs'!H$95:H$96)&gt;=ROUNDUP(Total_Units*B506,0),"Yes","No"),"NA")</f>
        <v>NA</v>
      </c>
      <c r="W506" s="104" t="s">
        <v>1062</v>
      </c>
      <c r="X506" s="104"/>
      <c r="Y506" s="104"/>
      <c r="Z506" s="104"/>
      <c r="AA506" s="104"/>
      <c r="AB506" s="104"/>
      <c r="AC506" s="104"/>
      <c r="AD506" s="104"/>
      <c r="AE506" s="104"/>
      <c r="AF506" s="765" t="str">
        <f>IF(V506="No",W506&amp;" ","")&amp;IF(V507="No",W507&amp;" ","")&amp;IF(V$524="No",W$524,"")</f>
        <v/>
      </c>
      <c r="AG506" s="765"/>
      <c r="AH506" s="765"/>
      <c r="AI506" s="765"/>
      <c r="AJ506" s="765"/>
      <c r="AK506" s="765"/>
      <c r="AL506" s="765"/>
      <c r="AM506" s="765"/>
      <c r="AN506" s="765"/>
      <c r="AO506" s="765"/>
      <c r="AP506" s="765"/>
      <c r="AQ506" s="765"/>
      <c r="AR506" s="765"/>
      <c r="AS506" s="765"/>
      <c r="AT506" s="765"/>
      <c r="AU506" s="765"/>
      <c r="AV506" s="765"/>
    </row>
    <row r="507" spans="1:48">
      <c r="A507" s="753" t="s">
        <v>1055</v>
      </c>
      <c r="B507" s="524">
        <v>0.2</v>
      </c>
      <c r="C507" s="753" t="s">
        <v>855</v>
      </c>
      <c r="D507" s="753"/>
      <c r="E507" s="753"/>
      <c r="F507" s="1345">
        <f>SUM('Units, Set-Asides, Bldgs'!H100:H111)</f>
        <v>0</v>
      </c>
      <c r="G507" s="750" t="str">
        <f>IF(OR(F507=0,ROUNDUP(Total_Units*Data1!$B507,0)&gt;=SUM('Units, Set-Asides, Bldgs'!$H$100:$H$111)),"","The maximum number of units in excess of 2 bedrooms is "&amp;TEXT(Data1!$B507,"0%")&amp;" of the "&amp;TEXT(Total_Units,"0")&amp;" total units (or "&amp;TEXT(ROUNDUP(Total_Units*Data1!$B507,0),"0")&amp;" units) and the combined "&amp;TEXT(SUM('Units, Set-Asides, Bldgs'!$H$100:$H$111),"0")&amp;" entered is "&amp;IF(ROUNDUP(Total_Units*Data1!$B507,0)&lt;SUM('Units, Set-Asides, Bldgs'!$H$100:$H$111),"NOT ","")&amp;"meeting the requirement.")</f>
        <v/>
      </c>
      <c r="H507" s="704"/>
      <c r="I507" s="704"/>
      <c r="J507" s="704"/>
      <c r="K507" s="704"/>
      <c r="L507" s="704"/>
      <c r="M507" s="704"/>
      <c r="N507" s="704"/>
      <c r="O507" s="704"/>
      <c r="P507" s="704"/>
      <c r="Q507" s="704"/>
      <c r="R507" s="704"/>
      <c r="S507" s="704"/>
      <c r="T507" s="704"/>
      <c r="U507" s="704"/>
      <c r="V507" s="728" t="str">
        <f>IF(AND(OR(Demographic="Elderly Non-ALF",Demographic="Elderly (Elderly Transformative Preservation)"),OR(Development_Category="Rehabilitation",Development_Category="Acquisition and Rehabilitation")),IF(SUM('Units, Set-Asides, Bldgs'!H$100:H$111)&lt;=ROUNDUP(Total_Units*B507,0),"Yes","No"),"NA")</f>
        <v>NA</v>
      </c>
      <c r="W507" s="750" t="s">
        <v>1059</v>
      </c>
      <c r="X507" s="750"/>
      <c r="Y507" s="750"/>
      <c r="Z507" s="750"/>
      <c r="AA507" s="750"/>
      <c r="AB507" s="750"/>
      <c r="AC507" s="750"/>
      <c r="AD507" s="750"/>
      <c r="AE507" s="750"/>
      <c r="AF507" s="764"/>
      <c r="AG507" s="764"/>
      <c r="AH507" s="764"/>
      <c r="AI507" s="764"/>
      <c r="AJ507" s="764"/>
      <c r="AK507" s="764"/>
      <c r="AL507" s="764"/>
      <c r="AM507" s="764"/>
      <c r="AN507" s="764"/>
      <c r="AO507" s="764"/>
      <c r="AP507" s="764"/>
      <c r="AQ507" s="764"/>
      <c r="AR507" s="764"/>
      <c r="AS507" s="764"/>
      <c r="AT507" s="764"/>
      <c r="AU507" s="764"/>
      <c r="AV507" s="764"/>
    </row>
    <row r="508" spans="1:48">
      <c r="A508" s="600" t="s">
        <v>1056</v>
      </c>
      <c r="B508" s="701">
        <v>0.5</v>
      </c>
      <c r="C508" s="600" t="s">
        <v>1578</v>
      </c>
      <c r="D508" s="600"/>
      <c r="E508" s="600"/>
      <c r="F508" s="1340">
        <f>SUM('Units, Set-Asides, Bldgs'!H95:H96)</f>
        <v>0</v>
      </c>
      <c r="G508" s="104" t="str">
        <f>IF(OR(AND(F508=0,'Units, Set-Asides, Bldgs'!H112=0),ROUNDUP(Total_Units*Data1!$B508,0)&lt;='Units, Set-Asides, Bldgs'!$H$95+'Units, Set-Asides, Bldgs'!$H$96),"","The minimum 0 and 1 bedroom units is "&amp;TEXT(Data1!$B508,"0%")&amp;" of the "&amp;TEXT(Total_Units,"0")&amp;" total units (or "&amp;TEXT(ROUNDUP(Total_Units*Data1!$B508,0),"0")&amp;" units) and the combined "&amp;TEXT('Units, Set-Asides, Bldgs'!$H$95+'Units, Set-Asides, Bldgs'!$H$96,"0")&amp;" units entered is "&amp;IF(ROUNDUP(Total_Units*Data1!$B508,0)&gt;'Units, Set-Asides, Bldgs'!$H$95+'Units, Set-Asides, Bldgs'!$H$96,"NOT ","")&amp;"meeting the requirement.")</f>
        <v/>
      </c>
      <c r="H508" s="703"/>
      <c r="I508" s="703"/>
      <c r="J508" s="703"/>
      <c r="K508" s="703"/>
      <c r="L508" s="703"/>
      <c r="M508" s="703"/>
      <c r="N508" s="703"/>
      <c r="O508" s="703"/>
      <c r="P508" s="703"/>
      <c r="Q508" s="703"/>
      <c r="R508" s="703"/>
      <c r="S508" s="703"/>
      <c r="T508" s="703"/>
      <c r="U508" s="703"/>
      <c r="V508" s="726" t="str">
        <f>IF(AND(OR(Demographic="Elderly Non-ALF",Demographic="Elderly (Elderly Transformative Preservation)"),OR(Development_Category="New Construction",Development_Category="Redevelopment",Development_Category="Acquisition and Redevelopment")),IF(SUM('Units, Set-Asides, Bldgs'!H$95:H$96)&gt;=ROUNDUP(Total_Units*B508,0),"Yes","No"),"NA")</f>
        <v>NA</v>
      </c>
      <c r="W508" s="104" t="s">
        <v>1062</v>
      </c>
      <c r="X508" s="104"/>
      <c r="Y508" s="104"/>
      <c r="Z508" s="104"/>
      <c r="AA508" s="104"/>
      <c r="AB508" s="104"/>
      <c r="AC508" s="104"/>
      <c r="AD508" s="104"/>
      <c r="AE508" s="104"/>
      <c r="AF508" s="766" t="str">
        <f>IF(V508="No",W508&amp;" ","")&amp;IF(V509="No",W509&amp;" ","")&amp;IF(V$524="No",W$524,"")</f>
        <v/>
      </c>
      <c r="AG508" s="766"/>
      <c r="AH508" s="766"/>
      <c r="AI508" s="766"/>
      <c r="AJ508" s="766"/>
      <c r="AK508" s="766"/>
      <c r="AL508" s="766"/>
      <c r="AM508" s="766"/>
      <c r="AN508" s="766"/>
      <c r="AO508" s="766"/>
      <c r="AP508" s="766"/>
      <c r="AQ508" s="766"/>
      <c r="AR508" s="766"/>
      <c r="AS508" s="766"/>
      <c r="AT508" s="766"/>
      <c r="AU508" s="766"/>
      <c r="AV508" s="766"/>
    </row>
    <row r="509" spans="1:48">
      <c r="A509" s="754" t="s">
        <v>1057</v>
      </c>
      <c r="B509" s="524">
        <v>0.15</v>
      </c>
      <c r="C509" s="754" t="s">
        <v>1578</v>
      </c>
      <c r="D509" s="754"/>
      <c r="E509" s="754"/>
      <c r="F509" s="1346">
        <f>SUM('Units, Set-Asides, Bldgs'!H100:H111)</f>
        <v>0</v>
      </c>
      <c r="G509" s="751" t="str">
        <f>IF(OR(F509=0,ROUNDUP(Total_Units*Data1!$B509,0)&gt;=SUM('Units, Set-Asides, Bldgs'!$H$100:$H$111)),"","The maximum number of units in excess of 2 bedrooms is "&amp;TEXT(Data1!$B509,"0%")&amp;" of the "&amp;TEXT(Total_Units,"0")&amp;" total units (or "&amp;TEXT(ROUNDUP(Total_Units*Data1!$B509,0),"0")&amp;" units) and the combined "&amp;TEXT(SUM('Units, Set-Asides, Bldgs'!$H$100:$H$111),"0")&amp;" entered is "&amp;IF(ROUNDUP(Total_Units*Data1!$B509,0)&lt;SUM('Units, Set-Asides, Bldgs'!$H$100:$H$111),"NOT ","")&amp;"meeting the requirement.")</f>
        <v/>
      </c>
      <c r="H509" s="705"/>
      <c r="I509" s="705"/>
      <c r="J509" s="705"/>
      <c r="K509" s="705"/>
      <c r="L509" s="705"/>
      <c r="M509" s="705"/>
      <c r="N509" s="705"/>
      <c r="O509" s="705"/>
      <c r="P509" s="705"/>
      <c r="Q509" s="705"/>
      <c r="R509" s="705"/>
      <c r="S509" s="705"/>
      <c r="T509" s="705"/>
      <c r="U509" s="705"/>
      <c r="V509" s="761" t="str">
        <f>IF(AND(OR(Demographic="Elderly Non-ALF",Demographic="Elderly (Elderly Transformative Preservation)"),OR(Development_Category="New Construction",Development_Category="Redevelopment",Development_Category="Acquisition and Redevelopment")),IF(SUM('Units, Set-Asides, Bldgs'!H$100:H$111)&lt;=ROUNDUP(Total_Units*B509,0),"Yes","No"),"NA")</f>
        <v>NA</v>
      </c>
      <c r="W509" s="751" t="s">
        <v>1059</v>
      </c>
      <c r="X509" s="751"/>
      <c r="Y509" s="751"/>
      <c r="Z509" s="751"/>
      <c r="AA509" s="751"/>
      <c r="AB509" s="751"/>
      <c r="AC509" s="751"/>
      <c r="AD509" s="751"/>
      <c r="AE509" s="751"/>
      <c r="AF509" s="764"/>
      <c r="AG509" s="764"/>
      <c r="AH509" s="764"/>
      <c r="AI509" s="764"/>
      <c r="AJ509" s="764"/>
      <c r="AK509" s="764"/>
      <c r="AL509" s="764"/>
      <c r="AM509" s="764"/>
      <c r="AN509" s="764"/>
      <c r="AO509" s="764"/>
      <c r="AP509" s="764"/>
      <c r="AQ509" s="764"/>
      <c r="AR509" s="764"/>
      <c r="AS509" s="764"/>
      <c r="AT509" s="764"/>
      <c r="AU509" s="764"/>
      <c r="AV509" s="764"/>
    </row>
    <row r="510" spans="1:48">
      <c r="A510" s="755" t="s">
        <v>1037</v>
      </c>
      <c r="B510" s="525">
        <v>0.9</v>
      </c>
      <c r="C510" s="755"/>
      <c r="D510" s="755"/>
      <c r="E510" s="755"/>
      <c r="F510" s="1341">
        <f>SUM('Units, Set-Asides, Bldgs'!H95:H96)</f>
        <v>0</v>
      </c>
      <c r="G510" s="752" t="str">
        <f>IF(OR(AND(F510=0,'Units, Set-Asides, Bldgs'!H112=0),ROUNDUP(Total_Units*Data1!$B510,0)&lt;='Units, Set-Asides, Bldgs'!$H$95+'Units, Set-Asides, Bldgs'!$H$96),"","The minimum 0 and 1 bedroom units is "&amp;TEXT(Data1!$B510,"0%")&amp;" of the "&amp;TEXT(Total_Units,"0")&amp;" total units (or "&amp;TEXT(ROUNDUP(Total_Units*Data1!$B510,0),"0")&amp;" units) and the combined "&amp;TEXT('Units, Set-Asides, Bldgs'!$H$95+'Units, Set-Asides, Bldgs'!$H$96,"0")&amp;" units entered is "&amp;IF(ROUNDUP(Total_Units*Data1!$B510,0)&gt;'Units, Set-Asides, Bldgs'!$H$95+'Units, Set-Asides, Bldgs'!$H$96,"NOT ","")&amp;"meeting the requirement.")</f>
        <v/>
      </c>
      <c r="H510" s="578"/>
      <c r="I510" s="578"/>
      <c r="J510" s="578"/>
      <c r="K510" s="578"/>
      <c r="L510" s="578"/>
      <c r="M510" s="578"/>
      <c r="N510" s="578"/>
      <c r="O510" s="578"/>
      <c r="P510" s="578"/>
      <c r="Q510" s="578"/>
      <c r="R510" s="578"/>
      <c r="S510" s="578"/>
      <c r="T510" s="578"/>
      <c r="U510" s="578"/>
      <c r="V510" s="762" t="str">
        <f>IF(AND(Demographic="Elderly ALF",Development_Category&lt;&gt;"&lt;select one&gt;"),IF(SUM('Units, Set-Asides, Bldgs'!H$95:H$96)&gt;=ROUNDUP(Total_Units*B510,0),"Yes","No"),"NA")</f>
        <v>NA</v>
      </c>
      <c r="W510" s="752" t="s">
        <v>1062</v>
      </c>
      <c r="X510" s="752"/>
      <c r="Y510" s="752"/>
      <c r="Z510" s="752"/>
      <c r="AA510" s="752"/>
      <c r="AB510" s="752"/>
      <c r="AC510" s="752"/>
      <c r="AD510" s="752"/>
      <c r="AE510" s="752"/>
      <c r="AF510" s="767" t="str">
        <f>IF(V510="No",W510&amp;" ","")&amp;IF(V$524="No",W$524,"")</f>
        <v/>
      </c>
      <c r="AG510" s="767"/>
      <c r="AH510" s="767"/>
      <c r="AI510" s="767"/>
      <c r="AJ510" s="767"/>
      <c r="AK510" s="767"/>
      <c r="AL510" s="767"/>
      <c r="AM510" s="767"/>
      <c r="AN510" s="767"/>
      <c r="AO510" s="767"/>
      <c r="AP510" s="767"/>
      <c r="AQ510" s="767"/>
      <c r="AR510" s="767"/>
      <c r="AS510" s="767"/>
      <c r="AT510" s="767"/>
      <c r="AU510" s="767"/>
      <c r="AV510" s="767"/>
    </row>
    <row r="511" spans="1:48">
      <c r="A511" s="755" t="s">
        <v>1058</v>
      </c>
      <c r="B511" s="525">
        <v>0.25</v>
      </c>
      <c r="C511" s="755" t="s">
        <v>1578</v>
      </c>
      <c r="D511" s="755"/>
      <c r="E511" s="755"/>
      <c r="F511" s="1342">
        <f>Zero_Bed_One_Bath_Total_Units</f>
        <v>0</v>
      </c>
      <c r="G511" s="752" t="str">
        <f>IF(OR(F511=0,ROUNDUP(Total_Units*Data1!$B511,0)&gt;='Units, Set-Asides, Bldgs'!$H$95),"","The maximum 0-bedroom units is "&amp;TEXT(Data1!$B511,"0%")&amp;" of the "&amp;TEXT(Total_Units,"0")&amp;" total units (or "&amp;TEXT(ROUNDUP(Total_Units*Data1!$B511,0),"0")&amp;" units) and the "&amp;TEXT('Units, Set-Asides, Bldgs'!$H$95,"0")&amp;" units entered is "&amp;IF(ROUNDUP(Total_Units*Data1!$B511,0)&lt;'Units, Set-Asides, Bldgs'!$H$95,"NOT ","")&amp;"meeting the requirement.")</f>
        <v/>
      </c>
      <c r="H511" s="578"/>
      <c r="I511" s="578"/>
      <c r="J511" s="578"/>
      <c r="K511" s="578"/>
      <c r="L511" s="578"/>
      <c r="M511" s="578"/>
      <c r="N511" s="578"/>
      <c r="O511" s="578"/>
      <c r="P511" s="578"/>
      <c r="Q511" s="578"/>
      <c r="R511" s="578"/>
      <c r="S511" s="578"/>
      <c r="T511" s="578"/>
      <c r="U511" s="578"/>
      <c r="V511" s="762" t="str">
        <f>IF(AND(OR(Demographic="Family",Demographic="Workforce"),OR(Development_Category="New Construction",Development_Category="Redevelopment",Development_Category="Acquisition and Redevelopment")),IF('Units, Set-Asides, Bldgs'!H$95&lt;=ROUNDUP(Total_Units*B511,0),"Yes","No"),"NA")</f>
        <v>NA</v>
      </c>
      <c r="W511" s="752" t="s">
        <v>1063</v>
      </c>
      <c r="X511" s="752"/>
      <c r="Y511" s="752"/>
      <c r="Z511" s="752"/>
      <c r="AA511" s="752"/>
      <c r="AB511" s="752"/>
      <c r="AC511" s="752"/>
      <c r="AD511" s="752"/>
      <c r="AE511" s="752"/>
      <c r="AF511" s="768" t="str">
        <f>IF(V511="No",W511&amp;" ","")&amp;IF(V$524="No",W$524,"")</f>
        <v/>
      </c>
      <c r="AG511" s="768"/>
      <c r="AH511" s="768"/>
      <c r="AI511" s="768"/>
      <c r="AJ511" s="768"/>
      <c r="AK511" s="768"/>
      <c r="AL511" s="768"/>
      <c r="AM511" s="768"/>
      <c r="AN511" s="768"/>
      <c r="AO511" s="768"/>
      <c r="AP511" s="768"/>
      <c r="AQ511" s="768"/>
      <c r="AR511" s="768"/>
      <c r="AS511" s="768"/>
      <c r="AT511" s="768"/>
      <c r="AU511" s="768"/>
      <c r="AV511" s="768"/>
    </row>
    <row r="512" spans="1:48">
      <c r="A512" s="756" t="s">
        <v>1038</v>
      </c>
      <c r="B512" s="701">
        <v>0.5</v>
      </c>
      <c r="C512" s="756"/>
      <c r="D512" s="756"/>
      <c r="E512" s="756"/>
      <c r="F512" s="1343">
        <f>Zero_Bed_One_Bath_Total_Units</f>
        <v>0</v>
      </c>
      <c r="G512" s="104" t="str">
        <f>IF(OR(F512=0,ROUNDUP(Total_Units*Data1!$B512,0)&gt;='Units, Set-Asides, Bldgs'!$H$95),"This area intentionally left blank.","The maximum 0-bedroom units is "&amp;TEXT(Data1!$B512,"0%")&amp;" of the "&amp;TEXT(Total_Units,"0")&amp;" total units (or "&amp;TEXT(ROUNDUP(Total_Units*Data1!$B512,0),"0")&amp;" units) and the "&amp;TEXT('Units, Set-Asides, Bldgs'!$H$95,"0")&amp;" units entered is "&amp;IF(ROUNDUP(Total_Units*Data1!$B512,0)&lt;'Units, Set-Asides, Bldgs'!$H$95,"NOT ","")&amp;"meeting the requirement.")</f>
        <v>This area intentionally left blank.</v>
      </c>
      <c r="H512" s="703"/>
      <c r="I512" s="703"/>
      <c r="J512" s="703"/>
      <c r="K512" s="703"/>
      <c r="L512" s="703"/>
      <c r="M512" s="703"/>
      <c r="N512" s="703"/>
      <c r="O512" s="703"/>
      <c r="P512" s="703"/>
      <c r="Q512" s="703"/>
      <c r="R512" s="703"/>
      <c r="S512" s="703"/>
      <c r="T512" s="703"/>
      <c r="U512" s="703"/>
      <c r="V512" s="726" t="str">
        <f>IF(Demographic="Homeless",IF('Units, Set-Asides, Bldgs'!H$95&lt;=ROUNDUP(Total_Units*B512,0),"Yes","No"),"NA")</f>
        <v>NA</v>
      </c>
      <c r="W512" s="104" t="s">
        <v>1063</v>
      </c>
      <c r="X512" s="104"/>
      <c r="Y512" s="104"/>
      <c r="Z512" s="104"/>
      <c r="AA512" s="104"/>
      <c r="AB512" s="104"/>
      <c r="AC512" s="104"/>
      <c r="AD512" s="104"/>
      <c r="AE512" s="104"/>
      <c r="AF512" s="766" t="str">
        <f>IF(V512="No",W512&amp;" ","")&amp;IF(V513="No",W513&amp;" ","")&amp;IF(V514="No",W514&amp;" ","")&amp;IF(V515="No",W515&amp;" ","")&amp;IF(V$524="No",W$524,"")</f>
        <v/>
      </c>
      <c r="AG512" s="766"/>
      <c r="AH512" s="766"/>
      <c r="AI512" s="766"/>
      <c r="AJ512" s="766"/>
      <c r="AK512" s="766"/>
      <c r="AL512" s="766"/>
      <c r="AM512" s="766"/>
      <c r="AN512" s="766"/>
      <c r="AO512" s="766"/>
      <c r="AP512" s="766"/>
      <c r="AQ512" s="766"/>
      <c r="AR512" s="766"/>
      <c r="AS512" s="766"/>
      <c r="AT512" s="766"/>
      <c r="AU512" s="766"/>
      <c r="AV512" s="766"/>
    </row>
    <row r="513" spans="1:48">
      <c r="A513" s="757" t="s">
        <v>1039</v>
      </c>
      <c r="B513" s="692">
        <v>0.15</v>
      </c>
      <c r="C513" s="757"/>
      <c r="D513" s="757"/>
      <c r="E513" s="757"/>
      <c r="F513" s="1344">
        <f>One_Bed_One_Bath_Total_Units</f>
        <v>0</v>
      </c>
      <c r="G513" s="106" t="str">
        <f>IF(OR(AND(F513=0,'Units, Set-Asides, Bldgs'!H112=0),ROUNDUP(Total_Units*Data1!$B513,0)&lt;='Units, Set-Asides, Bldgs'!$H$96),"","The minimum 1 bedroom units is "&amp;TEXT(Data1!$B513,"0%")&amp;" of the "&amp;TEXT(Total_Units,"0")&amp;" total units (or "&amp;TEXT(ROUNDUP(Total_Units*Data1!$B513,0),"0")&amp;" units) and the "&amp;TEXT('Units, Set-Asides, Bldgs'!$H$96,"0")&amp;" units entered is "&amp;IF(ROUNDUP(Total_Units*Data1!$B513,0)&gt;'Units, Set-Asides, Bldgs'!$H$96,"NOT ","")&amp;"meeting the requirement.")</f>
        <v/>
      </c>
      <c r="H513" s="706"/>
      <c r="I513" s="706"/>
      <c r="J513" s="706"/>
      <c r="K513" s="706"/>
      <c r="L513" s="706"/>
      <c r="M513" s="706"/>
      <c r="N513" s="706"/>
      <c r="O513" s="706"/>
      <c r="P513" s="706"/>
      <c r="Q513" s="706"/>
      <c r="R513" s="706"/>
      <c r="S513" s="706"/>
      <c r="T513" s="706"/>
      <c r="U513" s="706"/>
      <c r="V513" s="763" t="str">
        <f>IF(Demographic="Homeless",IF('Units, Set-Asides, Bldgs'!H$96&gt;=ROUNDUP(Total_Units*B513,0),"Yes","No"),"NA")</f>
        <v>NA</v>
      </c>
      <c r="W513" s="106" t="s">
        <v>1064</v>
      </c>
      <c r="X513" s="106"/>
      <c r="Y513" s="106"/>
      <c r="Z513" s="106"/>
      <c r="AA513" s="106"/>
      <c r="AB513" s="106"/>
      <c r="AC513" s="106"/>
      <c r="AD513" s="106"/>
      <c r="AE513" s="106"/>
      <c r="AF513" s="764"/>
      <c r="AG513" s="764"/>
      <c r="AH513" s="764"/>
      <c r="AI513" s="764"/>
      <c r="AJ513" s="764"/>
      <c r="AK513" s="764"/>
      <c r="AL513" s="764"/>
      <c r="AM513" s="764"/>
      <c r="AN513" s="764"/>
      <c r="AO513" s="764"/>
      <c r="AP513" s="764"/>
      <c r="AQ513" s="764"/>
      <c r="AR513" s="764"/>
      <c r="AS513" s="764"/>
      <c r="AT513" s="764"/>
      <c r="AU513" s="764"/>
      <c r="AV513" s="764"/>
    </row>
    <row r="514" spans="1:48" ht="18" customHeight="1">
      <c r="A514" s="757" t="s">
        <v>1040</v>
      </c>
      <c r="B514" s="692">
        <v>0.4</v>
      </c>
      <c r="C514" s="757"/>
      <c r="D514" s="757"/>
      <c r="E514" s="757"/>
      <c r="F514" s="1338">
        <f>SUM('Units, Set-Asides, Bldgs'!H100:H104)</f>
        <v>0</v>
      </c>
      <c r="G514" s="106" t="str">
        <f>IF(OR(F514=0,ROUNDUP(Total_Units*Data1!$B514,0)&gt;=SUM('Units, Set-Asides, Bldgs'!$H$100:$H$104)),"This area intentionally left blank.","The maximum 3-bedroom units is "&amp;TEXT(Data1!$B514,"0%")&amp;" of the "&amp;TEXT(Total_Units,"0")&amp;" total units (or "&amp;TEXT(ROUNDUP(Total_Units*Data1!$B514,0),"0")&amp;" units) and the "&amp;TEXT(SUM('Units, Set-Asides, Bldgs'!$H$100:$H$104),"0")&amp;" units entered is "&amp;IF(ROUNDUP(Total_Units*Data1!$B514,0)&lt;SUM('Units, Set-Asides, Bldgs'!$H$100:$H$104),"NOT ","")&amp;"meeting the requirement.")</f>
        <v>This area intentionally left blank.</v>
      </c>
      <c r="H514" s="706"/>
      <c r="I514" s="706"/>
      <c r="J514" s="706"/>
      <c r="K514" s="706"/>
      <c r="L514" s="706"/>
      <c r="M514" s="706"/>
      <c r="N514" s="706"/>
      <c r="O514" s="706"/>
      <c r="P514" s="706"/>
      <c r="Q514" s="706"/>
      <c r="R514" s="706"/>
      <c r="S514" s="706"/>
      <c r="T514" s="706"/>
      <c r="U514" s="706"/>
      <c r="V514" s="763" t="str">
        <f>IF(Demographic="Homeless",IF(SUM('Units, Set-Asides, Bldgs'!H$100:H$104)&lt;=ROUNDUP(Total_Units*B514,0),"Yes","No"),"NA")</f>
        <v>NA</v>
      </c>
      <c r="W514" s="106" t="s">
        <v>1065</v>
      </c>
      <c r="X514" s="106"/>
      <c r="Y514" s="106"/>
      <c r="Z514" s="106"/>
      <c r="AA514" s="106"/>
      <c r="AB514" s="106"/>
      <c r="AC514" s="106"/>
      <c r="AD514" s="106"/>
      <c r="AE514" s="106"/>
      <c r="AF514" s="764"/>
      <c r="AG514" s="764"/>
      <c r="AH514" s="764"/>
      <c r="AI514" s="764"/>
      <c r="AJ514" s="764"/>
      <c r="AK514" s="764"/>
      <c r="AL514" s="764"/>
      <c r="AM514" s="764"/>
      <c r="AN514" s="764"/>
      <c r="AO514" s="764"/>
      <c r="AP514" s="764"/>
      <c r="AQ514" s="764"/>
      <c r="AR514" s="764"/>
      <c r="AS514" s="764"/>
      <c r="AT514" s="764"/>
      <c r="AU514" s="764"/>
      <c r="AV514" s="764"/>
    </row>
    <row r="515" spans="1:48">
      <c r="A515" s="758" t="s">
        <v>1041</v>
      </c>
      <c r="B515" s="702">
        <v>3</v>
      </c>
      <c r="C515" s="759" t="s">
        <v>1050</v>
      </c>
      <c r="D515" s="760"/>
      <c r="E515" s="760"/>
      <c r="F515" s="1659">
        <f>SUM('Units, Set-Asides, Bldgs'!H105:H111)+IF(Data1!B515=2,SUM('Units, Set-Asides, Bldgs'!H100:H104),0)</f>
        <v>0</v>
      </c>
      <c r="G515" s="751" t="str">
        <f>IF(OR(F515=0,CHOOSE(B515,0,SUM('Units, Set-Asides, Bldgs'!H100:H111),SUM('Units, Set-Asides, Bldgs'!H105:H111))=0),"","The maximum number of bedrooms for any unit in a "&amp;Demographic&amp;" development is "&amp;CHOOSE(B515,"INVALID LIMIT","TWO (2)","THREE (3)")&amp;"."&amp;IF(CHOOSE(B515,0,SUM('Units, Set-Asides, Bldgs'!H100:H111),SUM('Units, Set-Asides, Bldgs'!H105:H111))&gt;0," There are entries in the table that are NOT meeting the requirement.",""))</f>
        <v/>
      </c>
      <c r="H515" s="705"/>
      <c r="I515" s="705"/>
      <c r="J515" s="705"/>
      <c r="K515" s="705"/>
      <c r="L515" s="705"/>
      <c r="M515" s="705"/>
      <c r="N515" s="705"/>
      <c r="O515" s="705"/>
      <c r="P515" s="705"/>
      <c r="Q515" s="705"/>
      <c r="R515" s="705"/>
      <c r="S515" s="705"/>
      <c r="T515" s="705"/>
      <c r="U515" s="705"/>
      <c r="V515" s="761" t="str">
        <f>IF(Demographic="Homeless",IF(IF(B515=2,SUM('Units, Set-Asides, Bldgs'!H$100:H$111),SUM('Units, Set-Asides, Bldgs'!H$105:H$111))=0,"Yes","No"),"NA")</f>
        <v>NA</v>
      </c>
      <c r="W515" s="751" t="str">
        <f>"No units are allowed to have more than "&amp;TEXT(B515,"0")&amp;" bedrooms."</f>
        <v>No units are allowed to have more than 3 bedrooms.</v>
      </c>
      <c r="X515" s="751"/>
      <c r="Y515" s="751"/>
      <c r="Z515" s="751"/>
      <c r="AA515" s="751"/>
      <c r="AB515" s="751"/>
      <c r="AC515" s="751"/>
      <c r="AD515" s="751"/>
      <c r="AE515" s="751"/>
      <c r="AF515" s="764"/>
      <c r="AG515" s="764"/>
      <c r="AH515" s="764"/>
      <c r="AI515" s="764"/>
      <c r="AJ515" s="764"/>
      <c r="AK515" s="764"/>
      <c r="AL515" s="764"/>
      <c r="AM515" s="764"/>
      <c r="AN515" s="764"/>
      <c r="AO515" s="764"/>
      <c r="AP515" s="764"/>
      <c r="AQ515" s="764"/>
      <c r="AR515" s="764"/>
      <c r="AS515" s="764"/>
      <c r="AT515" s="764"/>
      <c r="AU515" s="764"/>
      <c r="AV515" s="764"/>
    </row>
    <row r="516" spans="1:48">
      <c r="A516" s="756" t="s">
        <v>1042</v>
      </c>
      <c r="B516" s="701">
        <v>0.5</v>
      </c>
      <c r="C516" s="756"/>
      <c r="D516" s="756"/>
      <c r="E516" s="756"/>
      <c r="F516" s="1343">
        <f>Zero_Bed_One_Bath_Total_Units</f>
        <v>0</v>
      </c>
      <c r="G516" s="104" t="str">
        <f>IF(OR(F516=0,ROUNDUP(Total_Units*Data1!$B516,0)&gt;='Units, Set-Asides, Bldgs'!$H$95),"","The maximum 0-bedroom units is "&amp;TEXT(Data1!$B516,"0%")&amp;" of the "&amp;TEXT(Total_Units,"0")&amp;" total units (or "&amp;TEXT(ROUNDUP(Total_Units*Data1!$B516,0),"0")&amp;" units) and the "&amp;TEXT('Units, Set-Asides, Bldgs'!$H$95,"0")&amp;" units entered is "&amp;IF(ROUNDUP(Total_Units*Data1!$B516,0)&lt;'Units, Set-Asides, Bldgs'!$H$95,"NOT ","")&amp;"meeting the requirement.")</f>
        <v/>
      </c>
      <c r="H516" s="703"/>
      <c r="I516" s="703"/>
      <c r="J516" s="703"/>
      <c r="K516" s="703"/>
      <c r="L516" s="703"/>
      <c r="M516" s="703"/>
      <c r="N516" s="703"/>
      <c r="O516" s="703"/>
      <c r="P516" s="703"/>
      <c r="Q516" s="703"/>
      <c r="R516" s="703"/>
      <c r="S516" s="703"/>
      <c r="T516" s="703"/>
      <c r="U516" s="703"/>
      <c r="V516" s="726" t="str">
        <f>IF(Demographic="Farmworker/Commercial Fish Worker",IF('Units, Set-Asides, Bldgs'!H$95&lt;=ROUNDUP(Total_Units*B516,0),"Yes","No"),"NA")</f>
        <v>NA</v>
      </c>
      <c r="W516" s="104" t="s">
        <v>1063</v>
      </c>
      <c r="X516" s="104"/>
      <c r="Y516" s="104"/>
      <c r="Z516" s="104"/>
      <c r="AA516" s="104"/>
      <c r="AB516" s="104"/>
      <c r="AC516" s="104"/>
      <c r="AD516" s="104"/>
      <c r="AE516" s="104"/>
      <c r="AF516" s="766" t="str">
        <f>IF(V516="No",W516&amp;" ","")&amp;IF(V517="No",W517&amp;" ","")&amp;IF(V$524="No",W$524,"")</f>
        <v/>
      </c>
      <c r="AG516" s="766"/>
      <c r="AH516" s="766"/>
      <c r="AI516" s="766"/>
      <c r="AJ516" s="766"/>
      <c r="AK516" s="766"/>
      <c r="AL516" s="766"/>
      <c r="AM516" s="766"/>
      <c r="AN516" s="766"/>
      <c r="AO516" s="766"/>
      <c r="AP516" s="766"/>
      <c r="AQ516" s="766"/>
      <c r="AR516" s="766"/>
      <c r="AS516" s="766"/>
      <c r="AT516" s="766"/>
      <c r="AU516" s="766"/>
      <c r="AV516" s="766"/>
    </row>
    <row r="517" spans="1:48">
      <c r="A517" s="758" t="s">
        <v>1043</v>
      </c>
      <c r="B517" s="702">
        <v>2</v>
      </c>
      <c r="C517" s="759" t="s">
        <v>1050</v>
      </c>
      <c r="D517" s="760"/>
      <c r="E517" s="760"/>
      <c r="F517" s="1659">
        <f>SUM('Units, Set-Asides, Bldgs'!H105:H111)+IF(Data1!B517=2,SUM('Units, Set-Asides, Bldgs'!H100:H104),0)</f>
        <v>0</v>
      </c>
      <c r="G517" s="751" t="str">
        <f>IF(OR(F517=0,CHOOSE(B517,0,SUM('Units, Set-Asides, Bldgs'!H100:H111),SUM('Units, Set-Asides, Bldgs'!H105:H111))=0),"","The maximum number of bedrooms for any unit in a "&amp;Demographic&amp;" development is "&amp;CHOOSE(B517,"INVALID LIMIT","TWO (2)","THREE (3)")&amp;"."&amp;IF(CHOOSE(B517,0,SUM('Units, Set-Asides, Bldgs'!H100:H111),SUM('Units, Set-Asides, Bldgs'!H105:H111))&gt;0," There are entries in the table that are NOT meeting the requirement.",""))</f>
        <v/>
      </c>
      <c r="H517" s="705"/>
      <c r="I517" s="705"/>
      <c r="J517" s="705"/>
      <c r="K517" s="705"/>
      <c r="L517" s="705"/>
      <c r="M517" s="705"/>
      <c r="N517" s="705"/>
      <c r="O517" s="705"/>
      <c r="P517" s="705"/>
      <c r="Q517" s="705"/>
      <c r="R517" s="705"/>
      <c r="S517" s="705"/>
      <c r="T517" s="705"/>
      <c r="U517" s="705"/>
      <c r="V517" s="761" t="str">
        <f>IF(Demographic="Farmworker/Commercial Fish Worker",IF(IF(B517=2,SUM('Units, Set-Asides, Bldgs'!H$100:H$111),SUM('Units, Set-Asides, Bldgs'!H$105:H$111))=0,"Yes","No"),"NA")</f>
        <v>NA</v>
      </c>
      <c r="W517" s="751" t="str">
        <f>"No units are allowed to have more than "&amp;TEXT(B517,"0")&amp;" bedrooms."</f>
        <v>No units are allowed to have more than 2 bedrooms.</v>
      </c>
      <c r="X517" s="751"/>
      <c r="Y517" s="751"/>
      <c r="Z517" s="751"/>
      <c r="AA517" s="751"/>
      <c r="AB517" s="751"/>
      <c r="AC517" s="751"/>
      <c r="AD517" s="751"/>
      <c r="AE517" s="751"/>
      <c r="AF517" s="764"/>
      <c r="AG517" s="764"/>
      <c r="AH517" s="764"/>
      <c r="AI517" s="764"/>
      <c r="AJ517" s="764"/>
      <c r="AK517" s="764"/>
      <c r="AL517" s="764"/>
      <c r="AM517" s="764"/>
      <c r="AN517" s="764"/>
      <c r="AO517" s="764"/>
      <c r="AP517" s="764"/>
      <c r="AQ517" s="764"/>
      <c r="AR517" s="764"/>
      <c r="AS517" s="764"/>
      <c r="AT517" s="764"/>
      <c r="AU517" s="764"/>
      <c r="AV517" s="764"/>
    </row>
    <row r="518" spans="1:48">
      <c r="A518" s="756" t="s">
        <v>1044</v>
      </c>
      <c r="B518" s="701">
        <v>0.5</v>
      </c>
      <c r="C518" s="756"/>
      <c r="D518" s="756"/>
      <c r="E518" s="756"/>
      <c r="F518" s="1343">
        <f>Zero_Bed_One_Bath_Total_Units</f>
        <v>0</v>
      </c>
      <c r="G518" s="104" t="str">
        <f>IF(OR(F518=0,ROUNDUP(Total_Units*Data1!$B518,0)&gt;='Units, Set-Asides, Bldgs'!$H$95),"","The maximum 0-bedroom units is "&amp;TEXT(Data1!$B518,"0%")&amp;" of the "&amp;TEXT(Total_Units,"0")&amp;" total units (or "&amp;TEXT(ROUNDUP(Total_Units*Data1!$B518,0),"0")&amp;" units) and the "&amp;TEXT('Units, Set-Asides, Bldgs'!$H$95,"0")&amp;" units entered is "&amp;IF(ROUNDUP(Total_Units*Data1!$B518,0)&lt;'Units, Set-Asides, Bldgs'!$H$95,"NOT ","")&amp;"meeting the requirement.")</f>
        <v/>
      </c>
      <c r="H518" s="703"/>
      <c r="I518" s="703"/>
      <c r="J518" s="703"/>
      <c r="K518" s="703"/>
      <c r="L518" s="703"/>
      <c r="M518" s="703"/>
      <c r="N518" s="703"/>
      <c r="O518" s="703"/>
      <c r="P518" s="703"/>
      <c r="Q518" s="703"/>
      <c r="R518" s="703"/>
      <c r="S518" s="703"/>
      <c r="T518" s="703"/>
      <c r="U518" s="703"/>
      <c r="V518" s="726" t="str">
        <f>IF(OR(Demographic="Persons with a Disabling Condition",Demographic="Persons with Developmental Disabilities"),IF('Units, Set-Asides, Bldgs'!H$95&lt;=ROUNDUP(Total_Units*B518,0),"Yes","No"),"NA")</f>
        <v>NA</v>
      </c>
      <c r="W518" s="104" t="s">
        <v>1063</v>
      </c>
      <c r="X518" s="104"/>
      <c r="Y518" s="104"/>
      <c r="Z518" s="104"/>
      <c r="AA518" s="104"/>
      <c r="AB518" s="104"/>
      <c r="AC518" s="104"/>
      <c r="AD518" s="104"/>
      <c r="AE518" s="104"/>
      <c r="AF518" s="766" t="str">
        <f>IF(V518="No",W518&amp;" ","")&amp;IF(V519="No",W519&amp;" ","")&amp;IF(V520="No",W520&amp;" ","")&amp;IF(V$524="No",W$524,"")</f>
        <v/>
      </c>
      <c r="AG518" s="766"/>
      <c r="AH518" s="766"/>
      <c r="AI518" s="766"/>
      <c r="AJ518" s="766"/>
      <c r="AK518" s="766"/>
      <c r="AL518" s="766"/>
      <c r="AM518" s="766"/>
      <c r="AN518" s="766"/>
      <c r="AO518" s="766"/>
      <c r="AP518" s="766"/>
      <c r="AQ518" s="766"/>
      <c r="AR518" s="766"/>
      <c r="AS518" s="766"/>
      <c r="AT518" s="766"/>
      <c r="AU518" s="766"/>
      <c r="AV518" s="766"/>
    </row>
    <row r="519" spans="1:48">
      <c r="A519" s="757" t="s">
        <v>1045</v>
      </c>
      <c r="B519" s="692">
        <v>0.5</v>
      </c>
      <c r="C519" s="757"/>
      <c r="D519" s="757"/>
      <c r="E519" s="757"/>
      <c r="F519" s="1344">
        <f>One_Bed_One_Bath_Total_Units</f>
        <v>0</v>
      </c>
      <c r="G519" s="106" t="str">
        <f>IF(OR(AND(F519=0,'Units, Set-Asides, Bldgs'!H112=0),ROUNDUP(Total_Units*Data1!$B519,0)&lt;='Units, Set-Asides, Bldgs'!$H$96),"","The minimum 1 bedroom units is "&amp;TEXT(Data1!$B519,"0%")&amp;" of the "&amp;TEXT(Total_Units,"0")&amp;" total units (or "&amp;TEXT(ROUNDUP(Total_Units*Data1!$B519,0),"0")&amp;" units) and the "&amp;TEXT('Units, Set-Asides, Bldgs'!$H$96,"0")&amp;" units entered is "&amp;IF(ROUNDUP(Total_Units*Data1!$B519,0)&gt;'Units, Set-Asides, Bldgs'!$H$96,"NOT ","")&amp;"meeting the requirement.")</f>
        <v/>
      </c>
      <c r="H519" s="706"/>
      <c r="I519" s="706"/>
      <c r="J519" s="706"/>
      <c r="K519" s="706"/>
      <c r="L519" s="706"/>
      <c r="M519" s="706"/>
      <c r="N519" s="706"/>
      <c r="O519" s="706"/>
      <c r="P519" s="706"/>
      <c r="Q519" s="706"/>
      <c r="R519" s="706"/>
      <c r="S519" s="706"/>
      <c r="T519" s="706"/>
      <c r="U519" s="706"/>
      <c r="V519" s="763" t="str">
        <f>IF(OR(Demographic="Persons with a Disabling Condition",Demographic="Persons with Developmental Disabilities"),IF('Units, Set-Asides, Bldgs'!H$96&gt;=ROUNDUP(Total_Units*B519,0),"Yes","No"),"NA")</f>
        <v>NA</v>
      </c>
      <c r="W519" s="106" t="s">
        <v>1064</v>
      </c>
      <c r="X519" s="106"/>
      <c r="Y519" s="106"/>
      <c r="Z519" s="106"/>
      <c r="AA519" s="106"/>
      <c r="AB519" s="106"/>
      <c r="AC519" s="106"/>
      <c r="AD519" s="106"/>
      <c r="AE519" s="106"/>
      <c r="AF519" s="764"/>
      <c r="AG519" s="764"/>
      <c r="AH519" s="764"/>
      <c r="AI519" s="764"/>
      <c r="AJ519" s="764"/>
      <c r="AK519" s="764"/>
      <c r="AL519" s="764"/>
      <c r="AM519" s="764"/>
      <c r="AN519" s="764"/>
      <c r="AO519" s="764"/>
      <c r="AP519" s="764"/>
      <c r="AQ519" s="764"/>
      <c r="AR519" s="764"/>
      <c r="AS519" s="764"/>
      <c r="AT519" s="764"/>
      <c r="AU519" s="764"/>
      <c r="AV519" s="764"/>
    </row>
    <row r="520" spans="1:48">
      <c r="A520" s="758" t="s">
        <v>1046</v>
      </c>
      <c r="B520" s="702">
        <v>2</v>
      </c>
      <c r="C520" s="759" t="s">
        <v>1050</v>
      </c>
      <c r="D520" s="760"/>
      <c r="E520" s="760"/>
      <c r="F520" s="1659">
        <f>SUM('Units, Set-Asides, Bldgs'!H105:H111)+IF(Data1!B520=2,SUM('Units, Set-Asides, Bldgs'!H100:H104),0)</f>
        <v>0</v>
      </c>
      <c r="G520" s="751" t="str">
        <f>IF(OR(F520=0,CHOOSE(B520,0,SUM('Units, Set-Asides, Bldgs'!H100:H111),SUM('Units, Set-Asides, Bldgs'!H105:H111))=0),"","The maximum number of bedrooms for any unit in a "&amp;Demographic&amp;" development is "&amp;CHOOSE(B520,"INVALID LIMIT","TWO (2)","THREE (3)")&amp;"."&amp;IF(CHOOSE(B520,0,SUM('Units, Set-Asides, Bldgs'!H100:H111),SUM('Units, Set-Asides, Bldgs'!H105:H111))&gt;0," There are entries in the table that are NOT meeting the requirement.",""))</f>
        <v/>
      </c>
      <c r="H520" s="705"/>
      <c r="I520" s="705"/>
      <c r="J520" s="705"/>
      <c r="K520" s="705"/>
      <c r="L520" s="705"/>
      <c r="M520" s="705"/>
      <c r="N520" s="705"/>
      <c r="O520" s="705"/>
      <c r="P520" s="705"/>
      <c r="Q520" s="705"/>
      <c r="R520" s="705"/>
      <c r="S520" s="705"/>
      <c r="T520" s="705"/>
      <c r="U520" s="705"/>
      <c r="V520" s="761" t="str">
        <f>IF(OR(Demographic="Persons with a Disabling Condition",Demographic="Persons with Developmental Disabilities"),IF(IF(B520=2,SUM('Units, Set-Asides, Bldgs'!H$100:H$111),SUM('Units, Set-Asides, Bldgs'!H$105:H$111))=0,"Yes","No"),"NA")</f>
        <v>NA</v>
      </c>
      <c r="W520" s="751" t="str">
        <f>"No units are allowed to have more than "&amp;TEXT(B520,"0")&amp;" bedrooms."</f>
        <v>No units are allowed to have more than 2 bedrooms.</v>
      </c>
      <c r="X520" s="751"/>
      <c r="Y520" s="751"/>
      <c r="Z520" s="751"/>
      <c r="AA520" s="751"/>
      <c r="AB520" s="751"/>
      <c r="AC520" s="751"/>
      <c r="AD520" s="751"/>
      <c r="AE520" s="751"/>
      <c r="AF520" s="764"/>
      <c r="AG520" s="764"/>
      <c r="AH520" s="764"/>
      <c r="AI520" s="764"/>
      <c r="AJ520" s="764"/>
      <c r="AK520" s="764"/>
      <c r="AL520" s="764"/>
      <c r="AM520" s="764"/>
      <c r="AN520" s="764"/>
      <c r="AO520" s="764"/>
      <c r="AP520" s="764"/>
      <c r="AQ520" s="764"/>
      <c r="AR520" s="764"/>
      <c r="AS520" s="764"/>
      <c r="AT520" s="764"/>
      <c r="AU520" s="764"/>
      <c r="AV520" s="764"/>
    </row>
    <row r="521" spans="1:48">
      <c r="A521" s="756" t="s">
        <v>1047</v>
      </c>
      <c r="B521" s="701">
        <v>0.3</v>
      </c>
      <c r="C521" s="756"/>
      <c r="D521" s="756"/>
      <c r="E521" s="756"/>
      <c r="F521" s="1339">
        <f>SUM('Units, Set-Asides, Bldgs'!H95:H96)</f>
        <v>0</v>
      </c>
      <c r="G521" s="104" t="str">
        <f>IF(OR(AND(F521=0,'Units, Set-Asides, Bldgs'!H112=0),ROUNDUP(Total_Units*Data1!$B521,0)&lt;='Units, Set-Asides, Bldgs'!$H$95+'Units, Set-Asides, Bldgs'!$H$96),"This area intentionally left blank.","The minimum 0 and 1 bedroom units is "&amp;TEXT(Data1!$B521,"0%")&amp;" of the "&amp;TEXT(Total_Units,"0")&amp;" total units (or "&amp;TEXT(ROUNDUP(Total_Units*Data1!$B521,0),"0")&amp;" units) and the combined "&amp;TEXT('Units, Set-Asides, Bldgs'!$H$95+'Units, Set-Asides, Bldgs'!$H$96,"0")&amp;" units entered is "&amp;IF(ROUNDUP(Total_Units*Data1!$B521,0)&gt;'Units, Set-Asides, Bldgs'!$H$95+'Units, Set-Asides, Bldgs'!$H$96,"NOT ","")&amp;"meeting the requirement.")</f>
        <v>This area intentionally left blank.</v>
      </c>
      <c r="H521" s="703"/>
      <c r="I521" s="703"/>
      <c r="J521" s="703"/>
      <c r="K521" s="703"/>
      <c r="L521" s="703"/>
      <c r="M521" s="703"/>
      <c r="N521" s="703"/>
      <c r="O521" s="703"/>
      <c r="P521" s="703"/>
      <c r="Q521" s="703"/>
      <c r="R521" s="703"/>
      <c r="S521" s="703"/>
      <c r="T521" s="703"/>
      <c r="U521" s="703"/>
      <c r="V521" s="726" t="str">
        <f>IF(Demographic="Persons with Special Needs",IF(SUM('Units, Set-Asides, Bldgs'!H$95:H$96)&gt;=ROUNDUP(Total_Units*B521,0),"Yes","No"),"NA")</f>
        <v>Yes</v>
      </c>
      <c r="W521" s="104" t="s">
        <v>1062</v>
      </c>
      <c r="X521" s="104"/>
      <c r="Y521" s="104"/>
      <c r="Z521" s="104"/>
      <c r="AA521" s="104"/>
      <c r="AB521" s="104"/>
      <c r="AC521" s="104"/>
      <c r="AD521" s="104"/>
      <c r="AE521" s="104"/>
      <c r="AF521" s="766" t="str">
        <f>IF(V521="No",W521&amp;" ","")&amp;IF(V522="No",W522&amp;" ","")&amp;IF(V523="No",W523&amp;" ","")&amp;IF(V$524="No",W$524,"")</f>
        <v/>
      </c>
      <c r="AG521" s="766"/>
      <c r="AH521" s="766"/>
      <c r="AI521" s="766"/>
      <c r="AJ521" s="766"/>
      <c r="AK521" s="766"/>
      <c r="AL521" s="766"/>
      <c r="AM521" s="766"/>
      <c r="AN521" s="766"/>
      <c r="AO521" s="766"/>
      <c r="AP521" s="766"/>
      <c r="AQ521" s="766"/>
      <c r="AR521" s="766"/>
      <c r="AS521" s="766"/>
      <c r="AT521" s="766"/>
      <c r="AU521" s="766"/>
      <c r="AV521" s="766"/>
    </row>
    <row r="522" spans="1:48">
      <c r="A522" s="757" t="s">
        <v>1048</v>
      </c>
      <c r="B522" s="692">
        <v>0.25</v>
      </c>
      <c r="C522" s="757"/>
      <c r="D522" s="757"/>
      <c r="E522" s="757"/>
      <c r="F522" s="1338">
        <f>SUM('Units, Set-Asides, Bldgs'!H100:H104)</f>
        <v>0</v>
      </c>
      <c r="G522" s="106" t="str">
        <f>IF(OR(F522=0,ROUNDUP(Total_Units*Data1!$B522,0)&gt;=SUM('Units, Set-Asides, Bldgs'!$H$100:$H$104)),"This area intentionally left blank.","The maximum number of 3-bedroom units is "&amp;TEXT(Data1!$B522,"0%")&amp;" of the "&amp;TEXT(Total_Units,"0")&amp;" total units (or "&amp;TEXT(ROUNDUP(Total_Units*Data1!$B522,0),"0")&amp;" units) and the "&amp;TEXT(SUM('Units, Set-Asides, Bldgs'!$H$100:$H$104),"0")&amp;" units entered is "&amp;IF(ROUNDUP(Total_Units*Data1!$B522,0)&lt;SUM('Units, Set-Asides, Bldgs'!$H$100:$H$104),"NOT ","")&amp;"meeting the requirement.")</f>
        <v>This area intentionally left blank.</v>
      </c>
      <c r="H522" s="706"/>
      <c r="I522" s="706"/>
      <c r="J522" s="706"/>
      <c r="K522" s="706"/>
      <c r="L522" s="706"/>
      <c r="M522" s="706"/>
      <c r="N522" s="706"/>
      <c r="O522" s="706"/>
      <c r="P522" s="706"/>
      <c r="Q522" s="706"/>
      <c r="R522" s="706"/>
      <c r="S522" s="706"/>
      <c r="T522" s="706"/>
      <c r="U522" s="706"/>
      <c r="V522" s="763" t="str">
        <f>IF(Demographic="Persons with Special Needs",IF(SUM('Units, Set-Asides, Bldgs'!H$100:H$104)&lt;=ROUNDUP(Total_Units*B522,0),"Yes","No"),"NA")</f>
        <v>Yes</v>
      </c>
      <c r="W522" s="106" t="s">
        <v>1065</v>
      </c>
      <c r="X522" s="106"/>
      <c r="Y522" s="106"/>
      <c r="Z522" s="106"/>
      <c r="AA522" s="106"/>
      <c r="AB522" s="106"/>
      <c r="AC522" s="106"/>
      <c r="AD522" s="106"/>
      <c r="AE522" s="106"/>
      <c r="AF522" s="764"/>
      <c r="AG522" s="764"/>
      <c r="AH522" s="764"/>
      <c r="AI522" s="764"/>
      <c r="AJ522" s="764"/>
      <c r="AK522" s="764"/>
      <c r="AL522" s="764"/>
      <c r="AM522" s="764"/>
      <c r="AN522" s="764"/>
      <c r="AO522" s="764"/>
      <c r="AP522" s="764"/>
      <c r="AQ522" s="764"/>
      <c r="AR522" s="764"/>
      <c r="AS522" s="764"/>
      <c r="AT522" s="764"/>
      <c r="AU522" s="764"/>
      <c r="AV522" s="764"/>
    </row>
    <row r="523" spans="1:48">
      <c r="A523" s="758" t="s">
        <v>1049</v>
      </c>
      <c r="B523" s="702">
        <v>3</v>
      </c>
      <c r="C523" s="759" t="s">
        <v>1050</v>
      </c>
      <c r="D523" s="760"/>
      <c r="E523" s="760"/>
      <c r="F523" s="1659">
        <f>SUM('Units, Set-Asides, Bldgs'!H105:H111)+IF(Data1!B523=2,SUM('Units, Set-Asides, Bldgs'!H100:H104),0)</f>
        <v>0</v>
      </c>
      <c r="G523" s="751" t="str">
        <f>IF(OR(F523=0,CHOOSE(B523,0,SUM('Units, Set-Asides, Bldgs'!H100:H111),SUM('Units, Set-Asides, Bldgs'!H105:H111))=0),"","The maximum number of bedrooms for any unit in a "&amp;Demographic&amp;" development is "&amp;CHOOSE(B523,"INVALID LIMIT","TWO (2)","THREE (3)")&amp;"."&amp;IF(CHOOSE(B523,0,SUM('Units, Set-Asides, Bldgs'!H100:H111),SUM('Units, Set-Asides, Bldgs'!H105:H111))&gt;0," There are entries in the table that are NOT meeting the requirement.",""))</f>
        <v/>
      </c>
      <c r="H523" s="705"/>
      <c r="I523" s="705"/>
      <c r="J523" s="705"/>
      <c r="K523" s="705"/>
      <c r="L523" s="705"/>
      <c r="M523" s="705"/>
      <c r="N523" s="705"/>
      <c r="O523" s="705"/>
      <c r="P523" s="705"/>
      <c r="Q523" s="705"/>
      <c r="R523" s="705"/>
      <c r="S523" s="705"/>
      <c r="T523" s="705"/>
      <c r="U523" s="705"/>
      <c r="V523" s="761" t="str">
        <f>IF(Demographic="Persons with Special Needs",IF(IF(B523=2,SUM('Units, Set-Asides, Bldgs'!H$100:H$111),SUM('Units, Set-Asides, Bldgs'!H$105:H$111))=0,"Yes","No"),"NA")</f>
        <v>Yes</v>
      </c>
      <c r="W523" s="751" t="str">
        <f>"No units are allowed to have more than "&amp;TEXT(B523,"0")&amp;" bedrooms."</f>
        <v>No units are allowed to have more than 3 bedrooms.</v>
      </c>
      <c r="X523" s="751"/>
      <c r="Y523" s="751"/>
      <c r="Z523" s="751"/>
      <c r="AA523" s="751"/>
      <c r="AB523" s="751"/>
      <c r="AC523" s="751"/>
      <c r="AD523" s="751"/>
      <c r="AE523" s="751"/>
      <c r="AF523" s="764"/>
      <c r="AG523" s="764"/>
      <c r="AH523" s="764"/>
      <c r="AI523" s="764"/>
      <c r="AJ523" s="764"/>
      <c r="AK523" s="764"/>
      <c r="AL523" s="764"/>
      <c r="AM523" s="764"/>
      <c r="AN523" s="764"/>
      <c r="AO523" s="764"/>
      <c r="AP523" s="764"/>
      <c r="AQ523" s="764"/>
      <c r="AR523" s="764"/>
      <c r="AS523" s="764"/>
      <c r="AT523" s="764"/>
      <c r="AU523" s="764"/>
      <c r="AV523" s="764"/>
    </row>
    <row r="524" spans="1:48">
      <c r="A524" s="769"/>
      <c r="B524" s="770"/>
      <c r="C524" s="771"/>
      <c r="D524" s="109"/>
      <c r="E524" s="109"/>
      <c r="F524" s="109"/>
      <c r="G524" s="725"/>
      <c r="H524" s="691"/>
      <c r="I524" s="691"/>
      <c r="J524" s="691"/>
      <c r="K524" s="691"/>
      <c r="L524" s="691"/>
      <c r="M524" s="691"/>
      <c r="N524" s="691"/>
      <c r="O524" s="691"/>
      <c r="P524" s="691"/>
      <c r="Q524" s="691"/>
      <c r="R524" s="691"/>
      <c r="S524" s="691"/>
      <c r="T524" s="691"/>
      <c r="U524" s="691"/>
      <c r="V524" s="729" t="str">
        <f>IF('Units, Set-Asides, Bldgs'!H$112&lt;&gt;Total_Units,"No","Yes")</f>
        <v>Yes</v>
      </c>
      <c r="W524" s="640" t="s">
        <v>1066</v>
      </c>
      <c r="X524" s="640"/>
      <c r="Y524" s="640"/>
      <c r="Z524" s="640"/>
      <c r="AA524" s="640"/>
      <c r="AB524" s="640"/>
      <c r="AC524" s="640"/>
      <c r="AD524" s="640"/>
      <c r="AE524" s="640"/>
      <c r="AF524" s="764"/>
      <c r="AG524" s="764"/>
      <c r="AH524" s="764"/>
      <c r="AI524" s="764"/>
      <c r="AJ524" s="764"/>
      <c r="AK524" s="764"/>
      <c r="AL524" s="764"/>
      <c r="AM524" s="764"/>
      <c r="AN524" s="764"/>
      <c r="AO524" s="764"/>
      <c r="AP524" s="764"/>
      <c r="AQ524" s="764"/>
      <c r="AR524" s="764"/>
      <c r="AS524" s="764"/>
      <c r="AT524" s="764"/>
      <c r="AU524" s="764"/>
      <c r="AV524" s="764"/>
    </row>
    <row r="526" spans="1:48" ht="18" customHeight="1">
      <c r="A526" s="1139" t="s">
        <v>476</v>
      </c>
      <c r="B526" s="1140" t="s">
        <v>4</v>
      </c>
      <c r="C526" s="1140" t="s">
        <v>5</v>
      </c>
      <c r="D526" s="1140" t="s">
        <v>6</v>
      </c>
      <c r="E526" s="986" t="str">
        <f>"4.A.8.d.("&amp;'Construction Features'!B11&amp;")"</f>
        <v>4.A.8.d.()</v>
      </c>
      <c r="F526" s="111" t="s">
        <v>2</v>
      </c>
    </row>
    <row r="527" spans="1:48">
      <c r="A527" s="104" t="s">
        <v>128</v>
      </c>
      <c r="B527" s="102">
        <v>1</v>
      </c>
      <c r="C527" s="105">
        <f>IF(B527&lt;&gt;1,"",SUM(B$527:B527))</f>
        <v>1</v>
      </c>
      <c r="D527" s="102">
        <v>1</v>
      </c>
      <c r="F527" s="163" t="str">
        <f>IF(COUNTA($A$527:$A527)&lt;=MAX(DS_Green_Sequence)=TRUE,LOOKUP(COUNTA($A$527:$A527),DS_Green_Sequence,DS_Green_DataNames),"")</f>
        <v>Leadership in Energy and Envirnomental Design (LEED)</v>
      </c>
    </row>
    <row r="528" spans="1:48">
      <c r="A528" s="104" t="s">
        <v>129</v>
      </c>
      <c r="B528" s="102">
        <v>1</v>
      </c>
      <c r="C528" s="105">
        <f>IF(B528&lt;&gt;1,"",SUM(B$527:B528))</f>
        <v>2</v>
      </c>
      <c r="D528" s="102">
        <v>2</v>
      </c>
      <c r="F528" s="163" t="str">
        <f>IF(COUNTA($A$527:$A528)&lt;=MAX(DS_Green_Sequence)=TRUE,LOOKUP(COUNTA($A$527:$A528),DS_Green_Sequence,DS_Green_DataNames),"")</f>
        <v>Florida Green Building Coalition (FGBC)</v>
      </c>
    </row>
    <row r="529" spans="1:6">
      <c r="A529" s="104" t="s">
        <v>130</v>
      </c>
      <c r="B529" s="102">
        <v>1</v>
      </c>
      <c r="C529" s="105">
        <f>IF(B529&lt;&gt;1,"",SUM(B$527:B529))</f>
        <v>3</v>
      </c>
      <c r="D529" s="102">
        <v>3</v>
      </c>
      <c r="F529" s="163" t="str">
        <f>IF(COUNTA($A$527:$A529)&lt;=MAX(DS_Green_Sequence)=TRUE,LOOKUP(COUNTA($A$527:$A529),DS_Green_Sequence,DS_Green_DataNames),"")</f>
        <v>Enterprise Green Communities</v>
      </c>
    </row>
    <row r="530" spans="1:6">
      <c r="A530" s="104" t="s">
        <v>131</v>
      </c>
      <c r="B530" s="102">
        <v>1</v>
      </c>
      <c r="C530" s="105">
        <f>IF(B530&lt;&gt;1,"",SUM(B$527:B530))</f>
        <v>4</v>
      </c>
      <c r="D530" s="102">
        <v>4</v>
      </c>
      <c r="F530" s="163" t="str">
        <f>IF(COUNTA($A$527:$A530)&lt;=MAX(DS_Green_Sequence)=TRUE,LOOKUP(COUNTA($A$527:$A530),DS_Green_Sequence,DS_Green_DataNames),"")</f>
        <v>ICC 700 National Green building Standard (NGBS)</v>
      </c>
    </row>
    <row r="532" spans="1:6">
      <c r="A532" s="1139" t="s">
        <v>1563</v>
      </c>
      <c r="E532" s="986" t="str">
        <f>"4.A.8.d.("&amp;'Construction Features'!B13&amp;")"</f>
        <v>4.A.8.d.(2)</v>
      </c>
    </row>
    <row r="533" spans="1:6">
      <c r="A533" s="792" t="s">
        <v>1528</v>
      </c>
    </row>
    <row r="534" spans="1:6">
      <c r="A534" s="1318" t="s">
        <v>1529</v>
      </c>
      <c r="B534" s="1319" t="b">
        <v>0</v>
      </c>
    </row>
    <row r="535" spans="1:6">
      <c r="A535" s="1320" t="s">
        <v>1530</v>
      </c>
      <c r="B535" s="1321" t="b">
        <v>0</v>
      </c>
    </row>
    <row r="536" spans="1:6">
      <c r="A536" s="1320" t="s">
        <v>1531</v>
      </c>
      <c r="B536" s="1321" t="b">
        <v>0</v>
      </c>
    </row>
    <row r="537" spans="1:6">
      <c r="A537" s="1320" t="s">
        <v>1532</v>
      </c>
      <c r="B537" s="1321" t="b">
        <v>0</v>
      </c>
    </row>
    <row r="538" spans="1:6">
      <c r="A538" s="1320" t="s">
        <v>1533</v>
      </c>
      <c r="B538" s="1321" t="b">
        <v>0</v>
      </c>
    </row>
    <row r="539" spans="1:6">
      <c r="A539" s="1320" t="s">
        <v>1534</v>
      </c>
      <c r="B539" s="1321" t="b">
        <v>0</v>
      </c>
    </row>
    <row r="540" spans="1:6">
      <c r="A540" s="1320" t="s">
        <v>1535</v>
      </c>
      <c r="B540" s="1321" t="b">
        <v>0</v>
      </c>
    </row>
    <row r="541" spans="1:6">
      <c r="A541" s="1320" t="s">
        <v>1536</v>
      </c>
      <c r="B541" s="1321" t="b">
        <v>0</v>
      </c>
    </row>
    <row r="542" spans="1:6">
      <c r="A542" s="1320" t="s">
        <v>1537</v>
      </c>
      <c r="B542" s="1321" t="b">
        <v>0</v>
      </c>
    </row>
    <row r="543" spans="1:6">
      <c r="A543" s="1320" t="s">
        <v>1538</v>
      </c>
      <c r="B543" s="1321" t="b">
        <v>0</v>
      </c>
    </row>
    <row r="544" spans="1:6">
      <c r="A544" s="203" t="s">
        <v>1541</v>
      </c>
      <c r="B544" s="1302"/>
    </row>
    <row r="545" spans="1:6">
      <c r="A545" s="203" t="s">
        <v>1541</v>
      </c>
      <c r="B545" s="1302"/>
    </row>
    <row r="546" spans="1:6">
      <c r="A546" s="203" t="s">
        <v>1541</v>
      </c>
      <c r="B546" s="1302"/>
    </row>
    <row r="547" spans="1:6">
      <c r="A547" s="203" t="s">
        <v>1541</v>
      </c>
      <c r="B547" s="1302"/>
    </row>
    <row r="548" spans="1:6">
      <c r="A548" s="1318" t="s">
        <v>1539</v>
      </c>
      <c r="B548" s="1319" t="b">
        <v>0</v>
      </c>
    </row>
    <row r="549" spans="1:6">
      <c r="A549" s="1322" t="s">
        <v>1540</v>
      </c>
      <c r="B549" s="1323" t="b">
        <v>0</v>
      </c>
    </row>
    <row r="551" spans="1:6">
      <c r="A551" s="1139" t="s">
        <v>1564</v>
      </c>
      <c r="E551" s="986" t="s">
        <v>1542</v>
      </c>
    </row>
    <row r="552" spans="1:6">
      <c r="A552" s="1318" t="s">
        <v>1565</v>
      </c>
      <c r="B552" s="1425" t="b">
        <v>0</v>
      </c>
    </row>
    <row r="553" spans="1:6">
      <c r="A553" s="1322" t="s">
        <v>1566</v>
      </c>
      <c r="B553" s="1427" t="b">
        <v>0</v>
      </c>
    </row>
    <row r="555" spans="1:6">
      <c r="A555" s="1139" t="s">
        <v>1562</v>
      </c>
      <c r="E555" s="986" t="s">
        <v>1542</v>
      </c>
    </row>
    <row r="556" spans="1:6">
      <c r="A556" s="792" t="s">
        <v>1543</v>
      </c>
      <c r="B556" s="1302"/>
      <c r="F556" t="s">
        <v>1567</v>
      </c>
    </row>
    <row r="557" spans="1:6">
      <c r="A557" s="1318" t="s">
        <v>1544</v>
      </c>
      <c r="B557" s="1425" t="b">
        <v>0</v>
      </c>
    </row>
    <row r="558" spans="1:6">
      <c r="A558" s="1320" t="s">
        <v>1545</v>
      </c>
      <c r="B558" s="1426" t="b">
        <v>0</v>
      </c>
    </row>
    <row r="559" spans="1:6">
      <c r="A559" s="1320" t="s">
        <v>1546</v>
      </c>
      <c r="B559" s="1426" t="b">
        <v>0</v>
      </c>
    </row>
    <row r="560" spans="1:6">
      <c r="A560" s="1320" t="s">
        <v>1547</v>
      </c>
      <c r="B560" s="1426" t="b">
        <v>0</v>
      </c>
    </row>
    <row r="561" spans="1:7">
      <c r="A561" s="1320" t="s">
        <v>1548</v>
      </c>
      <c r="B561" s="1426" t="b">
        <v>0</v>
      </c>
    </row>
    <row r="562" spans="1:7">
      <c r="A562" s="1322" t="s">
        <v>1549</v>
      </c>
      <c r="B562" s="1427" t="b">
        <v>0</v>
      </c>
    </row>
    <row r="563" spans="1:7">
      <c r="A563" s="1310" t="s">
        <v>1550</v>
      </c>
      <c r="B563" s="1302"/>
      <c r="F563" t="s">
        <v>1568</v>
      </c>
    </row>
    <row r="564" spans="1:7">
      <c r="A564" s="1318" t="s">
        <v>1551</v>
      </c>
      <c r="B564" s="1425" t="b">
        <v>0</v>
      </c>
    </row>
    <row r="565" spans="1:7">
      <c r="A565" s="1320" t="s">
        <v>1552</v>
      </c>
      <c r="B565" s="1426" t="b">
        <v>0</v>
      </c>
    </row>
    <row r="566" spans="1:7">
      <c r="A566" s="1320" t="s">
        <v>1553</v>
      </c>
      <c r="B566" s="1426" t="b">
        <v>0</v>
      </c>
    </row>
    <row r="567" spans="1:7">
      <c r="A567" s="1320" t="s">
        <v>1555</v>
      </c>
      <c r="B567" s="1426" t="b">
        <v>0</v>
      </c>
    </row>
    <row r="568" spans="1:7">
      <c r="A568" s="1322" t="s">
        <v>1554</v>
      </c>
      <c r="B568" s="1427" t="b">
        <v>0</v>
      </c>
    </row>
    <row r="570" spans="1:7">
      <c r="A570" s="1139" t="s">
        <v>1939</v>
      </c>
      <c r="E570" s="986" t="str">
        <f>"4.A.10.a."</f>
        <v>4.A.10.a.</v>
      </c>
    </row>
    <row r="571" spans="1:7">
      <c r="A571" s="600" t="s">
        <v>1560</v>
      </c>
      <c r="B571" s="476"/>
      <c r="C571" s="476"/>
      <c r="D571" s="476"/>
      <c r="E571" s="476"/>
      <c r="F571" s="1314">
        <v>0</v>
      </c>
    </row>
    <row r="572" spans="1:7">
      <c r="A572" s="693" t="s">
        <v>1561</v>
      </c>
      <c r="B572" s="685"/>
      <c r="C572" s="685"/>
      <c r="D572" s="685"/>
      <c r="E572" s="685"/>
      <c r="F572" s="1314">
        <v>20000000</v>
      </c>
      <c r="G572" t="s">
        <v>2066</v>
      </c>
    </row>
    <row r="574" spans="1:7">
      <c r="A574" s="1139" t="s">
        <v>1571</v>
      </c>
      <c r="E574" s="986" t="str">
        <f>"4.A.10.b."</f>
        <v>4.A.10.b.</v>
      </c>
    </row>
    <row r="575" spans="1:7">
      <c r="A575" s="476" t="s">
        <v>474</v>
      </c>
      <c r="B575" s="1324" t="b">
        <v>0</v>
      </c>
    </row>
    <row r="576" spans="1:7">
      <c r="A576" s="685" t="s">
        <v>475</v>
      </c>
      <c r="B576" s="1325" t="b">
        <v>0</v>
      </c>
    </row>
    <row r="578" spans="1:7" ht="18" customHeight="1">
      <c r="A578" s="1139" t="s">
        <v>1940</v>
      </c>
      <c r="B578" s="108"/>
      <c r="C578" s="108"/>
      <c r="D578" s="108"/>
      <c r="E578" s="1144" t="str">
        <f>"4.A.10."&amp;Funding!A299&amp;"."</f>
        <v>4.A.10.d.</v>
      </c>
      <c r="F578" s="111" t="s">
        <v>2</v>
      </c>
    </row>
    <row r="579" spans="1:7">
      <c r="A579" s="683" t="s">
        <v>1007</v>
      </c>
      <c r="B579" s="2003">
        <v>0.03</v>
      </c>
      <c r="C579" s="2003"/>
      <c r="D579" s="2003"/>
      <c r="F579" s="163" t="s">
        <v>418</v>
      </c>
      <c r="G579" t="s">
        <v>1174</v>
      </c>
    </row>
    <row r="580" spans="1:7">
      <c r="A580" s="685" t="s">
        <v>1012</v>
      </c>
      <c r="B580" s="2004" t="s">
        <v>1304</v>
      </c>
      <c r="C580" s="2004"/>
      <c r="D580" s="2004"/>
      <c r="E580" s="1127">
        <f>IF(DS_Qualifying_FAFP_Basis="SAIL",1,IF(DS_Qualifying_FAFP_Basis="SAIL/Grant",2,IF(DS_Qualifying_FAFP_Basis="Grant",4,IF(DS_Qualifying_FAFP_Basis="HOME-ARP",4,IF(DS_Qualifying_FAFP_Basis="SAIL/HOME-ARP",5,6)))))</f>
        <v>5</v>
      </c>
      <c r="F580" s="163" t="s">
        <v>1013</v>
      </c>
      <c r="G580" s="976" t="s">
        <v>1296</v>
      </c>
    </row>
    <row r="581" spans="1:7">
      <c r="A581" s="215"/>
      <c r="B581" s="977"/>
      <c r="C581" s="977"/>
      <c r="D581" s="977"/>
      <c r="E581" s="1127"/>
      <c r="F581" s="163" t="s">
        <v>804</v>
      </c>
      <c r="G581" s="976"/>
    </row>
    <row r="582" spans="1:7">
      <c r="A582" s="215"/>
      <c r="B582" s="977"/>
      <c r="C582" s="977"/>
      <c r="D582" s="977"/>
      <c r="F582" s="163" t="s">
        <v>1202</v>
      </c>
      <c r="G582" s="976"/>
    </row>
    <row r="583" spans="1:7">
      <c r="A583" s="215"/>
      <c r="B583" s="977"/>
      <c r="C583" s="977"/>
      <c r="D583" s="977"/>
      <c r="F583" s="163" t="s">
        <v>1304</v>
      </c>
      <c r="G583" s="976"/>
    </row>
    <row r="584" spans="1:7">
      <c r="A584" s="215"/>
      <c r="B584" s="977"/>
      <c r="C584" s="977"/>
      <c r="D584" s="977"/>
      <c r="F584" s="163" t="s">
        <v>1014</v>
      </c>
      <c r="G584" s="976"/>
    </row>
    <row r="586" spans="1:7" ht="18" customHeight="1">
      <c r="A586" s="1139" t="s">
        <v>969</v>
      </c>
      <c r="B586" s="108"/>
      <c r="C586" s="108"/>
      <c r="D586" s="108"/>
      <c r="E586" s="986" t="str">
        <f>"4.A.10."&amp;Funding!A315&amp;"."</f>
        <v>4.A.10..</v>
      </c>
    </row>
    <row r="587" spans="1:7">
      <c r="A587" t="s">
        <v>774</v>
      </c>
      <c r="B587" s="1687"/>
      <c r="F587" s="471">
        <v>32500</v>
      </c>
    </row>
    <row r="589" spans="1:7" ht="18" customHeight="1">
      <c r="A589" s="1139" t="s">
        <v>750</v>
      </c>
      <c r="B589" s="108"/>
      <c r="C589" s="108"/>
      <c r="D589" s="108"/>
      <c r="E589" s="986" t="s">
        <v>971</v>
      </c>
    </row>
    <row r="590" spans="1:7">
      <c r="A590" s="108" t="s">
        <v>751</v>
      </c>
      <c r="B590" s="2013" t="s">
        <v>192</v>
      </c>
      <c r="C590" s="2013"/>
      <c r="D590" s="411" t="s">
        <v>754</v>
      </c>
    </row>
    <row r="591" spans="1:7">
      <c r="A591" s="108" t="s">
        <v>752</v>
      </c>
      <c r="B591" s="2001" t="s">
        <v>1858</v>
      </c>
      <c r="C591" s="2001"/>
      <c r="D591" s="108"/>
    </row>
    <row r="592" spans="1:7">
      <c r="A592" s="108"/>
      <c r="B592" s="1770"/>
      <c r="C592" s="1770"/>
      <c r="D592" s="108"/>
    </row>
    <row r="593" spans="1:10">
      <c r="A593" s="1139" t="s">
        <v>2037</v>
      </c>
      <c r="E593" s="986" t="s">
        <v>2038</v>
      </c>
    </row>
    <row r="594" spans="1:10">
      <c r="A594" s="108" t="s">
        <v>1945</v>
      </c>
      <c r="B594" s="1309" t="b">
        <v>0</v>
      </c>
    </row>
    <row r="595" spans="1:10">
      <c r="A595" s="108" t="s">
        <v>1946</v>
      </c>
      <c r="B595" s="1309" t="b">
        <v>0</v>
      </c>
    </row>
    <row r="596" spans="1:10">
      <c r="A596" s="108" t="s">
        <v>1947</v>
      </c>
      <c r="B596" s="1309" t="b">
        <v>0</v>
      </c>
    </row>
    <row r="601" spans="1:10" ht="18" customHeight="1">
      <c r="A601" s="1139" t="s">
        <v>1941</v>
      </c>
      <c r="B601" s="108"/>
      <c r="C601" s="108"/>
      <c r="D601" s="108"/>
      <c r="E601" s="1303" t="s">
        <v>1825</v>
      </c>
      <c r="F601" s="211" t="s">
        <v>1826</v>
      </c>
      <c r="G601" s="211" t="s">
        <v>1683</v>
      </c>
      <c r="H601" s="211" t="s">
        <v>1659</v>
      </c>
      <c r="J601" s="1586" t="s">
        <v>1792</v>
      </c>
    </row>
    <row r="602" spans="1:10">
      <c r="A602" t="s">
        <v>741</v>
      </c>
      <c r="E602" s="1794" t="s">
        <v>192</v>
      </c>
      <c r="F602" s="1277" t="s">
        <v>192</v>
      </c>
      <c r="G602" s="1029">
        <f>COUNTIF('General Information'!$K$10:$K$166,"=1")-COUNTIFS('General Information'!$K$10:$K$166,"=1",'General Information'!$L$10:$L$166,"=1")</f>
        <v>30</v>
      </c>
      <c r="H602" s="1029">
        <f>(COUNTIF('General Information'!$K$10:$K$166,"=2")+IF('General Information'!$K$112&lt;&gt;0,1,0)+IF('General Information'!$K$119&lt;&gt;0,1,0)+IF('General Information'!$K$145&lt;&gt;0,1,0)+IF('General Information'!$K$152&lt;&gt;0,1,0)+IF('General Information'!$K$158&lt;&gt;0,1,0)+IF('General Information'!$K$165&lt;&gt;0,1,0))-(COUNTIFS('General Information'!$K$10:$K$166,"=2",'General Information'!$L$10:$L$166,"=2")+IF(AND('General Information'!$K$112&lt;&gt;0,$H$108&lt;&gt;""),1,0)+IF(AND('General Information'!$K$119&lt;&gt;0,'General Information'!$H$119&lt;&gt;""),1,0)+IF(AND('General Information'!$K$145&lt;&gt;0,'General Information'!$H$145&lt;&gt;""),1,0)+IF(AND('General Information'!$K$152&lt;&gt;0,'General Information'!$H$152&lt;&gt;""),1,0)+IF(AND('General Information'!$K$158&lt;&gt;0,'General Information'!$H$158&lt;&gt;""),1,0)+IF(AND('General Information'!$K$165&lt;&gt;0,'General Information'!$H$165&lt;&gt;""),1,0))</f>
        <v>23</v>
      </c>
      <c r="J602" s="1585" t="s">
        <v>1791</v>
      </c>
    </row>
    <row r="603" spans="1:10">
      <c r="A603" t="s">
        <v>1682</v>
      </c>
      <c r="E603" s="1794" t="s">
        <v>192</v>
      </c>
      <c r="F603" s="1278" t="s">
        <v>192</v>
      </c>
      <c r="G603" s="1029">
        <f>COUNTIF('Proposed Development Info'!$L$3:$L$73,"=1")-COUNTIFS('Proposed Development Info'!$L$3:$L$73,"=1",'Proposed Development Info'!$M$3:$M$73,"=1")</f>
        <v>3</v>
      </c>
      <c r="H603" s="1029">
        <f>COUNTIF('Proposed Development Info'!$L$3:$L$73,"=2")-COUNTIFS('Proposed Development Info'!$L$3:$L$73,"=2",'Proposed Development Info'!$M$3:$M$73,"=2")</f>
        <v>5</v>
      </c>
    </row>
    <row r="604" spans="1:10">
      <c r="A604" t="s">
        <v>740</v>
      </c>
      <c r="E604" s="1794" t="s">
        <v>192</v>
      </c>
      <c r="F604" s="1278" t="s">
        <v>192</v>
      </c>
      <c r="G604" s="1029">
        <f>COUNTIF('Development Location'!$M$3:$M$31,"=1")-COUNTIFS('Development Location'!$M$3:$M$31,"=1",'Development Location'!$N$3:$N$31,"=1")</f>
        <v>6</v>
      </c>
      <c r="H604" s="1029">
        <f>COUNTIF('Development Location'!$M$3:$M$31,"=2")-COUNTIFS('Development Location'!$M$3:$M$31,"=2",'Development Location'!$N$3:$N$31,"=2")</f>
        <v>2</v>
      </c>
    </row>
    <row r="605" spans="1:10">
      <c r="A605" t="s">
        <v>853</v>
      </c>
      <c r="E605" s="1794" t="s">
        <v>192</v>
      </c>
      <c r="F605" s="1278" t="s">
        <v>191</v>
      </c>
      <c r="G605" s="1029">
        <f>COUNTIF('Proximity, Mand.Dist., RECAP'!$L$7:$L$69,"=1")-COUNTIFS('Proximity, Mand.Dist., RECAP'!$L$7:$L$69,"=1",'Proximity, Mand.Dist., RECAP'!$M$7:$M$69,"=1")</f>
        <v>10</v>
      </c>
      <c r="H605" s="1029">
        <f>COUNTIF('Proximity, Mand.Dist., RECAP'!$L$7:$L$69,"=2")-COUNTIFS('Proximity, Mand.Dist., RECAP'!$L$7:$L$69,"=2",'Proximity, Mand.Dist., RECAP'!$M$7:$M$69,"=2")</f>
        <v>8</v>
      </c>
    </row>
    <row r="606" spans="1:10">
      <c r="A606" t="s">
        <v>856</v>
      </c>
      <c r="E606" s="1794" t="s">
        <v>192</v>
      </c>
      <c r="F606" s="1278" t="s">
        <v>192</v>
      </c>
      <c r="G606" s="1029">
        <f>COUNTIF('Units, Set-Asides, Bldgs'!$N$3:$N$137,"=1")-COUNTIFS('Units, Set-Asides, Bldgs'!$N$3:$N$137,"=1",'Units, Set-Asides, Bldgs'!$O$3:$O$137,"=1")</f>
        <v>3</v>
      </c>
      <c r="H606" s="1029">
        <f>COUNTIF('Units, Set-Asides, Bldgs'!$N$3:$N$137,"=2")-COUNTIFS('Units, Set-Asides, Bldgs'!$N$3:$N$137,"=2",'Units, Set-Asides, Bldgs'!$O$3:$O$137,"=2")</f>
        <v>0</v>
      </c>
    </row>
    <row r="607" spans="1:10">
      <c r="A607" t="s">
        <v>2017</v>
      </c>
      <c r="E607" s="1794" t="s">
        <v>192</v>
      </c>
      <c r="F607" s="1278" t="s">
        <v>192</v>
      </c>
      <c r="G607" s="1422"/>
      <c r="H607" s="1422"/>
    </row>
    <row r="608" spans="1:10">
      <c r="A608" t="s">
        <v>851</v>
      </c>
      <c r="E608" s="1794" t="s">
        <v>192</v>
      </c>
      <c r="F608" s="1278" t="s">
        <v>192</v>
      </c>
      <c r="G608" s="1029">
        <f>COUNTIF('Construction Features'!$L$12:$L$29,"=1")-COUNTIFS('Construction Features'!$L$12:$L$29,"=1",'Construction Features'!$M$12:$M$29,"=1")</f>
        <v>0</v>
      </c>
      <c r="H608" s="1029">
        <f>COUNTIF('Construction Features'!$L$12:$L$29,"=2")-COUNTIFS('Construction Features'!$L$12:$L$29,"=2",'Construction Features'!$M$12:$M$29,"=2")</f>
        <v>0</v>
      </c>
    </row>
    <row r="609" spans="1:9">
      <c r="A609" t="s">
        <v>1518</v>
      </c>
      <c r="E609" s="1794" t="s">
        <v>192</v>
      </c>
      <c r="F609" s="1301" t="s">
        <v>192</v>
      </c>
      <c r="G609" s="1029">
        <f>COUNTIF(Services!$K$7:$K$40,"=1")-COUNTIFS(Services!$K$7:$K$40,"=1",Services!$L$7:$L$40,"=1")</f>
        <v>13</v>
      </c>
      <c r="H609" s="1029">
        <f>COUNTIF(Services!$K$7:$K$40,"=2")-COUNTIFS(Services!$K$7:$K$40,"=2",Services!$L$7:$L$40,"=2")</f>
        <v>1</v>
      </c>
    </row>
    <row r="610" spans="1:9">
      <c r="A610" t="s">
        <v>852</v>
      </c>
      <c r="E610" s="1794" t="s">
        <v>192</v>
      </c>
      <c r="F610" s="1278" t="s">
        <v>191</v>
      </c>
      <c r="G610" s="1029">
        <f>COUNTIF('Resident Programs'!$K$5:$K$21,"=1")-COUNTIFS('Resident Programs'!$K$5:$K$21,"=1",'Resident Programs'!$L$5:$L$21,"=1")</f>
        <v>3</v>
      </c>
      <c r="H610" s="1029">
        <f>COUNTIF('Resident Programs'!$K$5:$K$21,"=2")-COUNTIFS('Resident Programs'!$K$5:$K$21,"=2",'Resident Programs'!$L$5:$L$21,"=2")</f>
        <v>3</v>
      </c>
    </row>
    <row r="611" spans="1:9">
      <c r="A611" t="s">
        <v>826</v>
      </c>
      <c r="E611" s="1794" t="s">
        <v>192</v>
      </c>
      <c r="F611" s="1278" t="s">
        <v>192</v>
      </c>
      <c r="G611" s="1029">
        <f ca="1">COUNTIF(Funding!$L$3:$L$353,"=1")-COUNTIFS(Funding!$L$3:$L$353,"=1",Funding!$M$3:$M$353,"=1")</f>
        <v>4</v>
      </c>
      <c r="H611" s="1029">
        <f ca="1">(COUNTIF(Funding!$L$3:$L$353,"=2"))-(COUNTIFS(Funding!$L$3:$L$353,"=2",Funding!$M$3:$M$353,"=2"))</f>
        <v>5</v>
      </c>
    </row>
    <row r="612" spans="1:9">
      <c r="A612" t="s">
        <v>1017</v>
      </c>
      <c r="D612" s="1796" t="s">
        <v>191</v>
      </c>
      <c r="E612" s="1794" t="s">
        <v>192</v>
      </c>
      <c r="F612" s="1278" t="s">
        <v>192</v>
      </c>
      <c r="G612" s="1422"/>
      <c r="H612" s="1422"/>
      <c r="I612" s="1795" t="s">
        <v>1977</v>
      </c>
    </row>
    <row r="613" spans="1:9">
      <c r="A613" s="203" t="s">
        <v>1196</v>
      </c>
      <c r="D613" s="1796" t="s">
        <v>192</v>
      </c>
      <c r="E613" s="1794" t="s">
        <v>191</v>
      </c>
      <c r="F613" s="1278" t="s">
        <v>192</v>
      </c>
      <c r="G613" s="1422"/>
      <c r="H613" s="1422"/>
      <c r="I613" s="872" t="str">
        <f>IF(E613="No","Manualy lock ODR Ineligible and Total Fields","Manualy unlock ODR Ineligible and Total Fields")</f>
        <v>Manualy unlock ODR Ineligible and Total Fields</v>
      </c>
    </row>
    <row r="614" spans="1:9">
      <c r="A614" t="s">
        <v>1130</v>
      </c>
      <c r="E614" s="1794" t="s">
        <v>192</v>
      </c>
      <c r="F614" s="1278" t="s">
        <v>192</v>
      </c>
      <c r="G614" s="1422"/>
      <c r="H614" s="1422"/>
    </row>
    <row r="615" spans="1:9">
      <c r="A615" t="s">
        <v>2127</v>
      </c>
      <c r="E615" s="1794" t="s">
        <v>192</v>
      </c>
      <c r="F615" s="1301" t="s">
        <v>192</v>
      </c>
      <c r="G615" s="1029">
        <f>COUNTIF(URA!$L$3:$L$25,"=1")-COUNTIFS(URA!$L$3:$L$25,"=1",URA!$M$3:$M$25,"=1")</f>
        <v>11</v>
      </c>
      <c r="H615" s="1029">
        <f>(COUNTIF(URA!$L$3:$L$25,"=2"))-(COUNTIFS(URA!$L$3:$L$25,"=2",URA!$M$3:$M$25,"=2"))</f>
        <v>0</v>
      </c>
    </row>
    <row r="616" spans="1:9">
      <c r="A616" t="s">
        <v>1783</v>
      </c>
      <c r="E616" s="1794" t="s">
        <v>192</v>
      </c>
      <c r="F616" s="1301" t="s">
        <v>191</v>
      </c>
      <c r="G616" s="1422"/>
      <c r="H616" s="1422"/>
    </row>
    <row r="617" spans="1:9">
      <c r="A617" t="s">
        <v>1965</v>
      </c>
      <c r="E617" s="1794" t="s">
        <v>192</v>
      </c>
      <c r="F617" s="1301" t="s">
        <v>192</v>
      </c>
      <c r="G617" s="1422"/>
      <c r="H617" s="1422"/>
    </row>
    <row r="618" spans="1:9">
      <c r="A618" t="s">
        <v>2128</v>
      </c>
      <c r="E618" s="1794" t="s">
        <v>192</v>
      </c>
      <c r="F618" s="1301" t="s">
        <v>191</v>
      </c>
      <c r="G618" s="1422"/>
      <c r="H618" s="1422"/>
    </row>
    <row r="619" spans="1:9" ht="5.15" customHeight="1"/>
    <row r="620" spans="1:9">
      <c r="G620" s="1423">
        <f ca="1">SUM(G602:G617)</f>
        <v>83</v>
      </c>
      <c r="H620" s="1423">
        <f ca="1">SUM(H602:H617)</f>
        <v>47</v>
      </c>
    </row>
    <row r="622" spans="1:9" ht="18" customHeight="1">
      <c r="A622" s="1139" t="s">
        <v>1095</v>
      </c>
      <c r="B622" s="108"/>
      <c r="C622" s="108"/>
      <c r="D622" s="108"/>
      <c r="E622" s="108"/>
      <c r="F622" s="848" t="s">
        <v>2</v>
      </c>
    </row>
    <row r="623" spans="1:9">
      <c r="A623" s="853" t="s">
        <v>2138</v>
      </c>
      <c r="F623" s="847">
        <v>0.2</v>
      </c>
    </row>
    <row r="624" spans="1:9">
      <c r="F624" s="847">
        <v>0.22</v>
      </c>
    </row>
    <row r="625" spans="6:6">
      <c r="F625" s="847">
        <v>0.25</v>
      </c>
    </row>
    <row r="626" spans="6:6">
      <c r="F626" s="847">
        <v>0.28000000000000003</v>
      </c>
    </row>
    <row r="627" spans="6:6">
      <c r="F627" s="847">
        <v>0.3</v>
      </c>
    </row>
    <row r="628" spans="6:6">
      <c r="F628" s="847">
        <v>0.33</v>
      </c>
    </row>
    <row r="629" spans="6:6">
      <c r="F629" s="847">
        <v>0.35</v>
      </c>
    </row>
    <row r="630" spans="6:6">
      <c r="F630" s="847">
        <v>0.4</v>
      </c>
    </row>
    <row r="631" spans="6:6">
      <c r="F631" s="847">
        <v>0.45</v>
      </c>
    </row>
    <row r="632" spans="6:6">
      <c r="F632" s="847">
        <v>0.5</v>
      </c>
    </row>
    <row r="633" spans="6:6">
      <c r="F633" s="847">
        <v>0.6</v>
      </c>
    </row>
    <row r="634" spans="6:6">
      <c r="F634" s="847">
        <v>0.7</v>
      </c>
    </row>
    <row r="635" spans="6:6">
      <c r="F635" s="847">
        <v>0.8</v>
      </c>
    </row>
    <row r="636" spans="6:6">
      <c r="F636" s="847">
        <v>1.2</v>
      </c>
    </row>
    <row r="643" spans="1:19" ht="18" customHeight="1">
      <c r="A643" s="1139" t="s">
        <v>457</v>
      </c>
      <c r="B643" s="1140" t="s">
        <v>4</v>
      </c>
      <c r="C643" s="1140" t="s">
        <v>5</v>
      </c>
      <c r="D643" s="1140" t="s">
        <v>6</v>
      </c>
      <c r="E643" s="1145" t="s">
        <v>972</v>
      </c>
      <c r="F643" s="111" t="s">
        <v>2</v>
      </c>
      <c r="I643" s="748"/>
      <c r="J643" s="748"/>
      <c r="K643" s="748"/>
      <c r="L643" s="748"/>
      <c r="M643" s="748"/>
      <c r="N643" s="748"/>
      <c r="O643" s="748"/>
      <c r="P643" s="748"/>
      <c r="Q643" s="748"/>
      <c r="R643" s="748"/>
      <c r="S643" s="748"/>
    </row>
    <row r="644" spans="1:19">
      <c r="A644" s="104" t="s">
        <v>122</v>
      </c>
      <c r="B644" s="102">
        <v>1</v>
      </c>
      <c r="C644" s="105">
        <f>IF(B644&lt;&gt;1,"",SUM(B$644:B644))</f>
        <v>1</v>
      </c>
      <c r="D644" s="102">
        <v>1</v>
      </c>
      <c r="F644" s="163" t="str">
        <f>IF(COUNTA($A$644:$A644)&lt;=MAX(DS_Serv_Sequence)=TRUE,LOOKUP(COUNTA($A$644:$A644),DS_Serv_Sequence,DS_Serv_DataNames),"")</f>
        <v>AmeriNat Community Services</v>
      </c>
      <c r="I644" s="748"/>
      <c r="J644" s="748"/>
      <c r="K644" s="748"/>
      <c r="L644" s="748"/>
      <c r="M644" s="748"/>
      <c r="N644" s="748"/>
      <c r="O644" s="748"/>
      <c r="P644" s="748"/>
      <c r="Q644" s="748"/>
      <c r="R644" s="748"/>
      <c r="S644" s="748"/>
    </row>
    <row r="645" spans="1:19">
      <c r="A645" s="104" t="s">
        <v>123</v>
      </c>
      <c r="B645" s="102">
        <v>1</v>
      </c>
      <c r="C645" s="105">
        <f>IF(B645&lt;&gt;1,"",SUM(B$644:B645))</f>
        <v>2</v>
      </c>
      <c r="D645" s="102">
        <v>2</v>
      </c>
      <c r="F645" s="163" t="str">
        <f>IF(COUNTA($A$644:$A645)&lt;=MAX(DS_Serv_Sequence)=TRUE,LOOKUP(COUNTA($A$644:$A645),DS_Serv_Sequence,DS_Serv_DataNames),"")</f>
        <v>First Housing Development Corporation</v>
      </c>
      <c r="I645" s="748"/>
      <c r="J645" s="748"/>
      <c r="K645" s="748"/>
      <c r="L645" s="748"/>
      <c r="M645" s="748"/>
      <c r="N645" s="748"/>
      <c r="O645" s="748"/>
      <c r="P645" s="748"/>
      <c r="Q645" s="748"/>
      <c r="R645" s="748"/>
      <c r="S645" s="748"/>
    </row>
    <row r="646" spans="1:19">
      <c r="A646" s="104" t="s">
        <v>124</v>
      </c>
      <c r="B646" s="102">
        <v>1</v>
      </c>
      <c r="C646" s="105">
        <f>IF(B646&lt;&gt;1,"",SUM(B$644:B646))</f>
        <v>3</v>
      </c>
      <c r="D646" s="102">
        <v>3</v>
      </c>
      <c r="F646" s="163" t="str">
        <f>IF(COUNTA($A$644:$A646)&lt;=MAX(DS_Serv_Sequence)=TRUE,LOOKUP(COUNTA($A$644:$A646),DS_Serv_Sequence,DS_Serv_DataNames),"")</f>
        <v>Seltzer Management Company</v>
      </c>
    </row>
    <row r="647" spans="1:19">
      <c r="A647" s="104" t="s">
        <v>125</v>
      </c>
      <c r="B647" s="102">
        <v>1</v>
      </c>
      <c r="C647" s="105">
        <f>IF(B647&lt;&gt;1,"",SUM(B$644:B647))</f>
        <v>4</v>
      </c>
      <c r="D647" s="102">
        <v>4</v>
      </c>
      <c r="F647" s="163" t="str">
        <f>IF(COUNTA($A$644:$A647)&lt;=MAX(DS_Serv_Sequence)=TRUE,LOOKUP(COUNTA($A$644:$A647),DS_Serv_Sequence,DS_Serv_DataNames),"")</f>
        <v>Unknown</v>
      </c>
    </row>
    <row r="657" spans="1:1">
      <c r="A657" t="s">
        <v>733</v>
      </c>
    </row>
    <row r="658" spans="1:1">
      <c r="A658" s="402" t="s">
        <v>734</v>
      </c>
    </row>
    <row r="659" spans="1:1">
      <c r="A659" t="s">
        <v>735</v>
      </c>
    </row>
    <row r="660" spans="1:1">
      <c r="A660" t="s">
        <v>736</v>
      </c>
    </row>
    <row r="662" spans="1:1">
      <c r="A662" s="402" t="s">
        <v>737</v>
      </c>
    </row>
    <row r="663" spans="1:1">
      <c r="A663" t="s">
        <v>738</v>
      </c>
    </row>
    <row r="664" spans="1:1">
      <c r="A664" t="s">
        <v>739</v>
      </c>
    </row>
    <row r="897" spans="1:5">
      <c r="A897" s="5"/>
      <c r="B897" s="5"/>
      <c r="C897" s="5"/>
      <c r="D897" s="5"/>
      <c r="E897" s="5"/>
    </row>
    <row r="898" spans="1:5">
      <c r="A898" s="5"/>
      <c r="B898" s="5"/>
      <c r="C898" s="5"/>
      <c r="D898" s="5"/>
      <c r="E898" s="5"/>
    </row>
    <row r="899" spans="1:5">
      <c r="A899" s="5"/>
      <c r="B899" s="5"/>
      <c r="C899" s="5"/>
      <c r="D899" s="5"/>
      <c r="E899" s="5"/>
    </row>
    <row r="900" spans="1:5">
      <c r="A900" s="5"/>
      <c r="B900" s="5"/>
      <c r="C900" s="5"/>
      <c r="D900" s="5"/>
      <c r="E900" s="5"/>
    </row>
    <row r="901" spans="1:5">
      <c r="A901" s="5"/>
      <c r="B901" s="5"/>
      <c r="C901" s="5"/>
      <c r="D901" s="5"/>
      <c r="E901" s="5"/>
    </row>
    <row r="902" spans="1:5">
      <c r="A902" s="5"/>
      <c r="B902" s="5"/>
      <c r="C902" s="5"/>
      <c r="D902" s="5"/>
      <c r="E902" s="5"/>
    </row>
    <row r="903" spans="1:5">
      <c r="A903" s="5"/>
      <c r="B903" s="5"/>
      <c r="C903" s="5"/>
      <c r="D903" s="5"/>
      <c r="E903" s="5"/>
    </row>
    <row r="904" spans="1:5">
      <c r="A904" s="5"/>
      <c r="B904" s="5"/>
      <c r="C904" s="5"/>
      <c r="D904" s="5"/>
      <c r="E904" s="5"/>
    </row>
    <row r="905" spans="1:5">
      <c r="A905" s="5"/>
      <c r="B905" s="5"/>
      <c r="C905" s="5"/>
      <c r="D905" s="5"/>
      <c r="E905" s="5"/>
    </row>
    <row r="906" spans="1:5">
      <c r="A906" s="5"/>
      <c r="B906" s="5"/>
      <c r="C906" s="5"/>
      <c r="D906" s="5"/>
      <c r="E906" s="5"/>
    </row>
    <row r="907" spans="1:5">
      <c r="A907" s="5"/>
      <c r="B907" s="5"/>
      <c r="C907" s="5"/>
      <c r="D907" s="5"/>
      <c r="E907" s="5"/>
    </row>
    <row r="908" spans="1:5">
      <c r="A908" s="5"/>
      <c r="B908" s="5"/>
      <c r="C908" s="5"/>
      <c r="D908" s="5"/>
      <c r="E908" s="5"/>
    </row>
    <row r="909" spans="1:5">
      <c r="A909" s="5"/>
      <c r="B909" s="5"/>
      <c r="C909" s="5"/>
      <c r="D909" s="5"/>
      <c r="E909" s="5"/>
    </row>
    <row r="910" spans="1:5">
      <c r="A910" s="5"/>
      <c r="B910" s="5"/>
      <c r="C910" s="5"/>
      <c r="D910" s="5"/>
      <c r="E910" s="5"/>
    </row>
    <row r="911" spans="1:5">
      <c r="A911" s="5"/>
      <c r="B911" s="5"/>
      <c r="C911" s="5"/>
      <c r="D911" s="5"/>
      <c r="E911" s="5"/>
    </row>
  </sheetData>
  <sheetProtection algorithmName="SHA-512" hashValue="WZvIiXAf359EpKBoXAW095UzASgEyfVy7JyUdftnl/g6mXdDEHBOY7CMtS7O1aQTd2jxC2Z1ziW+cv6tULWOYg==" saltValue="PSN54SxFQSjas1toFGRApQ==" spinCount="100000" sheet="1" formatRows="0" selectLockedCells="1"/>
  <sortState xmlns:xlrd2="http://schemas.microsoft.com/office/spreadsheetml/2017/richdata2" ref="A303:B316">
    <sortCondition ref="A303:A316"/>
  </sortState>
  <mergeCells count="106">
    <mergeCell ref="B7:E7"/>
    <mergeCell ref="B230:C230"/>
    <mergeCell ref="A230:A231"/>
    <mergeCell ref="D230:F230"/>
    <mergeCell ref="U247:V247"/>
    <mergeCell ref="W247:X247"/>
    <mergeCell ref="I243:I244"/>
    <mergeCell ref="J243:J244"/>
    <mergeCell ref="M243:M244"/>
    <mergeCell ref="N243:N244"/>
    <mergeCell ref="O247:R249"/>
    <mergeCell ref="U248:V248"/>
    <mergeCell ref="O239:R239"/>
    <mergeCell ref="S239:T239"/>
    <mergeCell ref="U239:V239"/>
    <mergeCell ref="W239:X239"/>
    <mergeCell ref="G240:H240"/>
    <mergeCell ref="S240:T240"/>
    <mergeCell ref="U240:V240"/>
    <mergeCell ref="W240:X240"/>
    <mergeCell ref="G239:J239"/>
    <mergeCell ref="K239:N239"/>
    <mergeCell ref="B171:C171"/>
    <mergeCell ref="B162:C162"/>
    <mergeCell ref="U343:U344"/>
    <mergeCell ref="B590:C590"/>
    <mergeCell ref="I240:J240"/>
    <mergeCell ref="K240:L240"/>
    <mergeCell ref="M240:N240"/>
    <mergeCell ref="O240:P240"/>
    <mergeCell ref="Q240:R240"/>
    <mergeCell ref="M366:U366"/>
    <mergeCell ref="M367:U367"/>
    <mergeCell ref="M368:U368"/>
    <mergeCell ref="M369:U369"/>
    <mergeCell ref="M370:U370"/>
    <mergeCell ref="M371:U371"/>
    <mergeCell ref="G475:G476"/>
    <mergeCell ref="H475:H476"/>
    <mergeCell ref="J249:K249"/>
    <mergeCell ref="E261:E267"/>
    <mergeCell ref="E250:E260"/>
    <mergeCell ref="B591:C591"/>
    <mergeCell ref="A4:F4"/>
    <mergeCell ref="B579:D579"/>
    <mergeCell ref="B580:D580"/>
    <mergeCell ref="B446:D446"/>
    <mergeCell ref="B440:D440"/>
    <mergeCell ref="B379:C379"/>
    <mergeCell ref="B378:C378"/>
    <mergeCell ref="C366:C368"/>
    <mergeCell ref="C392:C393"/>
    <mergeCell ref="F461:F462"/>
    <mergeCell ref="B177:C177"/>
    <mergeCell ref="B184:C184"/>
    <mergeCell ref="B185:C185"/>
    <mergeCell ref="B189:C189"/>
    <mergeCell ref="B158:C158"/>
    <mergeCell ref="B160:C160"/>
    <mergeCell ref="B174:C174"/>
    <mergeCell ref="B176:C176"/>
    <mergeCell ref="B161:C161"/>
    <mergeCell ref="B159:C159"/>
    <mergeCell ref="B166:C166"/>
    <mergeCell ref="B175:C175"/>
    <mergeCell ref="B214:C214"/>
    <mergeCell ref="G164:N165"/>
    <mergeCell ref="B186:C186"/>
    <mergeCell ref="B187:C187"/>
    <mergeCell ref="B183:C183"/>
    <mergeCell ref="B165:C165"/>
    <mergeCell ref="B167:C167"/>
    <mergeCell ref="B191:C191"/>
    <mergeCell ref="B192:E192"/>
    <mergeCell ref="B197:C197"/>
    <mergeCell ref="G173:N174"/>
    <mergeCell ref="G196:N197"/>
    <mergeCell ref="B168:C168"/>
    <mergeCell ref="B188:C188"/>
    <mergeCell ref="B169:E169"/>
    <mergeCell ref="B170:E170"/>
    <mergeCell ref="B178:E178"/>
    <mergeCell ref="B179:C179"/>
    <mergeCell ref="B180:C180"/>
    <mergeCell ref="B181:C181"/>
    <mergeCell ref="B182:C182"/>
    <mergeCell ref="B213:C213"/>
    <mergeCell ref="B193:E193"/>
    <mergeCell ref="B190:C190"/>
    <mergeCell ref="B212:C212"/>
    <mergeCell ref="B200:C200"/>
    <mergeCell ref="B210:C210"/>
    <mergeCell ref="B211:C211"/>
    <mergeCell ref="B215:C215"/>
    <mergeCell ref="B194:C194"/>
    <mergeCell ref="B202:C202"/>
    <mergeCell ref="B203:C203"/>
    <mergeCell ref="B204:C204"/>
    <mergeCell ref="B205:C205"/>
    <mergeCell ref="B206:C206"/>
    <mergeCell ref="B209:C209"/>
    <mergeCell ref="B208:C208"/>
    <mergeCell ref="B201:E201"/>
    <mergeCell ref="B207:C207"/>
    <mergeCell ref="B199:C199"/>
    <mergeCell ref="B198:C198"/>
  </mergeCells>
  <conditionalFormatting sqref="A148:D154 A157 A219:D225">
    <cfRule type="expression" dxfId="799" priority="162">
      <formula>ROUND(COUNTA($A$148:$A148)/2,0)=COUNTA($A$148:$A148)/2</formula>
    </cfRule>
  </conditionalFormatting>
  <conditionalFormatting sqref="H250:I316 A250:D316">
    <cfRule type="expression" dxfId="798" priority="161">
      <formula>ROUND(COUNTA($A$250:$A250)/2,0)=COUNTA($A$250:$A250)/2</formula>
    </cfRule>
  </conditionalFormatting>
  <conditionalFormatting sqref="A327:D338">
    <cfRule type="expression" dxfId="797" priority="159">
      <formula>ROUND(COUNTA($A$327:$A327)/2,0)=COUNTA($A$327:$A327)/2</formula>
    </cfRule>
  </conditionalFormatting>
  <conditionalFormatting sqref="A419 C419:D419 A415:D418">
    <cfRule type="expression" dxfId="796" priority="156">
      <formula>ROUND(COUNTA($A$415:$A415)/2,0)=COUNTA($A$415:$A415)/2</formula>
    </cfRule>
  </conditionalFormatting>
  <conditionalFormatting sqref="A422:D425 B429">
    <cfRule type="expression" dxfId="795" priority="154">
      <formula>ROUND(COUNTA($A$422:$A422)/2,0)=COUNTA($A$422:$A422)/2</formula>
    </cfRule>
  </conditionalFormatting>
  <conditionalFormatting sqref="A527:D530">
    <cfRule type="expression" dxfId="794" priority="149">
      <formula>ROUND(COUNTA($A$527:$A527)/2,0)=COUNTA($A$527:$A527)/2</formula>
    </cfRule>
  </conditionalFormatting>
  <conditionalFormatting sqref="J684:J2769">
    <cfRule type="cellIs" dxfId="793" priority="140" operator="notEqual">
      <formula>$A684</formula>
    </cfRule>
  </conditionalFormatting>
  <conditionalFormatting sqref="A12:D21">
    <cfRule type="expression" dxfId="792" priority="424">
      <formula>ROUND(COUNTA($A$12:$A12)/2,0)=COUNTA($A$12:$A12)/2</formula>
    </cfRule>
  </conditionalFormatting>
  <conditionalFormatting sqref="A81:D82">
    <cfRule type="expression" dxfId="791" priority="585">
      <formula>ROUND(COUNTA($A$81:$A81)/2,0)=COUNTA($A$81:$A81)/2</formula>
    </cfRule>
  </conditionalFormatting>
  <conditionalFormatting sqref="A644:D647">
    <cfRule type="expression" dxfId="790" priority="589">
      <formula>ROUND(COUNTA($A$644:$A644)/2,0)=COUNTA($A$644:$A644)/2</formula>
    </cfRule>
  </conditionalFormatting>
  <conditionalFormatting sqref="A85:D135">
    <cfRule type="expression" dxfId="789" priority="815">
      <formula>ROUND(COUNTA($A$85:$A85)/2,0)=COUNTA($A$85:$A85)/2</formula>
    </cfRule>
  </conditionalFormatting>
  <conditionalFormatting sqref="G515">
    <cfRule type="expression" dxfId="788" priority="131">
      <formula>LEFT(RIGHT(G515,58),7)="INVALID"</formula>
    </cfRule>
  </conditionalFormatting>
  <conditionalFormatting sqref="G517">
    <cfRule type="expression" dxfId="787" priority="130">
      <formula>LEFT(RIGHT(G517,58),7)="INVALID"</formula>
    </cfRule>
  </conditionalFormatting>
  <conditionalFormatting sqref="G520">
    <cfRule type="expression" dxfId="786" priority="129">
      <formula>LEFT(RIGHT(G520,58),7)="INVALID"</formula>
    </cfRule>
  </conditionalFormatting>
  <conditionalFormatting sqref="G523:G524">
    <cfRule type="expression" dxfId="785" priority="128">
      <formula>LEFT(RIGHT(G523,58),7)="INVALID"</formula>
    </cfRule>
  </conditionalFormatting>
  <conditionalFormatting sqref="V523:V524">
    <cfRule type="expression" dxfId="784" priority="127">
      <formula>LEFT(RIGHT(V523,58),7)="INVALID"</formula>
    </cfRule>
  </conditionalFormatting>
  <conditionalFormatting sqref="V515">
    <cfRule type="expression" dxfId="783" priority="124">
      <formula>LEFT(RIGHT(V515,58),7)="INVALID"</formula>
    </cfRule>
  </conditionalFormatting>
  <conditionalFormatting sqref="V517">
    <cfRule type="expression" dxfId="782" priority="125">
      <formula>LEFT(RIGHT(V517,58),7)="INVALID"</formula>
    </cfRule>
  </conditionalFormatting>
  <conditionalFormatting sqref="V520">
    <cfRule type="expression" dxfId="781" priority="126">
      <formula>LEFT(RIGHT(V520,58),7)="INVALID"</formula>
    </cfRule>
  </conditionalFormatting>
  <conditionalFormatting sqref="V506:W524">
    <cfRule type="expression" dxfId="780" priority="123">
      <formula>$V506="No"</formula>
    </cfRule>
  </conditionalFormatting>
  <conditionalFormatting sqref="B498:O503 B480:O487 B489:O496">
    <cfRule type="expression" dxfId="779" priority="122">
      <formula>IFERROR(FIND(" NOT ",$B480),0)&gt;0</formula>
    </cfRule>
  </conditionalFormatting>
  <conditionalFormatting sqref="A506:A507 C506:F507">
    <cfRule type="expression" dxfId="778" priority="121">
      <formula>AND(OR(Demographic=$A$13,Demographic=$A$15),OR(Development_Category=$A$149,Development_Category=$A$150,Development_Category=$A$153,Development_Category=$A$154))</formula>
    </cfRule>
  </conditionalFormatting>
  <conditionalFormatting sqref="A508:A509 C508:F509">
    <cfRule type="expression" dxfId="777" priority="119">
      <formula>AND(OR(Demographic=$A$13,Demographic=$A$15),OR(Development_Category=$A$148,Development_Category=$A$151,Development_Category=$A$152))</formula>
    </cfRule>
  </conditionalFormatting>
  <conditionalFormatting sqref="A511 C511:F511">
    <cfRule type="expression" dxfId="776" priority="118">
      <formula>AND(OR(Demographic=$A$12,Demographic=$A$21),OR(Development_Category=$A$148,Development_Category=$A$151,Development_Category=$A$152))</formula>
    </cfRule>
  </conditionalFormatting>
  <conditionalFormatting sqref="A510 C510:F510">
    <cfRule type="expression" dxfId="775" priority="117">
      <formula>Demographic=$A$14</formula>
    </cfRule>
  </conditionalFormatting>
  <conditionalFormatting sqref="A512:A515 C512:F515">
    <cfRule type="expression" dxfId="774" priority="116">
      <formula>Demographic=$A$17</formula>
    </cfRule>
  </conditionalFormatting>
  <conditionalFormatting sqref="A516:A517 C516:F517">
    <cfRule type="expression" dxfId="773" priority="115">
      <formula>Demographic=$A$16</formula>
    </cfRule>
  </conditionalFormatting>
  <conditionalFormatting sqref="A518:A520 C518:F520">
    <cfRule type="expression" dxfId="772" priority="114">
      <formula>OR(Demographic=$A$18,Demographic=$A$19)</formula>
    </cfRule>
  </conditionalFormatting>
  <conditionalFormatting sqref="A521:A523 C521:F523">
    <cfRule type="expression" dxfId="771" priority="113">
      <formula>Demographic=$A$20</formula>
    </cfRule>
  </conditionalFormatting>
  <conditionalFormatting sqref="G459:L459">
    <cfRule type="expression" dxfId="770" priority="108">
      <formula>$B$460="Yes"</formula>
    </cfRule>
  </conditionalFormatting>
  <conditionalFormatting sqref="G458:L458">
    <cfRule type="expression" dxfId="769" priority="107">
      <formula>$B$460="No"</formula>
    </cfRule>
  </conditionalFormatting>
  <conditionalFormatting sqref="C355:C357 C359:C361 C363:C364">
    <cfRule type="expression" dxfId="768" priority="105">
      <formula>C355&lt;&gt;""</formula>
    </cfRule>
  </conditionalFormatting>
  <conditionalFormatting sqref="E364:E375">
    <cfRule type="cellIs" dxfId="767" priority="102" operator="equal">
      <formula>SMALL(D$372:D$375,1)&amp;","&amp;SMALL(D$372:D$375,2)&amp;","&amp;SMALL(D$372:D$375,3)&amp;","&amp;SMALL(D$372:D$375,4)</formula>
    </cfRule>
  </conditionalFormatting>
  <conditionalFormatting sqref="E602:F614 F615:F617">
    <cfRule type="cellIs" dxfId="766" priority="99" operator="equal">
      <formula>"Yes"</formula>
    </cfRule>
  </conditionalFormatting>
  <conditionalFormatting sqref="B534:B543">
    <cfRule type="expression" dxfId="765" priority="98">
      <formula>NOT(ISBLANK($J$14:$J$29))</formula>
    </cfRule>
  </conditionalFormatting>
  <conditionalFormatting sqref="B548:B549">
    <cfRule type="expression" dxfId="764" priority="97">
      <formula>NOT(ISBLANK($J$24:$J$29))</formula>
    </cfRule>
  </conditionalFormatting>
  <conditionalFormatting sqref="K242:K246 L242 L244:L246 M242:N245 O242:O246 P242 P244:P246 Q242:R243 Q245:R245 S242:S246 T242 T244:T246 U242:U246 V242 V244:V246">
    <cfRule type="cellIs" dxfId="763" priority="90" operator="equal">
      <formula>""</formula>
    </cfRule>
  </conditionalFormatting>
  <conditionalFormatting sqref="A197:F214 A215:B215 D215:F215">
    <cfRule type="expression" dxfId="762" priority="83">
      <formula>COUNTA($A$197:$A197)/2=ROUND(COUNTA($A$197:$A197)/2,0)</formula>
    </cfRule>
  </conditionalFormatting>
  <conditionalFormatting sqref="A201:E201">
    <cfRule type="expression" dxfId="761" priority="86">
      <formula>LEFT($B201,2)="Ne"</formula>
    </cfRule>
  </conditionalFormatting>
  <conditionalFormatting sqref="A165:F170">
    <cfRule type="expression" dxfId="760" priority="70">
      <formula>LEFT($A166,5)="Codes"</formula>
    </cfRule>
    <cfRule type="expression" dxfId="759" priority="71">
      <formula>COUNTA($A$165:$A165)/2=ROUND(COUNTA($A$165:$A165)/2,0)</formula>
    </cfRule>
  </conditionalFormatting>
  <conditionalFormatting sqref="A35:D66">
    <cfRule type="expression" dxfId="758" priority="1578">
      <formula>ROUND(COUNTA($A35:$A$256)/2,0)=COUNTA($A35:$A$256)/2</formula>
    </cfRule>
  </conditionalFormatting>
  <conditionalFormatting sqref="A174:F193">
    <cfRule type="expression" dxfId="757" priority="45">
      <formula>AND(LEFT($A174,7)=LEFT($A175,7),LEFT($A174,11)&lt;&gt;LEFT($A175,11),RIGHT(LEFT($A174,9),2)=")(")</formula>
    </cfRule>
    <cfRule type="expression" dxfId="756" priority="46">
      <formula>LEFT($A174,7)&lt;&gt;LEFT($A175,7)</formula>
    </cfRule>
    <cfRule type="expression" dxfId="755" priority="47">
      <formula>COUNTA($A$174:$A174)/2=ROUND(COUNTA($A$174:$A174)/2,0)</formula>
    </cfRule>
  </conditionalFormatting>
  <conditionalFormatting sqref="A178:E178 A192:E193">
    <cfRule type="expression" dxfId="754" priority="77">
      <formula>$B178="No"</formula>
    </cfRule>
    <cfRule type="expression" dxfId="753" priority="78">
      <formula>-$B178="Yes"</formula>
    </cfRule>
    <cfRule type="expression" dxfId="752" priority="79">
      <formula>LEFT($B178,2)="Ne"</formula>
    </cfRule>
  </conditionalFormatting>
  <conditionalFormatting sqref="A158:F161 D162">
    <cfRule type="expression" dxfId="751" priority="17">
      <formula>COUNTA($A$158:$A158)/2=ROUND(COUNTA($A$158:$A158)/2,0)</formula>
    </cfRule>
  </conditionalFormatting>
  <conditionalFormatting sqref="A161:C161">
    <cfRule type="expression" dxfId="750" priority="68">
      <formula>$B$161="No"</formula>
    </cfRule>
    <cfRule type="expression" dxfId="749" priority="69">
      <formula>$B$161="Yes"</formula>
    </cfRule>
  </conditionalFormatting>
  <conditionalFormatting sqref="A168:C168">
    <cfRule type="expression" dxfId="748" priority="72">
      <formula>$B$168="No"</formula>
    </cfRule>
    <cfRule type="expression" dxfId="747" priority="73">
      <formula>$B$168="Yes"</formula>
    </cfRule>
  </conditionalFormatting>
  <conditionalFormatting sqref="A169:E170">
    <cfRule type="expression" dxfId="746" priority="74">
      <formula>$B169="No"</formula>
    </cfRule>
    <cfRule type="expression" dxfId="745" priority="75">
      <formula>$B169="Yes"</formula>
    </cfRule>
    <cfRule type="expression" dxfId="744" priority="82">
      <formula>LEFT($B169,2)="Ne"</formula>
    </cfRule>
  </conditionalFormatting>
  <conditionalFormatting sqref="A177:C177 A184:C184 A191:C191 A200:C200 A201:E201 A207:C207 A214:C214">
    <cfRule type="expression" dxfId="743" priority="49">
      <formula>$B177="No"</formula>
    </cfRule>
    <cfRule type="expression" dxfId="742" priority="76">
      <formula>$B177="Yes"</formula>
    </cfRule>
  </conditionalFormatting>
  <conditionalFormatting sqref="G161:AA161 G168:AA168 G177:AA177 G184:AL184 G200:AA200 G207:AL207">
    <cfRule type="expression" dxfId="741" priority="54">
      <formula>FIND("NOT",$G161)&gt;0</formula>
    </cfRule>
  </conditionalFormatting>
  <conditionalFormatting sqref="G191:AL191">
    <cfRule type="expression" dxfId="740" priority="52">
      <formula>FIND("NOT",$G191)&gt;0</formula>
    </cfRule>
  </conditionalFormatting>
  <conditionalFormatting sqref="G214:AL214">
    <cfRule type="expression" dxfId="739" priority="51">
      <formula>FIND("NOT",$G214)&gt;0</formula>
    </cfRule>
  </conditionalFormatting>
  <conditionalFormatting sqref="A197:F214">
    <cfRule type="expression" dxfId="738" priority="80">
      <formula>AND(LEFT($A197,9)=LEFT($A198,9),LEFT($A197,12)&lt;&gt;LEFT($A198,12),RIGHT(LEFT($A197,11),2)=")(")</formula>
    </cfRule>
    <cfRule type="expression" dxfId="737" priority="81">
      <formula>LEFT($A197,9)&lt;&gt;LEFT($A198,9)</formula>
    </cfRule>
  </conditionalFormatting>
  <conditionalFormatting sqref="A158:F161">
    <cfRule type="expression" dxfId="736" priority="16">
      <formula>LEFT($A159,5)="Codes"</formula>
    </cfRule>
  </conditionalFormatting>
  <conditionalFormatting sqref="F618">
    <cfRule type="cellIs" dxfId="735" priority="3" operator="equal">
      <formula>"Yes"</formula>
    </cfRule>
  </conditionalFormatting>
  <conditionalFormatting sqref="E615:E618">
    <cfRule type="cellIs" dxfId="734" priority="2" operator="equal">
      <formula>"Yes"</formula>
    </cfRule>
  </conditionalFormatting>
  <conditionalFormatting sqref="C389:C412">
    <cfRule type="cellIs" dxfId="733" priority="1" operator="equal">
      <formula>"Yes"</formula>
    </cfRule>
  </conditionalFormatting>
  <dataValidations count="6">
    <dataValidation type="list" allowBlank="1" showInputMessage="1" showErrorMessage="1" sqref="B590 K250:K252 E460 C428:C429 O196 O164 O173 H475 C447 C389:C392 C394:C412 B419 B445 E602:F618" xr:uid="{4E8DABAA-C8BE-4910-AE5E-6DC442FCB534}">
      <formula1>"&lt;select one&gt;, Yes, No"</formula1>
    </dataValidation>
    <dataValidation type="list" allowBlank="1" showInputMessage="1" showErrorMessage="1" sqref="B591:C591" xr:uid="{7F902045-488A-473E-AC1C-EAF1933EE6BA}">
      <formula1>"&lt;select one&gt;, Face, Δ NPV"</formula1>
    </dataValidation>
    <dataValidation type="list" allowBlank="1" showInputMessage="1" showErrorMessage="1" sqref="E72" xr:uid="{DEED4C47-0C74-4D65-9B1E-FE578AE618C4}">
      <formula1>DS_DevExpProgs_DDMenu</formula1>
    </dataValidation>
    <dataValidation type="list" allowBlank="1" showInputMessage="1" showErrorMessage="1" sqref="B580:D580" xr:uid="{E7CE9D48-09E0-424A-9265-9DC1562F5D4A}">
      <formula1>DS_QualFin_DDMenu</formula1>
    </dataValidation>
    <dataValidation type="list" allowBlank="1" showInputMessage="1" showErrorMessage="1" sqref="B448" xr:uid="{E92BA0A7-21CE-4673-9DAA-A1BDE823E3E2}">
      <formula1>DS_AMI_List</formula1>
    </dataValidation>
    <dataValidation type="list" allowBlank="1" showInputMessage="1" showErrorMessage="1" sqref="E77" xr:uid="{4C75FBAD-0BB5-44DC-9363-BE560AE8B759}">
      <formula1>$F$68:$F$70</formula1>
    </dataValidation>
  </dataValidations>
  <hyperlinks>
    <hyperlink ref="F378" r:id="rId1" display="https://support.office.com/en-us/f1/topic/aa1f3067-05c9-44e4-b141-f75bb9bb89bd?showContactUsNav=False&amp;ns=EXCEL&amp;version=90" xr:uid="{3FBD1BFB-0E6C-494B-9348-5675E8BB8104}"/>
  </hyperlinks>
  <pageMargins left="0.7" right="0.7" top="0.75" bottom="0.75" header="0.3" footer="0.3"/>
  <pageSetup scale="80" orientation="portrait" cellComments="atEnd" r:id="rId2"/>
  <headerFooter>
    <oddHeader>&amp;C&amp;B&amp;14&amp;K7030A0Exhibit A to RFA 2023-102 SAIL Financing For Smaller Permanent Supportive Housing Developments For Persons With Special Needs</oddHeader>
    <oddFooter>&amp;LRFA 2023-102&amp;R&amp;K000000'&amp;A' worksheet tab: Page &amp;P of &amp;N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BS2323"/>
  <sheetViews>
    <sheetView zoomScale="70" zoomScaleNormal="70" workbookViewId="0">
      <selection activeCell="B534" sqref="B534"/>
    </sheetView>
  </sheetViews>
  <sheetFormatPr defaultRowHeight="14.5"/>
  <cols>
    <col min="1" max="1" width="8.453125" customWidth="1"/>
    <col min="2" max="2" width="14.1796875" customWidth="1"/>
    <col min="3" max="3" width="0.81640625" customWidth="1"/>
    <col min="4" max="4" width="32.453125" customWidth="1"/>
    <col min="5" max="5" width="0.81640625" customWidth="1"/>
    <col min="6" max="6" width="16.81640625" bestFit="1" customWidth="1"/>
    <col min="7" max="7" width="15.1796875" customWidth="1"/>
    <col min="8" max="8" width="0.81640625" customWidth="1"/>
    <col min="9" max="9" width="14.453125" customWidth="1"/>
    <col min="10" max="10" width="17.54296875" customWidth="1"/>
    <col min="11" max="11" width="0.81640625" customWidth="1"/>
    <col min="13" max="13" width="13.453125" customWidth="1"/>
    <col min="14" max="14" width="0.81640625" customWidth="1"/>
    <col min="15" max="15" width="21.81640625" customWidth="1"/>
    <col min="16" max="16" width="0.81640625" customWidth="1"/>
    <col min="17" max="17" width="21.81640625" customWidth="1"/>
    <col min="18" max="18" width="0.81640625" customWidth="1"/>
    <col min="20" max="20" width="13.453125" customWidth="1"/>
    <col min="21" max="21" width="0.81640625" customWidth="1"/>
    <col min="23" max="23" width="13.453125" customWidth="1"/>
    <col min="24" max="24" width="0.81640625" customWidth="1"/>
    <col min="26" max="26" width="13.453125" customWidth="1"/>
    <col min="27" max="27" width="0.81640625" customWidth="1"/>
    <col min="28" max="28" width="8.81640625" customWidth="1"/>
    <col min="29" max="29" width="13.453125" customWidth="1"/>
    <col min="30" max="30" width="0.81640625" customWidth="1"/>
    <col min="31" max="31" width="8.453125" customWidth="1"/>
    <col min="32" max="32" width="15.81640625" customWidth="1"/>
    <col min="33" max="33" width="0.81640625" customWidth="1"/>
    <col min="34" max="34" width="32.453125" customWidth="1"/>
    <col min="35" max="35" width="0.81640625" customWidth="1"/>
    <col min="36" max="36" width="16.81640625" customWidth="1"/>
    <col min="37" max="37" width="15.1796875" customWidth="1"/>
    <col min="38" max="38" width="0.81640625" customWidth="1"/>
    <col min="39" max="39" width="14.453125" customWidth="1"/>
    <col min="40" max="40" width="17.54296875" customWidth="1"/>
    <col min="41" max="41" width="0.81640625" customWidth="1"/>
    <col min="42" max="42" width="8.81640625" customWidth="1"/>
    <col min="43" max="43" width="13.453125" customWidth="1"/>
    <col min="44" max="44" width="0.81640625" customWidth="1"/>
    <col min="45" max="45" width="20.54296875" customWidth="1"/>
    <col min="46" max="46" width="0.81640625" customWidth="1"/>
    <col min="47" max="47" width="20.54296875" customWidth="1"/>
    <col min="48" max="48" width="0.81640625" customWidth="1"/>
    <col min="49" max="49" width="8.81640625" customWidth="1"/>
    <col min="50" max="50" width="13.453125" customWidth="1"/>
    <col min="51" max="51" width="0.81640625" customWidth="1"/>
    <col min="52" max="52" width="8.81640625" customWidth="1"/>
    <col min="53" max="53" width="13.453125" customWidth="1"/>
    <col min="54" max="54" width="0.81640625" customWidth="1"/>
    <col min="55" max="55" width="8.81640625" customWidth="1"/>
    <col min="56" max="56" width="13.453125" customWidth="1"/>
    <col min="57" max="57" width="0.81640625" customWidth="1"/>
    <col min="59" max="59" width="13.453125" customWidth="1"/>
    <col min="60" max="60" width="0.81640625" customWidth="1"/>
    <col min="61" max="61" width="11.81640625" customWidth="1"/>
    <col min="62" max="62" width="15.81640625" customWidth="1"/>
    <col min="63" max="63" width="37" customWidth="1"/>
    <col min="64" max="65" width="16.81640625" customWidth="1"/>
    <col min="68" max="68" width="46.453125" customWidth="1"/>
    <col min="69" max="69" width="20.81640625" customWidth="1"/>
    <col min="70" max="70" width="25.81640625" customWidth="1"/>
  </cols>
  <sheetData>
    <row r="1" spans="1:59">
      <c r="A1" s="9" t="s">
        <v>185</v>
      </c>
    </row>
    <row r="3" spans="1:59">
      <c r="A3" s="2069" t="s">
        <v>729</v>
      </c>
      <c r="B3" s="2070"/>
      <c r="C3" s="2070"/>
      <c r="D3" s="2070"/>
      <c r="E3" s="2070"/>
      <c r="F3" s="2070"/>
      <c r="G3" s="2070"/>
      <c r="H3" s="2070"/>
      <c r="I3" s="2070"/>
      <c r="J3" s="2070"/>
      <c r="K3" s="2070"/>
      <c r="L3" s="2070"/>
      <c r="M3" s="2070"/>
      <c r="N3" s="2070"/>
      <c r="O3" s="2070"/>
      <c r="P3" s="2070"/>
      <c r="Q3" s="2070"/>
    </row>
    <row r="4" spans="1:59">
      <c r="A4" s="1122"/>
      <c r="B4" s="462" t="s">
        <v>1283</v>
      </c>
      <c r="C4" s="1451"/>
      <c r="D4" s="462" t="s">
        <v>1284</v>
      </c>
      <c r="E4" s="1451"/>
      <c r="F4" s="462" t="s">
        <v>1696</v>
      </c>
      <c r="G4" s="1076" t="s">
        <v>1281</v>
      </c>
      <c r="I4" s="2084" t="s">
        <v>1282</v>
      </c>
      <c r="J4" s="2085"/>
      <c r="K4" s="2085"/>
      <c r="L4" s="2085"/>
      <c r="M4" s="2085"/>
      <c r="N4" s="2085"/>
      <c r="O4" s="2086"/>
      <c r="Q4" s="462" t="s">
        <v>1692</v>
      </c>
    </row>
    <row r="5" spans="1:59">
      <c r="A5" s="374" t="str">
        <f>IF(B5="Workforce",1,IF(B5="SAIL",2,IF(B5="ELI",3,IF(B5="HOME",4,IF(B5="HOME-ARP",5,IF(B5="Grant",6,IF(B5="NHTF",7,IF(B5="TBD",8,""))))))))</f>
        <v/>
      </c>
      <c r="B5" s="374" t="str">
        <f>IF(N(Workforce_Request_Amount)&gt;0,"Workforce",IF(N(SAIL_Request_Amount)&gt;0,"SAIL",IF(N(ELI_Request_Amount)&gt;0,"ELI",IF(N(HOME_Request_Amount)&gt;0,"HOME",IF(N(HOME_ARP_Request_Amount)&gt;0,"HOME-ARP",IF(N(Grant_Request_Amount)&gt;0,"Grant",IF(N(NHTF_Request_Amount)&gt;0,"NHTF",IF(N(TBD_Request_Amount)&gt;0,"TBD",""))))))))</f>
        <v/>
      </c>
      <c r="D5" s="375" t="str">
        <f>CHOOSE(N(A5)+1,"",N(Workforce_Request_Amount),N(SAIL_Request_Amount),N(ELI_Request_Amount),N(HOME_Request_Amount),N(HOME_ARP_Request_Amount),N(Grant_Request_Amount),N(NHTF_Request_Amount),N(TBD_Request_Amount),"")</f>
        <v/>
      </c>
      <c r="F5" s="374" t="str">
        <f>CHOOSE(N(A5)+1,"Enter request on Funding Tab","FHFC - Workforce","FHFC - SAIL","FHFC - SAIL ELI","FHFC - HOME","FHFC - HOME-ARP","FHFC - Grant","FHFC - NHTF","FHFC - TBD","")</f>
        <v>Enter request on Funding Tab</v>
      </c>
      <c r="G5" s="375" t="str">
        <f>CHOOSE(N(A5)+1,"",N(Max_Workforce),N(Max_SAIL),N(Max_ELI),N(Max_HOME),N(Max_ARP),N(Max_Grant),N(Max_NHTF),N(Max_TBD),"")</f>
        <v/>
      </c>
      <c r="I5" s="2071" t="str">
        <f>IF(N(DS_FHFC_Source_1_Amt)&gt;N(DS_FHFC_Source_1_Max_Amt),"The "&amp;TEXT(DS_FHFC_Source_1_Name,"0")&amp;" request amount has been adjusted to the Maximum of "&amp;TEXT(N(DS_FHFC_Source_1_Max_Amt),"$#,##0")&amp;".","")</f>
        <v/>
      </c>
      <c r="J5" s="2072"/>
      <c r="K5" s="2072"/>
      <c r="L5" s="2072"/>
      <c r="M5" s="2072"/>
      <c r="N5" s="2072"/>
      <c r="O5" s="2072"/>
      <c r="Q5" s="1466" t="str">
        <f>IF(N(DS_FHFC_Source_1_Amt)&gt;N(DS_FHFC_Source_1_Max_Amt),DS_FHFC_Source_1_Label,"")</f>
        <v/>
      </c>
    </row>
    <row r="6" spans="1:59">
      <c r="A6" s="374" t="str">
        <f t="shared" ref="A6:A8" si="0">IF(B6="Workforce",1,IF(B6="SAIL",2,IF(B6="ELI",3,IF(B6="HOME",4,IF(B6="HOME-ARP",5,IF(B6="Grant",6,IF(B6="NHTF",7,IF(B6="TBD",8,""))))))))</f>
        <v/>
      </c>
      <c r="B6" s="1072" t="str">
        <f>CHOOSE(N(A5)+1,"",IF(N(SAIL_Request_Amount)&gt;0,"SAIL",IF(N(ELI_Request_Amount)&gt;0,"ELI",IF(N(HOME_Request_Amount)&gt;0,"HOME",IF(N(HOME_ARP_Request_Amount)&gt;0,"HOME-ARP",IF(N(Grant_Request_Amount)&gt;0,"Grant",IF(N(NHTF_Request_Amount)&gt;0,"NHTF",IF(N(TBD_Request_Amount)&gt;0,"TBD",""))))))),IF(N(ELI_Request_Amount)&gt;0,"ELI",IF(N(HOME_Request_Amount)&gt;0,"HOME",IF(N(HOME_ARP_Request_Amount)&gt;0,"HOME-ARP",IF(N(Grant_Request_Amount)&gt;0,"Grant",IF(N(NHTF_Request_Amount)&gt;0,"NHTF",IF(N(TBD_Request_Amount)&gt;0,"TBD","")))))),IF(N(HOME_Request_Amount)&gt;0,"HOME",IF(N(HOME_ARP_Request_Amount)&gt;0,"HOME-ARP",IF(N(Grant_Request_Amount)&gt;0,"Grant",IF(N(NHTF_Request_Amount)&gt;0,"NHTF",IF(N(TBD_Request_Amount)&gt;0,"TBD",""))))),IF(N(HOME_ARP_Request_Amount)&gt;0,"HOME-ARP",IF(N(Grant_Request_Amount)&gt;0,"Grant",IF(N(NHTF_Request_Amount)&gt;0,"NHTF",IF(N(TBD_Request_Amount)&gt;0,"TBD","")))),IF(N(Grant_Request_Amount)&gt;0,"Grant",IF(N(NHTF_Request_Amount)&gt;0,"NHTF",IF(N(TBD_Request_Amount)&gt;0,"TBD",""))),IF(N(NHTF_Request_Amount)&gt;0,"NHTF",IF(N(TBD_Request_Amount)&gt;0,"TBD","")),IF(N(TBD_Request_Amount)&gt;0,"TBD",""),"")</f>
        <v/>
      </c>
      <c r="D6" s="375" t="str">
        <f>CHOOSE(N(A6)+1,"",N(Workforce_Request_Amount),N(SAIL_Request_Amount),N(ELI_Request_Amount),N(HOME_Request_Amount),N(HOME_ARP_Request_Amount),N(Grant_Request_Amount),N(NHTF_Request_Amount),N(TBD_Request_Amount),"")</f>
        <v/>
      </c>
      <c r="F6" s="374" t="str">
        <f>CHOOSE(N(A6)+1,"Enter request on Funding Tab","FHFC - Workforce","FHFC - SAIL","FHFC - SAIL ELI","FHFC - HOME","FHFC - HOME-ARP","FHFC - Grant","FHFC - NHTF","FHFC - TBD","")</f>
        <v>Enter request on Funding Tab</v>
      </c>
      <c r="G6" s="375" t="str">
        <f>CHOOSE(N(A6)+1,"",N(Max_Workforce),N(Max_SAIL),N(Max_ELI),N(Max_HOME),N(Max_ARP),N(Max_Grant),N(Max_NHTF),N(Max_TBD),"")</f>
        <v/>
      </c>
      <c r="I6" s="2071" t="str">
        <f>IF(N(DS_FHFC_Source_2_Amt)&gt;N(DS_FHFC_Source_2_Max_Amt),"The "&amp;TEXT(DS_FHFC_Source_2_Name,"0")&amp;" request amount has been adjusted to the Maximum of "&amp;TEXT(N(DS_FHFC_Source_2_Max_Amt),"$#,##0")&amp;".","")</f>
        <v/>
      </c>
      <c r="J6" s="2072"/>
      <c r="K6" s="2072"/>
      <c r="L6" s="2072"/>
      <c r="M6" s="2072"/>
      <c r="N6" s="2072"/>
      <c r="O6" s="2072"/>
      <c r="Q6" s="1466" t="str">
        <f>IF(N(DS_FHFC_Source_2_Amt)&gt;N(DS_FHFC_Source_2_Max_Amt),DS_FHFC_Source_2_Label,"")</f>
        <v/>
      </c>
    </row>
    <row r="7" spans="1:59">
      <c r="A7" s="374" t="str">
        <f t="shared" si="0"/>
        <v/>
      </c>
      <c r="B7" s="1072" t="str">
        <f>CHOOSE(N(A6)+1,"",IF(N(SAIL_Request_Amount)&gt;0,"SAIL",IF(N(ELI_Request_Amount)&gt;0,"ELI",IF(N(HOME_Request_Amount)&gt;0,"HOME",IF(N(HOME_ARP_Request_Amount)&gt;0,"HOME-ARP",IF(N(Grant_Request_Amount)&gt;0,"Grant",IF(N(NHTF_Request_Amount)&gt;0,"NHTF",IF(N(TBD_Request_Amount)&gt;0,"TBD",""))))))),IF(N(ELI_Request_Amount)&gt;0,"ELI",IF(N(HOME_Request_Amount)&gt;0,"HOME",IF(N(HOME_ARP_Request_Amount)&gt;0,"HOME-ARP",IF(N(Grant_Request_Amount)&gt;0,"Grant",IF(N(NHTF_Request_Amount)&gt;0,"NHTF",IF(N(TBD_Request_Amount)&gt;0,"TBD","")))))),IF(N(HOME_Request_Amount)&gt;0,"HOME",IF(N(HOME_ARP_Request_Amount)&gt;0,"HOME-ARP",IF(N(Grant_Request_Amount)&gt;0,"Grant",IF(N(NHTF_Request_Amount)&gt;0,"NHTF",IF(N(TBD_Request_Amount)&gt;0,"TBD",""))))),IF(N(HOME_ARP_Request_Amount)&gt;0,"HOME-ARP",IF(N(Grant_Request_Amount)&gt;0,"Grant",IF(N(NHTF_Request_Amount)&gt;0,"NHTF",IF(N(TBD_Request_Amount)&gt;0,"TBD","")))),IF(N(Grant_Request_Amount)&gt;0,"Grant",IF(N(NHTF_Request_Amount)&gt;0,"NHTF",IF(N(TBD_Request_Amount)&gt;0,"TBD",""))),IF(N(NHTF_Request_Amount)&gt;0,"NHTF",IF(N(TBD_Request_Amount)&gt;0,"TBD","")),IF(N(TBD_Request_Amount)&gt;0,"TBD",""),"")</f>
        <v/>
      </c>
      <c r="D7" s="375" t="str">
        <f>CHOOSE(N(A7)+1,"",N(Workforce_Request_Amount),N(SAIL_Request_Amount),N(ELI_Request_Amount),N(HOME_Request_Amount),N(HOME_ARP_Request_Amount),N(Grant_Request_Amount),N(NHTF_Request_Amount),N(TBD_Request_Amount),"")</f>
        <v/>
      </c>
      <c r="F7" s="374" t="str">
        <f>CHOOSE(N(A7)+1,"Enter request on Funding Tab","FHFC - Workforce","FHFC - SAIL","FHFC - SAIL ELI","FHFC - HOME","FHFC - HOME-ARP","FHFC - Grant","FHFC - NHTF","FHFC - TBD","")</f>
        <v>Enter request on Funding Tab</v>
      </c>
      <c r="G7" s="375" t="str">
        <f>CHOOSE(N(A7)+1,"",N(Max_Workforce),N(Max_SAIL),N(Max_ELI),N(Max_HOME),N(Max_ARP),N(Max_Grant),N(Max_NHTF),N(Max_TBD),"")</f>
        <v/>
      </c>
      <c r="I7" s="2071" t="str">
        <f>IF(N(DS_FHFC_Source_3_Amt)&gt;N(DS_FHFC_Source_3_Max_Amt),"The "&amp;TEXT(DS_FHFC_Source_3_Name,"0")&amp;" request amount has been adjusted to the Maximum of "&amp;TEXT(N(DS_FHFC_Source_3_Max_Amt),"$#,##0")&amp;".","")</f>
        <v/>
      </c>
      <c r="J7" s="2072"/>
      <c r="K7" s="2072"/>
      <c r="L7" s="2072"/>
      <c r="M7" s="2072"/>
      <c r="N7" s="2072"/>
      <c r="O7" s="2072"/>
      <c r="Q7" s="1466" t="str">
        <f>IF(N(DS_FHFC_Source_3_Amt)&gt;N(DS_FHFC_Source_3_Max_Amt),DS_FHFC_Source_3_Label,"")</f>
        <v/>
      </c>
    </row>
    <row r="8" spans="1:59">
      <c r="A8" s="374" t="str">
        <f t="shared" si="0"/>
        <v/>
      </c>
      <c r="B8" s="1072" t="str">
        <f>CHOOSE(N(A7)+1,"",IF(N(SAIL_Request_Amount)&gt;0,"SAIL",IF(N(ELI_Request_Amount)&gt;0,"ELI",IF(N(HOME_Request_Amount)&gt;0,"HOME",IF(N(HOME_ARP_Request_Amount)&gt;0,"HOME-ARP",IF(N(Grant_Request_Amount)&gt;0,"Grant",IF(N(NHTF_Request_Amount)&gt;0,"NHTF",IF(N(TBD_Request_Amount)&gt;0,"TBD",""))))))),IF(N(ELI_Request_Amount)&gt;0,"ELI",IF(N(HOME_Request_Amount)&gt;0,"HOME",IF(N(HOME_ARP_Request_Amount)&gt;0,"HOME-ARP",IF(N(Grant_Request_Amount)&gt;0,"Grant",IF(N(NHTF_Request_Amount)&gt;0,"NHTF",IF(N(TBD_Request_Amount)&gt;0,"TBD","")))))),IF(N(HOME_Request_Amount)&gt;0,"HOME",IF(N(HOME_ARP_Request_Amount)&gt;0,"HOME-ARP",IF(N(Grant_Request_Amount)&gt;0,"Grant",IF(N(NHTF_Request_Amount)&gt;0,"NHTF",IF(N(TBD_Request_Amount)&gt;0,"TBD",""))))),IF(N(HOME_ARP_Request_Amount)&gt;0,"HOME-ARP",IF(N(Grant_Request_Amount)&gt;0,"Grant",IF(N(NHTF_Request_Amount)&gt;0,"NHTF",IF(N(TBD_Request_Amount)&gt;0,"TBD","")))),IF(N(Grant_Request_Amount)&gt;0,"Grant",IF(N(NHTF_Request_Amount)&gt;0,"NHTF",IF(N(TBD_Request_Amount)&gt;0,"TBD",""))),IF(N(NHTF_Request_Amount)&gt;0,"NHTF",IF(N(TBD_Request_Amount)&gt;0,"TBD","")),IF(N(TBD_Request_Amount)&gt;0,"TBD",""),"")</f>
        <v/>
      </c>
      <c r="D8" s="375" t="str">
        <f>CHOOSE(N(A8)+1,"",N(Workforce_Request_Amount),N(SAIL_Request_Amount),N(ELI_Request_Amount),N(HOME_Request_Amount),N(HOME_ARP_Request_Amount),N(Grant_Request_Amount),N(NHTF_Request_Amount),N(TBD_Request_Amount),"")</f>
        <v/>
      </c>
      <c r="F8" s="374" t="str">
        <f>CHOOSE(N(A8)+1,"Enter request on Funding Tab","FHFC - Workforce","FHFC - SAIL","FHFC - SAIL ELI","FHFC - HOME","FHFC - HOME-ARP","FHFC - Grant","FHFC - NHTF","FHFC - TBD","")</f>
        <v>Enter request on Funding Tab</v>
      </c>
      <c r="G8" s="375" t="str">
        <f>CHOOSE(N(A8)+1,"",N(Max_Workforce),N(Max_SAIL),N(Max_ELI),N(Max_HOME),N(Max_ARP),N(Max_Grant),N(Max_NHTF),N(Max_TBD),"")</f>
        <v/>
      </c>
      <c r="I8" s="2071" t="str">
        <f>IF(N(DS_FHFC_Source_4_Amt)&gt;N(DS_FHFC_Source_4_Max_Amt),"The "&amp;TEXT(DS_FHFC_Source_4_Name,"0")&amp;" request amount has been adjusted to the Maximum of "&amp;TEXT(N(DS_FHFC_Source_4_Max_Amt),"$#,##0")&amp;".","")</f>
        <v/>
      </c>
      <c r="J8" s="2072"/>
      <c r="K8" s="2072"/>
      <c r="L8" s="2072"/>
      <c r="M8" s="2072"/>
      <c r="N8" s="2072"/>
      <c r="O8" s="2072"/>
      <c r="Q8" s="1466" t="str">
        <f>IF(N(DS_FHFC_Source_4_Amt)&gt;N(DS_FHFC_Source_4_Max_Amt),DS_FHFC_Source_4_Label,"")</f>
        <v/>
      </c>
    </row>
    <row r="10" spans="1:59">
      <c r="A10" s="1450" t="s">
        <v>1694</v>
      </c>
      <c r="B10" s="1450" t="str">
        <f>IF(N(Competitive_HC_Request_Amount)&gt;0,"Competitive HC","")</f>
        <v/>
      </c>
      <c r="C10" s="203"/>
      <c r="D10" s="1450" t="str">
        <f>IF(B10="Competitive HC",N(Competitive_HC_Request_Amount),"")</f>
        <v/>
      </c>
      <c r="E10" s="203"/>
      <c r="F10" s="1450" t="str">
        <f>IF(B10="Competitive HC","FHFC - 9% HC","Enter Request on Funding Tab")</f>
        <v>Enter Request on Funding Tab</v>
      </c>
      <c r="G10" s="1450" t="str">
        <f>IF(B10="Competitive HC",N(Max_Competitive_HC),"")</f>
        <v/>
      </c>
      <c r="H10" s="203"/>
      <c r="I10" s="2081" t="str">
        <f>IF(N(DS_FHFC_9HC_Amt)&gt;N(DS_FHFC_9HC_Max_Amt),"The Competitve HC request amount has been adjusted to the Maximum of "&amp;TEXT(N(DS_FHFC_9HC_Max_Amt),"$#,##0")&amp;".","")</f>
        <v/>
      </c>
      <c r="J10" s="2081"/>
      <c r="K10" s="2081"/>
      <c r="L10" s="2081"/>
      <c r="M10" s="2081"/>
      <c r="N10" s="2081"/>
      <c r="O10" s="2081"/>
      <c r="P10" s="203"/>
      <c r="Q10" s="1450" t="str">
        <f>IF(N(DS_FHFC_9HC_Amt)&gt;N(DS_FHFC_9HC_Max_Amt),DS_FHFC_9HC_Label,"")</f>
        <v/>
      </c>
    </row>
    <row r="13" spans="1:59">
      <c r="A13">
        <v>7.82</v>
      </c>
      <c r="B13">
        <v>13.55</v>
      </c>
      <c r="D13">
        <v>31.82</v>
      </c>
      <c r="F13">
        <v>16.18</v>
      </c>
      <c r="G13">
        <v>14.55</v>
      </c>
      <c r="I13">
        <v>13.82</v>
      </c>
      <c r="J13">
        <v>16.91</v>
      </c>
      <c r="L13">
        <v>8.09</v>
      </c>
      <c r="M13">
        <v>12.82</v>
      </c>
      <c r="O13">
        <v>21</v>
      </c>
      <c r="Q13">
        <v>21</v>
      </c>
      <c r="S13">
        <v>8.09</v>
      </c>
      <c r="T13">
        <v>12.82</v>
      </c>
      <c r="V13">
        <v>8.09</v>
      </c>
      <c r="W13">
        <v>12.82</v>
      </c>
      <c r="Y13">
        <v>8.09</v>
      </c>
      <c r="Z13">
        <v>12.82</v>
      </c>
      <c r="AB13">
        <v>8.09</v>
      </c>
      <c r="AC13">
        <v>12.82</v>
      </c>
      <c r="AE13">
        <v>7.82</v>
      </c>
      <c r="AF13">
        <v>15</v>
      </c>
      <c r="AH13">
        <v>31.82</v>
      </c>
      <c r="AJ13">
        <v>16.18</v>
      </c>
      <c r="AK13">
        <v>14.55</v>
      </c>
      <c r="AM13">
        <v>13.82</v>
      </c>
      <c r="AN13">
        <v>16.91</v>
      </c>
      <c r="AP13">
        <v>8.09</v>
      </c>
      <c r="AQ13">
        <v>12.82</v>
      </c>
      <c r="AS13">
        <v>19.91</v>
      </c>
      <c r="AU13">
        <v>19.91</v>
      </c>
      <c r="AW13">
        <v>8.09</v>
      </c>
      <c r="AX13">
        <v>12.82</v>
      </c>
      <c r="AZ13">
        <v>8.09</v>
      </c>
      <c r="BA13">
        <v>12.82</v>
      </c>
      <c r="BC13">
        <v>8.09</v>
      </c>
      <c r="BD13">
        <v>12.82</v>
      </c>
      <c r="BF13">
        <v>8.09</v>
      </c>
      <c r="BG13">
        <v>12.82</v>
      </c>
    </row>
    <row r="17" spans="1:71">
      <c r="O17" s="1857"/>
      <c r="P17" s="1858"/>
      <c r="Q17" s="1859"/>
      <c r="R17" s="1858"/>
      <c r="S17" s="1857"/>
      <c r="T17" s="1857"/>
      <c r="U17" s="1858"/>
      <c r="V17" s="1857"/>
      <c r="W17" s="1857"/>
      <c r="X17" s="1858"/>
      <c r="Y17" s="1857"/>
      <c r="Z17" s="1857"/>
    </row>
    <row r="18" spans="1:71" ht="15" customHeight="1">
      <c r="N18" s="203"/>
      <c r="O18" s="1860"/>
      <c r="P18" s="1858"/>
      <c r="Q18" s="1861"/>
      <c r="R18" s="1858"/>
      <c r="S18" s="1860"/>
      <c r="T18" s="1860"/>
      <c r="U18" s="1858"/>
      <c r="V18" s="1860"/>
      <c r="W18" s="1860"/>
      <c r="X18" s="1858"/>
      <c r="Y18" s="1860"/>
      <c r="Z18" s="1860"/>
      <c r="AA18" s="203"/>
      <c r="AB18" s="222"/>
      <c r="AC18" s="222"/>
    </row>
    <row r="19" spans="1:71" ht="30" customHeight="1">
      <c r="A19" s="2075" t="s">
        <v>2002</v>
      </c>
      <c r="B19" s="2076"/>
      <c r="D19" s="1853" t="s">
        <v>2058</v>
      </c>
      <c r="F19" s="2075" t="s">
        <v>2059</v>
      </c>
      <c r="G19" s="2076"/>
      <c r="I19" s="2075" t="s">
        <v>2060</v>
      </c>
      <c r="J19" s="2076"/>
      <c r="L19" s="2077" t="s">
        <v>2050</v>
      </c>
      <c r="M19" s="2078"/>
      <c r="O19" s="1851" t="s">
        <v>2061</v>
      </c>
      <c r="P19" s="1296"/>
      <c r="Q19" s="1851" t="s">
        <v>2062</v>
      </c>
      <c r="R19" s="1881"/>
      <c r="S19" s="2087" t="s">
        <v>2044</v>
      </c>
      <c r="T19" s="2088"/>
      <c r="U19" s="1881"/>
      <c r="V19" s="2087" t="s">
        <v>2045</v>
      </c>
      <c r="W19" s="2088"/>
      <c r="X19" s="1881"/>
      <c r="Y19" s="2087" t="s">
        <v>2046</v>
      </c>
      <c r="Z19" s="2088"/>
      <c r="AB19" s="222"/>
      <c r="AC19" s="222"/>
      <c r="AE19" s="2075" t="s">
        <v>2029</v>
      </c>
      <c r="AF19" s="2076"/>
      <c r="AH19" s="1853" t="s">
        <v>2057</v>
      </c>
      <c r="AJ19" s="2075" t="s">
        <v>2056</v>
      </c>
      <c r="AK19" s="2076"/>
      <c r="AM19" s="2075" t="s">
        <v>2055</v>
      </c>
      <c r="AN19" s="2076"/>
      <c r="AP19" s="2073" t="s">
        <v>2067</v>
      </c>
      <c r="AQ19" s="2074"/>
      <c r="AS19" s="1851" t="s">
        <v>2054</v>
      </c>
      <c r="AU19" s="1851" t="s">
        <v>2053</v>
      </c>
      <c r="AW19" s="2075" t="s">
        <v>2039</v>
      </c>
      <c r="AX19" s="2076"/>
      <c r="AZ19" s="2075" t="s">
        <v>2051</v>
      </c>
      <c r="BA19" s="2076"/>
      <c r="BC19" s="2075" t="s">
        <v>2052</v>
      </c>
      <c r="BD19" s="2076"/>
    </row>
    <row r="20" spans="1:71">
      <c r="G20" s="1856" t="s">
        <v>2049</v>
      </c>
      <c r="H20" s="222"/>
      <c r="I20" s="222"/>
      <c r="J20" s="1856" t="s">
        <v>2048</v>
      </c>
      <c r="M20" s="1856" t="s">
        <v>2043</v>
      </c>
      <c r="Q20" s="201" t="s">
        <v>1824</v>
      </c>
      <c r="AB20" s="1854" t="s">
        <v>2047</v>
      </c>
      <c r="AK20" s="1855" t="s">
        <v>2064</v>
      </c>
      <c r="AN20" s="1844" t="s">
        <v>2065</v>
      </c>
      <c r="AQ20" s="1850" t="s">
        <v>2068</v>
      </c>
      <c r="AS20" s="1845"/>
      <c r="AT20" s="215"/>
      <c r="AU20" s="201" t="s">
        <v>1824</v>
      </c>
      <c r="AV20" s="215"/>
      <c r="AW20" s="1846"/>
      <c r="AX20" s="1846"/>
      <c r="AY20" s="215"/>
      <c r="AZ20" s="1846"/>
      <c r="BA20" s="1846"/>
      <c r="BB20" s="215"/>
      <c r="BC20" s="1846"/>
      <c r="BD20" s="1846"/>
      <c r="BF20" s="1852" t="s">
        <v>2123</v>
      </c>
    </row>
    <row r="21" spans="1:71">
      <c r="G21" s="1801" t="s">
        <v>2001</v>
      </c>
      <c r="J21" s="1801" t="s">
        <v>2001</v>
      </c>
      <c r="M21" s="1801" t="s">
        <v>2001</v>
      </c>
      <c r="O21" s="1627" t="str">
        <f>IF(NOT(ISNA(VLOOKUP(County,DS_2022_Metro_QCT_Counties,1,FALSE))),"Metro",IF(NOT(ISNA(VLOOKUP(County,DS_2022_NonMetro_QCT_Counties,1,FALSE))),"Non-Metro",IF(AND(ISNA(VLOOKUP(County,DS_2022_NonMetro_QCT_Counties,1,FALSE)),ISNA(VLOOKUP(County,DS_2022_Metro_QCT_Counties,1,FALSE))),"Neither","")))</f>
        <v>Neither</v>
      </c>
      <c r="Q21" s="1627" t="str">
        <f>Geo_Area_of_Opp_boost</f>
        <v>&lt;select from menu&gt;</v>
      </c>
      <c r="AB21" s="1801" t="s">
        <v>2001</v>
      </c>
      <c r="AK21" s="201" t="s">
        <v>2001</v>
      </c>
      <c r="AN21" s="201" t="s">
        <v>2001</v>
      </c>
      <c r="AQ21" s="1801" t="s">
        <v>2001</v>
      </c>
      <c r="AS21" s="1627" t="str">
        <f>IF(NOT(ISNA(VLOOKUP(County,DS_2023_Metro_QCT_Counties,1,FALSE))),"Metro",IF(NOT(ISNA(VLOOKUP(County,DS_2023_NonMetro_QCT_Counties,1,FALSE))),"Non-Metro",IF(AND(ISNA(VLOOKUP(County,DS_2023_NonMetro_QCT_Counties,1,FALSE)),ISNA(VLOOKUP(County,DS_2023_Metro_QCT_Counties,1,FALSE))),"Neither","")))</f>
        <v>Neither</v>
      </c>
      <c r="AU21" s="1627" t="str">
        <f>Geo_Area_of_Opp_boost</f>
        <v>&lt;select from menu&gt;</v>
      </c>
      <c r="BF21" s="1801" t="s">
        <v>2001</v>
      </c>
    </row>
    <row r="22" spans="1:71" ht="30" customHeight="1">
      <c r="A22" s="2079" t="s">
        <v>186</v>
      </c>
      <c r="B22" s="2080"/>
      <c r="D22" s="156" t="s">
        <v>187</v>
      </c>
      <c r="F22" s="2079" t="s">
        <v>1823</v>
      </c>
      <c r="G22" s="2080"/>
      <c r="I22" s="2079" t="s">
        <v>188</v>
      </c>
      <c r="J22" s="2080"/>
      <c r="L22" s="2082" t="s">
        <v>2034</v>
      </c>
      <c r="M22" s="2083"/>
      <c r="O22" s="1820" t="str">
        <f>"2022 QCTs in "&amp;County</f>
        <v>2022 QCTs in &lt;select one&gt;</v>
      </c>
      <c r="Q22" s="1820" t="str">
        <f>"2022 GAOs in "&amp;County</f>
        <v>2022 GAOs in &lt;select one&gt;</v>
      </c>
      <c r="S22" s="2082" t="s">
        <v>2000</v>
      </c>
      <c r="T22" s="2080"/>
      <c r="V22" s="2082" t="s">
        <v>1998</v>
      </c>
      <c r="W22" s="2083"/>
      <c r="Y22" s="2082" t="s">
        <v>1999</v>
      </c>
      <c r="Z22" s="2083"/>
      <c r="AB22" s="2082" t="s">
        <v>2028</v>
      </c>
      <c r="AC22" s="2080"/>
      <c r="AE22" s="2079" t="s">
        <v>2020</v>
      </c>
      <c r="AF22" s="2080"/>
      <c r="AH22" s="1821" t="s">
        <v>2021</v>
      </c>
      <c r="AJ22" s="2079" t="s">
        <v>2022</v>
      </c>
      <c r="AK22" s="2080"/>
      <c r="AM22" s="2079" t="s">
        <v>2023</v>
      </c>
      <c r="AN22" s="2080"/>
      <c r="AP22" s="2091" t="s">
        <v>2035</v>
      </c>
      <c r="AQ22" s="2092"/>
      <c r="AS22" s="1820" t="str">
        <f>"2023 QCTs in "&amp;County</f>
        <v>2023 QCTs in &lt;select one&gt;</v>
      </c>
      <c r="AU22" s="1820" t="str">
        <f>"2023 GAOs in "&amp;County</f>
        <v>2023 GAOs in &lt;select one&gt;</v>
      </c>
      <c r="AW22" s="2082" t="s">
        <v>2024</v>
      </c>
      <c r="AX22" s="2080"/>
      <c r="AZ22" s="2082" t="s">
        <v>2025</v>
      </c>
      <c r="BA22" s="2083"/>
      <c r="BC22" s="2082" t="s">
        <v>2026</v>
      </c>
      <c r="BD22" s="2083"/>
      <c r="BF22" s="2089" t="s">
        <v>2027</v>
      </c>
      <c r="BG22" s="2090"/>
      <c r="BI22" s="1206" t="s">
        <v>604</v>
      </c>
      <c r="BJ22" s="1206" t="s">
        <v>1344</v>
      </c>
      <c r="BK22" s="1206" t="s">
        <v>1345</v>
      </c>
      <c r="BL22" s="1206" t="s">
        <v>1346</v>
      </c>
      <c r="BM22" s="1206" t="s">
        <v>1347</v>
      </c>
      <c r="BN22" s="1206" t="s">
        <v>1348</v>
      </c>
      <c r="BO22" s="1206" t="s">
        <v>1349</v>
      </c>
      <c r="BP22" s="1206" t="s">
        <v>2</v>
      </c>
      <c r="BQ22" s="1206" t="s">
        <v>1350</v>
      </c>
      <c r="BR22" s="1206" t="s">
        <v>1351</v>
      </c>
      <c r="BS22" s="1206" t="s">
        <v>1352</v>
      </c>
    </row>
    <row r="23" spans="1:71" ht="14.5" customHeight="1">
      <c r="A23" s="1802">
        <v>32605</v>
      </c>
      <c r="B23" s="622" t="s">
        <v>26</v>
      </c>
      <c r="D23" s="622" t="s">
        <v>34</v>
      </c>
      <c r="F23" s="622">
        <v>2</v>
      </c>
      <c r="G23" s="622" t="s">
        <v>26</v>
      </c>
      <c r="I23" s="622">
        <v>1103</v>
      </c>
      <c r="J23" s="622" t="s">
        <v>45</v>
      </c>
      <c r="L23" s="626">
        <v>5</v>
      </c>
      <c r="M23" s="626" t="s">
        <v>26</v>
      </c>
      <c r="N23" s="203"/>
      <c r="O23" s="627" t="str">
        <f t="array" ref="O23">IFERROR(IF($O$21="Metro",INDEX($F$23:$F$748,SMALL(IF((County=$G$23:$G$748),MATCH(ROW($G$23:$G$748),ROW($G$23:$G$748)),""),ROWS($A$23:A23))),INDEX($I$23:$I$52,SMALL(IF((County=$J$23:$J$52),MATCH(ROW($J$23:$J$52),ROW($J$23:$J$52)),""),ROWS($A$23:A23)))),"")</f>
        <v/>
      </c>
      <c r="Q23" s="627" t="str">
        <f t="array" ref="Q23">IFERROR(IF($Q$21="Yes",INDEX($L$23:$L$2323,SMALL(IF((County=$M$23:$M$2323),MATCH(ROW($M$23:$M$2323),ROW($M$23:$M$2323)),""),ROWS($A$23:A23))),""),"")</f>
        <v/>
      </c>
      <c r="S23" s="623">
        <v>32003</v>
      </c>
      <c r="T23" s="624" t="s">
        <v>43</v>
      </c>
      <c r="V23" s="622">
        <v>1</v>
      </c>
      <c r="W23" s="622" t="s">
        <v>49</v>
      </c>
      <c r="Y23" s="622">
        <v>2</v>
      </c>
      <c r="Z23" s="622" t="s">
        <v>60</v>
      </c>
      <c r="AB23" s="626">
        <v>1</v>
      </c>
      <c r="AC23" s="626" t="s">
        <v>51</v>
      </c>
      <c r="AE23" s="1802">
        <v>32403</v>
      </c>
      <c r="AF23" s="622" t="s">
        <v>32</v>
      </c>
      <c r="AH23" s="622" t="s">
        <v>34</v>
      </c>
      <c r="AJ23" s="622">
        <v>2.0099999999999998</v>
      </c>
      <c r="AK23" s="622" t="s">
        <v>26</v>
      </c>
      <c r="AM23" s="622">
        <v>400</v>
      </c>
      <c r="AN23" s="622" t="s">
        <v>45</v>
      </c>
      <c r="AP23" s="1837"/>
      <c r="AQ23" s="1837"/>
      <c r="AS23" s="627" t="str">
        <f t="array" ref="AS23">IFERROR(IF($O$21="Metro",INDEX($AJ$23:$AJ$748,SMALL(IF((County=$AK$23:$AK$748),MATCH(ROW($AK$23:$AK$748),ROW($AK$23:$AK$748)),""),ROWS($A$23:$A23))),INDEX($AM$23:$AM$58,SMALL(IF((County=$AN$23:$AN$58),MATCH(ROW($AN$23:$AN$58),ROW($AN$23:$AN$58)),""),ROWS($A$23:$A23)))),"")</f>
        <v/>
      </c>
      <c r="AU23" s="627" t="str">
        <f t="array" ref="AU23">IFERROR(IF($Q$21="Yes",INDEX($AP$23:$AP$2323,SMALL(IF((County=$AQ$23:$AQ$2323),MATCH(ROW($AQ$23:$AQ$2323),ROW($AQ$23:$AQ$2323)),""),ROWS($A$23:$A23))),""),"")</f>
        <v/>
      </c>
      <c r="AW23" s="1802">
        <v>32003</v>
      </c>
      <c r="AX23" s="622" t="s">
        <v>43</v>
      </c>
      <c r="AZ23" s="622">
        <v>1.01</v>
      </c>
      <c r="BA23" s="625" t="s">
        <v>49</v>
      </c>
      <c r="BC23" s="622">
        <v>0</v>
      </c>
      <c r="BD23" s="622" t="s">
        <v>73</v>
      </c>
      <c r="BF23" s="1837"/>
      <c r="BG23" s="1837"/>
      <c r="BI23" s="1218" t="s">
        <v>26</v>
      </c>
      <c r="BJ23" s="1218" t="s">
        <v>1353</v>
      </c>
      <c r="BK23" s="1218" t="s">
        <v>1354</v>
      </c>
      <c r="BL23" s="1225">
        <v>29.794627999999999</v>
      </c>
      <c r="BM23" s="1226">
        <v>-82.486896999999999</v>
      </c>
      <c r="BN23" s="1222" t="s">
        <v>1355</v>
      </c>
      <c r="BO23" s="1221" t="s">
        <v>610</v>
      </c>
      <c r="BP23" s="1219" t="str">
        <f t="shared" ref="BP23:BP54" si="1">BI23&amp;" - "&amp;BK23</f>
        <v>Alachua - Arbours at Merrillwood I</v>
      </c>
      <c r="BQ23" s="1219" t="str">
        <f t="shared" ref="BQ23:BQ54" si="2">IF(BN23="F","Family",IF(BN23="E","Elderly, Non-ALF",IF(BN23="ALF","Elderly, Assisted Living Facility",IF(BN23="W","Workforce",""))))</f>
        <v>Elderly, Non-ALF</v>
      </c>
      <c r="BR23" s="1219" t="str">
        <f t="shared" ref="BR23:BR54" si="3">"("&amp;BL23&amp;", "&amp;BM23&amp;")"</f>
        <v>(29.794628, -82.486897)</v>
      </c>
      <c r="BS23" s="1221" t="str">
        <f t="shared" ref="BS23:BS54" si="4">IF(BO23="N","&gt;30",IF(BO23="Y","&lt;31",""))</f>
        <v>&gt;30</v>
      </c>
    </row>
    <row r="24" spans="1:71" ht="14.5" customHeight="1">
      <c r="A24" s="1802">
        <v>32606</v>
      </c>
      <c r="B24" s="622" t="s">
        <v>26</v>
      </c>
      <c r="D24" s="622" t="s">
        <v>39</v>
      </c>
      <c r="E24" s="1"/>
      <c r="F24" s="622">
        <v>8.06</v>
      </c>
      <c r="G24" s="622" t="s">
        <v>26</v>
      </c>
      <c r="I24" s="622">
        <v>1104</v>
      </c>
      <c r="J24" s="622" t="s">
        <v>45</v>
      </c>
      <c r="L24" s="626">
        <v>10</v>
      </c>
      <c r="M24" s="626" t="s">
        <v>26</v>
      </c>
      <c r="N24" s="203"/>
      <c r="O24" s="627" t="str">
        <f t="array" ref="O24">IFERROR(IF($O$21="Metro",INDEX($F$23:$F$748,SMALL(IF((County=$G$23:$G$748),MATCH(ROW($G$23:$G$748),ROW($G$23:$G$748)),""),ROWS($A$23:A24))),INDEX($I$23:$I$52,SMALL(IF((County=$J$23:$J$52),MATCH(ROW($J$23:$J$52),ROW($J$23:$J$52)),""),ROWS($A$23:A24)))),"")</f>
        <v/>
      </c>
      <c r="Q24" s="627" t="str">
        <f t="array" ref="Q24">IFERROR(IF($Q$21="Yes",INDEX($L$23:$L$2323,SMALL(IF((County=$M$23:$M$2323),MATCH(ROW($M$23:$M$2323),ROW($M$23:$M$2323)),""),ROWS($A$23:A24))),""),"")</f>
        <v/>
      </c>
      <c r="S24" s="623">
        <v>32081</v>
      </c>
      <c r="T24" s="622" t="s">
        <v>93</v>
      </c>
      <c r="V24" s="622">
        <v>1.01</v>
      </c>
      <c r="W24" s="625" t="s">
        <v>63</v>
      </c>
      <c r="Y24" s="622">
        <v>3</v>
      </c>
      <c r="Z24" s="622" t="s">
        <v>60</v>
      </c>
      <c r="AB24" s="626">
        <v>1</v>
      </c>
      <c r="AC24" s="626" t="s">
        <v>56</v>
      </c>
      <c r="AE24" s="1802">
        <v>32407</v>
      </c>
      <c r="AF24" s="622" t="s">
        <v>32</v>
      </c>
      <c r="AH24" s="622" t="s">
        <v>39</v>
      </c>
      <c r="AI24" s="1376"/>
      <c r="AJ24" s="622">
        <v>2.02</v>
      </c>
      <c r="AK24" s="622" t="s">
        <v>26</v>
      </c>
      <c r="AM24" s="622">
        <v>200</v>
      </c>
      <c r="AN24" s="622" t="s">
        <v>47</v>
      </c>
      <c r="AP24" s="1837"/>
      <c r="AQ24" s="1837"/>
      <c r="AS24" s="627" t="str">
        <f t="array" ref="AS24">IFERROR(IF($O$21="Metro",INDEX($AJ$23:$AJ$748,SMALL(IF((County=$AK$23:$AK$748),MATCH(ROW($AK$23:$AK$748),ROW($AK$23:$AK$748)),""),ROWS($A$23:$A24))),INDEX($AM$23:$AM$58,SMALL(IF((County=$AN$23:$AN$58),MATCH(ROW($AN$23:$AN$58),ROW($AN$23:$AN$58)),""),ROWS($A$23:$A24)))),"")</f>
        <v/>
      </c>
      <c r="AU24" s="627" t="str">
        <f t="array" ref="AU24">IFERROR(IF($Q$21="Yes",INDEX($AP$23:$AP$2323,SMALL(IF((County=$AQ$23:$AQ$2323),MATCH(ROW($AQ$23:$AQ$2323),ROW($AQ$23:$AQ$2323)),""),ROWS($A$23:$A24))),""),"")</f>
        <v/>
      </c>
      <c r="AW24" s="1802">
        <v>32079</v>
      </c>
      <c r="AX24" s="622" t="s">
        <v>43</v>
      </c>
      <c r="AZ24" s="622">
        <v>1.01</v>
      </c>
      <c r="BA24" s="622" t="s">
        <v>63</v>
      </c>
      <c r="BC24" s="622">
        <v>103</v>
      </c>
      <c r="BD24" s="622" t="s">
        <v>105</v>
      </c>
      <c r="BF24" s="1837"/>
      <c r="BG24" s="1837"/>
      <c r="BI24" s="1223" t="s">
        <v>26</v>
      </c>
      <c r="BJ24" s="1223" t="s">
        <v>1356</v>
      </c>
      <c r="BK24" s="1218" t="s">
        <v>1357</v>
      </c>
      <c r="BL24" s="1218">
        <v>29.643353999999999</v>
      </c>
      <c r="BM24" s="1218">
        <v>-82.305537000000001</v>
      </c>
      <c r="BN24" s="1222" t="s">
        <v>1358</v>
      </c>
      <c r="BO24" s="1224" t="s">
        <v>610</v>
      </c>
      <c r="BP24" s="1219" t="str">
        <f t="shared" si="1"/>
        <v>Alachua - Dogwood Village</v>
      </c>
      <c r="BQ24" s="1219" t="str">
        <f t="shared" si="2"/>
        <v>Family</v>
      </c>
      <c r="BR24" s="1219" t="str">
        <f t="shared" si="3"/>
        <v>(29.643354, -82.305537)</v>
      </c>
      <c r="BS24" s="1221" t="str">
        <f t="shared" si="4"/>
        <v>&gt;30</v>
      </c>
    </row>
    <row r="25" spans="1:71" ht="14.5" customHeight="1">
      <c r="A25" s="1802">
        <v>32403</v>
      </c>
      <c r="B25" s="622" t="s">
        <v>32</v>
      </c>
      <c r="D25" s="622" t="s">
        <v>45</v>
      </c>
      <c r="E25" s="1"/>
      <c r="F25" s="622">
        <v>9.01</v>
      </c>
      <c r="G25" s="622" t="s">
        <v>26</v>
      </c>
      <c r="I25" s="622">
        <v>102</v>
      </c>
      <c r="J25" s="622" t="s">
        <v>47</v>
      </c>
      <c r="L25" s="626">
        <v>11</v>
      </c>
      <c r="M25" s="626" t="s">
        <v>26</v>
      </c>
      <c r="N25" s="203"/>
      <c r="O25" s="627" t="str">
        <f t="array" ref="O25">IFERROR(IF($O$21="Metro",INDEX($F$23:$F$748,SMALL(IF((County=$G$23:$G$748),MATCH(ROW($G$23:$G$748),ROW($G$23:$G$748)),""),ROWS($A$23:A25))),INDEX($I$23:$I$52,SMALL(IF((County=$J$23:$J$52),MATCH(ROW($J$23:$J$52),ROW($J$23:$J$52)),""),ROWS($A$23:A25)))),"")</f>
        <v/>
      </c>
      <c r="Q25" s="627" t="str">
        <f t="array" ref="Q25">IFERROR(IF($Q$21="Yes",INDEX($L$23:$L$2323,SMALL(IF((County=$M$23:$M$2323),MATCH(ROW($M$23:$M$2323),ROW($M$23:$M$2323)),""),ROWS($A$23:A25))),""),"")</f>
        <v/>
      </c>
      <c r="S25" s="623">
        <v>32082</v>
      </c>
      <c r="T25" s="622" t="s">
        <v>93</v>
      </c>
      <c r="V25" s="622">
        <v>1.02</v>
      </c>
      <c r="W25" s="625" t="s">
        <v>63</v>
      </c>
      <c r="Y25" s="622">
        <v>6</v>
      </c>
      <c r="Z25" s="622" t="s">
        <v>60</v>
      </c>
      <c r="AB25" s="626">
        <v>1</v>
      </c>
      <c r="AC25" s="626" t="s">
        <v>60</v>
      </c>
      <c r="AE25" s="1802">
        <v>32410</v>
      </c>
      <c r="AF25" s="622" t="s">
        <v>32</v>
      </c>
      <c r="AH25" s="622" t="s">
        <v>45</v>
      </c>
      <c r="AI25" s="1376"/>
      <c r="AJ25" s="622">
        <v>3.01</v>
      </c>
      <c r="AK25" s="622" t="s">
        <v>26</v>
      </c>
      <c r="AM25" s="622">
        <v>301</v>
      </c>
      <c r="AN25" s="622" t="s">
        <v>47</v>
      </c>
      <c r="AP25" s="1837"/>
      <c r="AQ25" s="1837"/>
      <c r="AS25" s="627" t="str">
        <f t="array" ref="AS25">IFERROR(IF($O$21="Metro",INDEX($AJ$23:$AJ$748,SMALL(IF((County=$AK$23:$AK$748),MATCH(ROW($AK$23:$AK$748),ROW($AK$23:$AK$748)),""),ROWS($A$23:$A25))),INDEX($AM$23:$AM$58,SMALL(IF((County=$AN$23:$AN$58),MATCH(ROW($AN$23:$AN$58),ROW($AN$23:$AN$58)),""),ROWS($A$23:$A25)))),"")</f>
        <v/>
      </c>
      <c r="AU25" s="627" t="str">
        <f t="array" ref="AU25">IFERROR(IF($Q$21="Yes",INDEX($AP$23:$AP$2323,SMALL(IF((County=$AQ$23:$AQ$2323),MATCH(ROW($AQ$23:$AQ$2323),ROW($AQ$23:$AQ$2323)),""),ROWS($A$23:$A25))),""),"")</f>
        <v/>
      </c>
      <c r="AW25" s="1802">
        <v>32081</v>
      </c>
      <c r="AX25" s="622" t="s">
        <v>93</v>
      </c>
      <c r="AZ25" s="622">
        <v>1.02</v>
      </c>
      <c r="BA25" s="625" t="s">
        <v>49</v>
      </c>
      <c r="BC25" s="622">
        <v>104</v>
      </c>
      <c r="BD25" s="622" t="s">
        <v>105</v>
      </c>
      <c r="BF25" s="1837"/>
      <c r="BG25" s="1837"/>
      <c r="BI25" s="1218" t="s">
        <v>26</v>
      </c>
      <c r="BJ25" s="1218" t="s">
        <v>1359</v>
      </c>
      <c r="BK25" s="1218" t="s">
        <v>1360</v>
      </c>
      <c r="BL25" s="1228">
        <v>29.655552</v>
      </c>
      <c r="BM25" s="1226">
        <v>-82.381442000000007</v>
      </c>
      <c r="BN25" s="1222" t="s">
        <v>1358</v>
      </c>
      <c r="BO25" s="1222" t="s">
        <v>610</v>
      </c>
      <c r="BP25" s="1219" t="str">
        <f t="shared" si="1"/>
        <v>Alachua - Royal Park Apartments</v>
      </c>
      <c r="BQ25" s="1219" t="str">
        <f t="shared" si="2"/>
        <v>Family</v>
      </c>
      <c r="BR25" s="1219" t="str">
        <f t="shared" si="3"/>
        <v>(29.655552, -82.381442)</v>
      </c>
      <c r="BS25" s="1221" t="str">
        <f t="shared" si="4"/>
        <v>&gt;30</v>
      </c>
    </row>
    <row r="26" spans="1:71" ht="14.5" customHeight="1">
      <c r="A26" s="1802">
        <v>32407</v>
      </c>
      <c r="B26" s="622" t="s">
        <v>32</v>
      </c>
      <c r="D26" s="622" t="s">
        <v>47</v>
      </c>
      <c r="E26" s="1"/>
      <c r="F26" s="622">
        <v>15.14</v>
      </c>
      <c r="G26" s="622" t="s">
        <v>26</v>
      </c>
      <c r="I26" s="622">
        <v>103.01</v>
      </c>
      <c r="J26" s="622" t="s">
        <v>47</v>
      </c>
      <c r="L26" s="626">
        <v>12.01</v>
      </c>
      <c r="M26" s="626" t="s">
        <v>26</v>
      </c>
      <c r="N26" s="203"/>
      <c r="O26" s="627" t="str">
        <f t="array" ref="O26">IFERROR(IF($O$21="Metro",INDEX($F$23:$F$748,SMALL(IF((County=$G$23:$G$748),MATCH(ROW($G$23:$G$748),ROW($G$23:$G$748)),""),ROWS($A$23:A26))),INDEX($I$23:$I$52,SMALL(IF((County=$J$23:$J$52),MATCH(ROW($J$23:$J$52),ROW($J$23:$J$52)),""),ROWS($A$23:A26)))),"")</f>
        <v/>
      </c>
      <c r="Q26" s="627" t="str">
        <f t="array" ref="Q26">IFERROR(IF($Q$21="Yes",INDEX($L$23:$L$2323,SMALL(IF((County=$M$23:$M$2323),MATCH(ROW($M$23:$M$2323),ROW($M$23:$M$2323)),""),ROWS($A$23:A26))),""),"")</f>
        <v/>
      </c>
      <c r="S26" s="623">
        <v>32092</v>
      </c>
      <c r="T26" s="622" t="s">
        <v>93</v>
      </c>
      <c r="V26" s="622">
        <v>1.03</v>
      </c>
      <c r="W26" s="625" t="s">
        <v>75</v>
      </c>
      <c r="Y26" s="622">
        <v>102</v>
      </c>
      <c r="Z26" s="622" t="s">
        <v>47</v>
      </c>
      <c r="AB26" s="626">
        <v>1</v>
      </c>
      <c r="AC26" s="626" t="s">
        <v>76</v>
      </c>
      <c r="AE26" s="1802">
        <v>32903</v>
      </c>
      <c r="AF26" s="622" t="s">
        <v>35</v>
      </c>
      <c r="AH26" s="622" t="s">
        <v>47</v>
      </c>
      <c r="AI26" s="1376"/>
      <c r="AJ26" s="622">
        <v>6</v>
      </c>
      <c r="AK26" s="622" t="s">
        <v>26</v>
      </c>
      <c r="AM26" s="622">
        <v>302</v>
      </c>
      <c r="AN26" s="622" t="s">
        <v>47</v>
      </c>
      <c r="AP26" s="1837"/>
      <c r="AQ26" s="1837"/>
      <c r="AS26" s="627" t="str">
        <f t="array" ref="AS26">IFERROR(IF($O$21="Metro",INDEX($AJ$23:$AJ$748,SMALL(IF((County=$AK$23:$AK$748),MATCH(ROW($AK$23:$AK$748),ROW($AK$23:$AK$748)),""),ROWS($A$23:$A26))),INDEX($AM$23:$AM$58,SMALL(IF((County=$AN$23:$AN$58),MATCH(ROW($AN$23:$AN$58),ROW($AN$23:$AN$58)),""),ROWS($A$23:$A26)))),"")</f>
        <v/>
      </c>
      <c r="AU26" s="627" t="str">
        <f t="array" ref="AU26">IFERROR(IF($Q$21="Yes",INDEX($AP$23:$AP$2323,SMALL(IF((County=$AQ$23:$AQ$2323),MATCH(ROW($AQ$23:$AQ$2323),ROW($AQ$23:$AQ$2323)),""),ROWS($A$23:$A26))),""),"")</f>
        <v/>
      </c>
      <c r="AW26" s="1802">
        <v>32082</v>
      </c>
      <c r="AX26" s="622" t="s">
        <v>93</v>
      </c>
      <c r="AZ26" s="622">
        <v>1.02</v>
      </c>
      <c r="BA26" s="625" t="s">
        <v>63</v>
      </c>
      <c r="BC26" s="622">
        <v>200</v>
      </c>
      <c r="BD26" s="622" t="s">
        <v>47</v>
      </c>
      <c r="BF26" s="1837"/>
      <c r="BG26" s="1837"/>
      <c r="BI26" s="1218" t="s">
        <v>29</v>
      </c>
      <c r="BJ26" s="1218" t="s">
        <v>1361</v>
      </c>
      <c r="BK26" s="1218" t="s">
        <v>1362</v>
      </c>
      <c r="BL26" s="1218">
        <v>30.25507</v>
      </c>
      <c r="BM26" s="1218">
        <v>-82.127399999999994</v>
      </c>
      <c r="BN26" s="1221" t="s">
        <v>1358</v>
      </c>
      <c r="BO26" s="1221" t="s">
        <v>611</v>
      </c>
      <c r="BP26" s="1219" t="str">
        <f t="shared" si="1"/>
        <v>Baker - Sandcastle Manor</v>
      </c>
      <c r="BQ26" s="1219" t="str">
        <f t="shared" si="2"/>
        <v>Family</v>
      </c>
      <c r="BR26" s="1219" t="str">
        <f t="shared" si="3"/>
        <v>(30.25507, -82.1274)</v>
      </c>
      <c r="BS26" s="1221" t="str">
        <f t="shared" si="4"/>
        <v>&lt;31</v>
      </c>
    </row>
    <row r="27" spans="1:71" ht="14.5" customHeight="1">
      <c r="A27" s="1802">
        <v>32410</v>
      </c>
      <c r="B27" s="622" t="s">
        <v>32</v>
      </c>
      <c r="D27" s="622" t="s">
        <v>48</v>
      </c>
      <c r="E27" s="1"/>
      <c r="F27" s="622">
        <v>15.15</v>
      </c>
      <c r="G27" s="622" t="s">
        <v>26</v>
      </c>
      <c r="I27" s="622">
        <v>103.02</v>
      </c>
      <c r="J27" s="622" t="s">
        <v>47</v>
      </c>
      <c r="L27" s="626">
        <v>12.02</v>
      </c>
      <c r="M27" s="626" t="s">
        <v>26</v>
      </c>
      <c r="N27" s="203"/>
      <c r="O27" s="627" t="str">
        <f t="array" ref="O27">IFERROR(IF($O$21="Metro",INDEX($F$23:$F$748,SMALL(IF((County=$G$23:$G$748),MATCH(ROW($G$23:$G$748),ROW($G$23:$G$748)),""),ROWS($A$23:A27))),INDEX($I$23:$I$52,SMALL(IF((County=$J$23:$J$52),MATCH(ROW($J$23:$J$52),ROW($J$23:$J$52)),""),ROWS($A$23:A27)))),"")</f>
        <v/>
      </c>
      <c r="Q27" s="627" t="str">
        <f t="array" ref="Q27">IFERROR(IF($Q$21="Yes",INDEX($L$23:$L$2323,SMALL(IF((County=$M$23:$M$2323),MATCH(ROW($M$23:$M$2323),ROW($M$23:$M$2323)),""),ROWS($A$23:A27))),""),"")</f>
        <v/>
      </c>
      <c r="S27" s="623">
        <v>32124</v>
      </c>
      <c r="T27" s="622" t="s">
        <v>102</v>
      </c>
      <c r="V27" s="622">
        <v>1.05</v>
      </c>
      <c r="W27" s="625" t="s">
        <v>75</v>
      </c>
      <c r="Y27" s="622">
        <v>103.01</v>
      </c>
      <c r="Z27" s="622" t="s">
        <v>47</v>
      </c>
      <c r="AB27" s="626">
        <v>1</v>
      </c>
      <c r="AC27" s="626" t="s">
        <v>77</v>
      </c>
      <c r="AE27" s="1802">
        <v>32904</v>
      </c>
      <c r="AF27" s="622" t="s">
        <v>35</v>
      </c>
      <c r="AH27" s="622" t="s">
        <v>48</v>
      </c>
      <c r="AI27" s="1376"/>
      <c r="AJ27" s="622">
        <v>8.06</v>
      </c>
      <c r="AK27" s="622" t="s">
        <v>26</v>
      </c>
      <c r="AM27" s="622">
        <v>202</v>
      </c>
      <c r="AN27" s="622" t="s">
        <v>48</v>
      </c>
      <c r="AP27" s="1837"/>
      <c r="AQ27" s="1837"/>
      <c r="AS27" s="627" t="str">
        <f t="array" ref="AS27">IFERROR(IF($O$21="Metro",INDEX($AJ$23:$AJ$748,SMALL(IF((County=$AK$23:$AK$748),MATCH(ROW($AK$23:$AK$748),ROW($AK$23:$AK$748)),""),ROWS($A$23:$A27))),INDEX($AM$23:$AM$58,SMALL(IF((County=$AN$23:$AN$58),MATCH(ROW($AN$23:$AN$58),ROW($AN$23:$AN$58)),""),ROWS($A$23:$A27)))),"")</f>
        <v/>
      </c>
      <c r="AU27" s="627" t="str">
        <f t="array" ref="AU27">IFERROR(IF($Q$21="Yes",INDEX($AP$23:$AP$2323,SMALL(IF((County=$AQ$23:$AQ$2323),MATCH(ROW($AQ$23:$AQ$2323),ROW($AQ$23:$AQ$2323)),""),ROWS($A$23:$A27))),""),"")</f>
        <v/>
      </c>
      <c r="AW27" s="1802">
        <v>32092</v>
      </c>
      <c r="AX27" s="622" t="s">
        <v>93</v>
      </c>
      <c r="AZ27" s="622">
        <v>1.03</v>
      </c>
      <c r="BA27" s="625" t="s">
        <v>75</v>
      </c>
      <c r="BC27" s="622">
        <v>200</v>
      </c>
      <c r="BD27" s="622" t="s">
        <v>60</v>
      </c>
      <c r="BF27" s="1837"/>
      <c r="BG27" s="1837"/>
      <c r="BI27" s="1223" t="s">
        <v>32</v>
      </c>
      <c r="BJ27" s="1223" t="s">
        <v>1363</v>
      </c>
      <c r="BK27" s="1218" t="s">
        <v>1364</v>
      </c>
      <c r="BL27" s="1218">
        <v>30.167531</v>
      </c>
      <c r="BM27" s="1218">
        <v>-85.671896000000004</v>
      </c>
      <c r="BN27" s="1222" t="s">
        <v>1358</v>
      </c>
      <c r="BO27" s="1224" t="s">
        <v>610</v>
      </c>
      <c r="BP27" s="1219" t="str">
        <f t="shared" si="1"/>
        <v>Bay - Fletcher Black II</v>
      </c>
      <c r="BQ27" s="1219" t="str">
        <f t="shared" si="2"/>
        <v>Family</v>
      </c>
      <c r="BR27" s="1219" t="str">
        <f t="shared" si="3"/>
        <v>(30.167531, -85.671896)</v>
      </c>
      <c r="BS27" s="1221" t="str">
        <f t="shared" si="4"/>
        <v>&gt;30</v>
      </c>
    </row>
    <row r="28" spans="1:71" ht="14.5" customHeight="1">
      <c r="A28" s="1802">
        <v>32903</v>
      </c>
      <c r="B28" s="622" t="s">
        <v>35</v>
      </c>
      <c r="D28" s="622" t="s">
        <v>53</v>
      </c>
      <c r="E28" s="1"/>
      <c r="F28" s="622">
        <v>15.16</v>
      </c>
      <c r="G28" s="622" t="s">
        <v>26</v>
      </c>
      <c r="I28" s="622">
        <v>9602</v>
      </c>
      <c r="J28" s="622" t="s">
        <v>58</v>
      </c>
      <c r="L28" s="626">
        <v>12.03</v>
      </c>
      <c r="M28" s="626" t="s">
        <v>26</v>
      </c>
      <c r="N28" s="203"/>
      <c r="O28" s="627" t="str">
        <f t="array" ref="O28">IFERROR(IF($O$21="Metro",INDEX($F$23:$F$748,SMALL(IF((County=$G$23:$G$748),MATCH(ROW($G$23:$G$748),ROW($G$23:$G$748)),""),ROWS($A$23:A28))),INDEX($I$23:$I$52,SMALL(IF((County=$J$23:$J$52),MATCH(ROW($J$23:$J$52),ROW($J$23:$J$52)),""),ROWS($A$23:A28)))),"")</f>
        <v/>
      </c>
      <c r="Q28" s="627" t="str">
        <f t="array" ref="Q28">IFERROR(IF($Q$21="Yes",INDEX($L$23:$L$2323,SMALL(IF((County=$M$23:$M$2323),MATCH(ROW($M$23:$M$2323),ROW($M$23:$M$2323)),""),ROWS($A$23:A28))),""),"")</f>
        <v/>
      </c>
      <c r="S28" s="623">
        <v>32128</v>
      </c>
      <c r="T28" s="622" t="s">
        <v>102</v>
      </c>
      <c r="V28" s="622">
        <v>1.06</v>
      </c>
      <c r="W28" s="625" t="s">
        <v>75</v>
      </c>
      <c r="Y28" s="622">
        <v>103.02</v>
      </c>
      <c r="Z28" s="622" t="s">
        <v>47</v>
      </c>
      <c r="AB28" s="626">
        <v>1.01</v>
      </c>
      <c r="AC28" s="626" t="s">
        <v>44</v>
      </c>
      <c r="AE28" s="1802">
        <v>32908</v>
      </c>
      <c r="AF28" s="622" t="s">
        <v>35</v>
      </c>
      <c r="AH28" s="622" t="s">
        <v>53</v>
      </c>
      <c r="AI28" s="1376"/>
      <c r="AJ28" s="622">
        <v>8.08</v>
      </c>
      <c r="AK28" s="622" t="s">
        <v>26</v>
      </c>
      <c r="AM28" s="622">
        <v>201</v>
      </c>
      <c r="AN28" s="622" t="s">
        <v>58</v>
      </c>
      <c r="AP28" s="1837"/>
      <c r="AQ28" s="1837"/>
      <c r="AS28" s="627" t="str">
        <f t="array" ref="AS28">IFERROR(IF($O$21="Metro",INDEX($AJ$23:$AJ$748,SMALL(IF((County=$AK$23:$AK$748),MATCH(ROW($AK$23:$AK$748),ROW($AK$23:$AK$748)),""),ROWS($A$23:$A28))),INDEX($AM$23:$AM$58,SMALL(IF((County=$AN$23:$AN$58),MATCH(ROW($AN$23:$AN$58),ROW($AN$23:$AN$58)),""),ROWS($A$23:$A28)))),"")</f>
        <v/>
      </c>
      <c r="AU28" s="627" t="str">
        <f t="array" ref="AU28">IFERROR(IF($Q$21="Yes",INDEX($AP$23:$AP$2323,SMALL(IF((County=$AQ$23:$AQ$2323),MATCH(ROW($AQ$23:$AQ$2323),ROW($AQ$23:$AQ$2323)),""),ROWS($A$23:$A28))),""),"")</f>
        <v/>
      </c>
      <c r="AW28" s="1802">
        <v>32102</v>
      </c>
      <c r="AX28" s="622" t="s">
        <v>69</v>
      </c>
      <c r="AZ28" s="622">
        <v>1.05</v>
      </c>
      <c r="BA28" s="625" t="s">
        <v>75</v>
      </c>
      <c r="BC28" s="622">
        <v>200</v>
      </c>
      <c r="BD28" s="622" t="s">
        <v>74</v>
      </c>
      <c r="BF28" s="1837"/>
      <c r="BG28" s="1837"/>
      <c r="BI28" s="1223" t="s">
        <v>32</v>
      </c>
      <c r="BJ28" s="1223" t="s">
        <v>1365</v>
      </c>
      <c r="BK28" s="1218" t="s">
        <v>1366</v>
      </c>
      <c r="BL28" s="1218">
        <v>30.163022999999999</v>
      </c>
      <c r="BM28" s="1218">
        <v>-85.610293999999996</v>
      </c>
      <c r="BN28" s="1222" t="s">
        <v>1355</v>
      </c>
      <c r="BO28" s="1224" t="s">
        <v>610</v>
      </c>
      <c r="BP28" s="1219" t="str">
        <f t="shared" si="1"/>
        <v>Bay - Southview Estates</v>
      </c>
      <c r="BQ28" s="1219" t="str">
        <f t="shared" si="2"/>
        <v>Elderly, Non-ALF</v>
      </c>
      <c r="BR28" s="1219" t="str">
        <f t="shared" si="3"/>
        <v>(30.163023, -85.610294)</v>
      </c>
      <c r="BS28" s="1221" t="str">
        <f t="shared" si="4"/>
        <v>&gt;30</v>
      </c>
    </row>
    <row r="29" spans="1:71" ht="14.5" customHeight="1">
      <c r="A29" s="1802">
        <v>32904</v>
      </c>
      <c r="B29" s="622" t="s">
        <v>35</v>
      </c>
      <c r="D29" s="622" t="s">
        <v>56</v>
      </c>
      <c r="E29" s="1"/>
      <c r="F29" s="622">
        <v>15.17</v>
      </c>
      <c r="G29" s="622" t="s">
        <v>26</v>
      </c>
      <c r="I29" s="622">
        <v>9603</v>
      </c>
      <c r="J29" s="622" t="s">
        <v>58</v>
      </c>
      <c r="L29" s="626">
        <v>15.14</v>
      </c>
      <c r="M29" s="626" t="s">
        <v>26</v>
      </c>
      <c r="N29" s="203"/>
      <c r="O29" s="627" t="str">
        <f t="array" ref="O29">IFERROR(IF($O$21="Metro",INDEX($F$23:$F$748,SMALL(IF((County=$G$23:$G$748),MATCH(ROW($G$23:$G$748),ROW($G$23:$G$748)),""),ROWS($A$23:A29))),INDEX($I$23:$I$52,SMALL(IF((County=$J$23:$J$52),MATCH(ROW($J$23:$J$52),ROW($J$23:$J$52)),""),ROWS($A$23:A29)))),"")</f>
        <v/>
      </c>
      <c r="Q29" s="627" t="str">
        <f t="array" ref="Q29">IFERROR(IF($Q$21="Yes",INDEX($L$23:$L$2323,SMALL(IF((County=$M$23:$M$2323),MATCH(ROW($M$23:$M$2323),ROW($M$23:$M$2323)),""),ROWS($A$23:A29))),""),"")</f>
        <v/>
      </c>
      <c r="S29" s="623">
        <v>32129</v>
      </c>
      <c r="T29" s="622" t="s">
        <v>102</v>
      </c>
      <c r="V29" s="622">
        <v>1.0900000000000001</v>
      </c>
      <c r="W29" s="625" t="s">
        <v>78</v>
      </c>
      <c r="Y29" s="622">
        <v>1102</v>
      </c>
      <c r="Z29" s="622" t="s">
        <v>74</v>
      </c>
      <c r="AB29" s="626">
        <v>1.01</v>
      </c>
      <c r="AC29" s="626" t="s">
        <v>75</v>
      </c>
      <c r="AE29" s="1802">
        <v>32925</v>
      </c>
      <c r="AF29" s="622" t="s">
        <v>35</v>
      </c>
      <c r="AH29" s="622" t="s">
        <v>56</v>
      </c>
      <c r="AI29" s="1376"/>
      <c r="AJ29" s="622">
        <v>9.01</v>
      </c>
      <c r="AK29" s="622" t="s">
        <v>26</v>
      </c>
      <c r="AM29" s="622">
        <v>202</v>
      </c>
      <c r="AN29" s="622" t="s">
        <v>58</v>
      </c>
      <c r="AP29" s="1837"/>
      <c r="AQ29" s="1837"/>
      <c r="AS29" s="627" t="str">
        <f t="array" ref="AS29">IFERROR(IF($O$21="Metro",INDEX($AJ$23:$AJ$748,SMALL(IF((County=$AK$23:$AK$748),MATCH(ROW($AK$23:$AK$748),ROW($AK$23:$AK$748)),""),ROWS($A$23:$A29))),INDEX($AM$23:$AM$58,SMALL(IF((County=$AN$23:$AN$58),MATCH(ROW($AN$23:$AN$58),ROW($AN$23:$AN$58)),""),ROWS($A$23:$A29)))),"")</f>
        <v/>
      </c>
      <c r="AU29" s="627" t="str">
        <f t="array" ref="AU29">IFERROR(IF($Q$21="Yes",INDEX($AP$23:$AP$2323,SMALL(IF((County=$AQ$23:$AQ$2323),MATCH(ROW($AQ$23:$AQ$2323),ROW($AQ$23:$AQ$2323)),""),ROWS($A$23:$A29))),""),"")</f>
        <v/>
      </c>
      <c r="AW29" s="1802">
        <v>32124</v>
      </c>
      <c r="AX29" s="622" t="s">
        <v>102</v>
      </c>
      <c r="AZ29" s="622">
        <v>1.06</v>
      </c>
      <c r="BA29" s="625" t="s">
        <v>75</v>
      </c>
      <c r="BC29" s="622">
        <v>200</v>
      </c>
      <c r="BD29" s="622" t="s">
        <v>105</v>
      </c>
      <c r="BF29" s="1837"/>
      <c r="BG29" s="1837"/>
      <c r="BI29" s="1218" t="s">
        <v>34</v>
      </c>
      <c r="BJ29" s="1218" t="s">
        <v>1367</v>
      </c>
      <c r="BK29" s="1218" t="s">
        <v>1368</v>
      </c>
      <c r="BL29" s="1219">
        <v>29.949075000000001</v>
      </c>
      <c r="BM29" s="1219">
        <v>-82.120084000000006</v>
      </c>
      <c r="BN29" s="1222" t="s">
        <v>1358</v>
      </c>
      <c r="BO29" s="1221" t="s">
        <v>611</v>
      </c>
      <c r="BP29" s="1219" t="str">
        <f t="shared" si="1"/>
        <v>Bradford - Sandcastle Pines</v>
      </c>
      <c r="BQ29" s="1219" t="str">
        <f t="shared" si="2"/>
        <v>Family</v>
      </c>
      <c r="BR29" s="1219" t="str">
        <f t="shared" si="3"/>
        <v>(29.949075, -82.120084)</v>
      </c>
      <c r="BS29" s="1221" t="str">
        <f t="shared" si="4"/>
        <v>&lt;31</v>
      </c>
    </row>
    <row r="30" spans="1:71" ht="14.5" customHeight="1">
      <c r="A30" s="1802">
        <v>32908</v>
      </c>
      <c r="B30" s="622" t="s">
        <v>35</v>
      </c>
      <c r="D30" s="622" t="s">
        <v>58</v>
      </c>
      <c r="E30" s="1"/>
      <c r="F30" s="622">
        <v>15.19</v>
      </c>
      <c r="G30" s="622" t="s">
        <v>26</v>
      </c>
      <c r="I30" s="622">
        <v>9701.02</v>
      </c>
      <c r="J30" s="622" t="s">
        <v>59</v>
      </c>
      <c r="L30" s="626">
        <v>15.17</v>
      </c>
      <c r="M30" s="626" t="s">
        <v>26</v>
      </c>
      <c r="N30" s="203"/>
      <c r="O30" s="627" t="str">
        <f t="array" ref="O30">IFERROR(IF($O$21="Metro",INDEX($F$23:$F$748,SMALL(IF((County=$G$23:$G$748),MATCH(ROW($G$23:$G$748),ROW($G$23:$G$748)),""),ROWS($A$23:A30))),INDEX($I$23:$I$52,SMALL(IF((County=$J$23:$J$52),MATCH(ROW($J$23:$J$52),ROW($J$23:$J$52)),""),ROWS($A$23:A30)))),"")</f>
        <v/>
      </c>
      <c r="Q30" s="627" t="str">
        <f t="array" ref="Q30">IFERROR(IF($Q$21="Yes",INDEX($L$23:$L$2323,SMALL(IF((County=$M$23:$M$2323),MATCH(ROW($M$23:$M$2323),ROW($M$23:$M$2323)),""),ROWS($A$23:A30))),""),"")</f>
        <v/>
      </c>
      <c r="S30" s="623">
        <v>32133</v>
      </c>
      <c r="T30" s="622" t="s">
        <v>76</v>
      </c>
      <c r="V30" s="622">
        <v>1.26</v>
      </c>
      <c r="W30" s="625" t="s">
        <v>78</v>
      </c>
      <c r="Y30" s="622">
        <v>1103</v>
      </c>
      <c r="Z30" s="622" t="s">
        <v>45</v>
      </c>
      <c r="AB30" s="626">
        <v>1.01</v>
      </c>
      <c r="AC30" s="626" t="s">
        <v>87</v>
      </c>
      <c r="AE30" s="1802">
        <v>32934</v>
      </c>
      <c r="AF30" s="622" t="s">
        <v>35</v>
      </c>
      <c r="AH30" s="622" t="s">
        <v>57</v>
      </c>
      <c r="AI30" s="1376"/>
      <c r="AJ30" s="622">
        <v>15.14</v>
      </c>
      <c r="AK30" s="622" t="s">
        <v>26</v>
      </c>
      <c r="AM30" s="622">
        <v>201</v>
      </c>
      <c r="AN30" s="622" t="s">
        <v>59</v>
      </c>
      <c r="AP30" s="1837"/>
      <c r="AQ30" s="1837"/>
      <c r="AS30" s="627" t="str">
        <f t="array" ref="AS30">IFERROR(IF($O$21="Metro",INDEX($AJ$23:$AJ$748,SMALL(IF((County=$AK$23:$AK$748),MATCH(ROW($AK$23:$AK$748),ROW($AK$23:$AK$748)),""),ROWS($A$23:$A30))),INDEX($AM$23:$AM$58,SMALL(IF((County=$AN$23:$AN$58),MATCH(ROW($AN$23:$AN$58),ROW($AN$23:$AN$58)),""),ROWS($A$23:$A30)))),"")</f>
        <v/>
      </c>
      <c r="AU30" s="627" t="str">
        <f t="array" ref="AU30">IFERROR(IF($Q$21="Yes",INDEX($AP$23:$AP$2323,SMALL(IF((County=$AQ$23:$AQ$2323),MATCH(ROW($AQ$23:$AQ$2323),ROW($AQ$23:$AQ$2323)),""),ROWS($A$23:$A30))),""),"")</f>
        <v/>
      </c>
      <c r="AW30" s="1802">
        <v>32128</v>
      </c>
      <c r="AX30" s="622" t="s">
        <v>102</v>
      </c>
      <c r="AZ30" s="622">
        <v>1.0900000000000001</v>
      </c>
      <c r="BA30" s="622" t="s">
        <v>78</v>
      </c>
      <c r="BC30" s="622">
        <v>201</v>
      </c>
      <c r="BD30" s="622" t="s">
        <v>58</v>
      </c>
      <c r="BF30" s="1837"/>
      <c r="BG30" s="1837"/>
      <c r="BI30" s="1223" t="s">
        <v>34</v>
      </c>
      <c r="BJ30" s="1223" t="s">
        <v>1369</v>
      </c>
      <c r="BK30" s="1218" t="s">
        <v>1370</v>
      </c>
      <c r="BL30" s="1218">
        <v>29.953863999999999</v>
      </c>
      <c r="BM30" s="1218">
        <v>-82.119349999999997</v>
      </c>
      <c r="BN30" s="1222" t="s">
        <v>1358</v>
      </c>
      <c r="BO30" s="1224" t="s">
        <v>610</v>
      </c>
      <c r="BP30" s="1219" t="str">
        <f t="shared" si="1"/>
        <v>Bradford - Weldon Crossings</v>
      </c>
      <c r="BQ30" s="1219" t="str">
        <f t="shared" si="2"/>
        <v>Family</v>
      </c>
      <c r="BR30" s="1219" t="str">
        <f t="shared" si="3"/>
        <v>(29.953864, -82.11935)</v>
      </c>
      <c r="BS30" s="1221" t="str">
        <f t="shared" si="4"/>
        <v>&gt;30</v>
      </c>
    </row>
    <row r="31" spans="1:71" ht="14.5" customHeight="1">
      <c r="A31" s="1802">
        <v>32925</v>
      </c>
      <c r="B31" s="622" t="s">
        <v>35</v>
      </c>
      <c r="D31" s="622" t="s">
        <v>59</v>
      </c>
      <c r="E31" s="1"/>
      <c r="F31" s="622">
        <v>15.21</v>
      </c>
      <c r="G31" s="622" t="s">
        <v>26</v>
      </c>
      <c r="I31" s="622">
        <v>9702.01</v>
      </c>
      <c r="J31" s="622" t="s">
        <v>59</v>
      </c>
      <c r="L31" s="626">
        <v>16.03</v>
      </c>
      <c r="M31" s="626" t="s">
        <v>26</v>
      </c>
      <c r="N31" s="203"/>
      <c r="O31" s="627" t="str">
        <f t="array" ref="O31">IFERROR(IF($O$21="Metro",INDEX($F$23:$F$748,SMALL(IF((County=$G$23:$G$748),MATCH(ROW($G$23:$G$748),ROW($G$23:$G$748)),""),ROWS($A$23:A31))),INDEX($I$23:$I$52,SMALL(IF((County=$J$23:$J$52),MATCH(ROW($J$23:$J$52),ROW($J$23:$J$52)),""),ROWS($A$23:A31)))),"")</f>
        <v/>
      </c>
      <c r="Q31" s="627" t="str">
        <f t="array" ref="Q31">IFERROR(IF($Q$21="Yes",INDEX($L$23:$L$2323,SMALL(IF((County=$M$23:$M$2323),MATCH(ROW($M$23:$M$2323),ROW($M$23:$M$2323)),""),ROWS($A$23:A31))),""),"")</f>
        <v/>
      </c>
      <c r="S31" s="623">
        <v>32162</v>
      </c>
      <c r="T31" s="622" t="s">
        <v>98</v>
      </c>
      <c r="V31" s="622">
        <v>2</v>
      </c>
      <c r="W31" s="622" t="s">
        <v>26</v>
      </c>
      <c r="Y31" s="622">
        <v>1103.02</v>
      </c>
      <c r="Z31" s="622" t="s">
        <v>74</v>
      </c>
      <c r="AB31" s="626">
        <v>1.02</v>
      </c>
      <c r="AC31" s="626" t="s">
        <v>44</v>
      </c>
      <c r="AE31" s="1802">
        <v>32937</v>
      </c>
      <c r="AF31" s="622" t="s">
        <v>35</v>
      </c>
      <c r="AH31" s="622" t="s">
        <v>58</v>
      </c>
      <c r="AI31" s="1376"/>
      <c r="AJ31" s="622">
        <v>15.15</v>
      </c>
      <c r="AK31" s="622" t="s">
        <v>26</v>
      </c>
      <c r="AM31" s="622">
        <v>301</v>
      </c>
      <c r="AN31" s="622" t="s">
        <v>59</v>
      </c>
      <c r="AP31" s="1837"/>
      <c r="AQ31" s="1837"/>
      <c r="AS31" s="627" t="str">
        <f t="array" ref="AS31">IFERROR(IF($O$21="Metro",INDEX($AJ$23:$AJ$748,SMALL(IF((County=$AK$23:$AK$748),MATCH(ROW($AK$23:$AK$748),ROW($AK$23:$AK$748)),""),ROWS($A$23:$A31))),INDEX($AM$23:$AM$58,SMALL(IF((County=$AN$23:$AN$58),MATCH(ROW($AN$23:$AN$58),ROW($AN$23:$AN$58)),""),ROWS($A$23:$A31)))),"")</f>
        <v/>
      </c>
      <c r="AU31" s="627" t="str">
        <f t="array" ref="AU31">IFERROR(IF($Q$21="Yes",INDEX($AP$23:$AP$2323,SMALL(IF((County=$AQ$23:$AQ$2323),MATCH(ROW($AQ$23:$AQ$2323),ROW($AQ$23:$AQ$2323)),""),ROWS($A$23:$A31))),""),"")</f>
        <v/>
      </c>
      <c r="AW31" s="1802">
        <v>32129</v>
      </c>
      <c r="AX31" s="622" t="s">
        <v>102</v>
      </c>
      <c r="AZ31" s="622">
        <v>1.24</v>
      </c>
      <c r="BA31" s="625" t="s">
        <v>78</v>
      </c>
      <c r="BC31" s="622">
        <v>201</v>
      </c>
      <c r="BD31" s="622" t="s">
        <v>59</v>
      </c>
      <c r="BF31" s="1837"/>
      <c r="BG31" s="1837"/>
      <c r="BI31" s="1223" t="s">
        <v>41</v>
      </c>
      <c r="BJ31" s="1223" t="s">
        <v>1372</v>
      </c>
      <c r="BK31" s="1218" t="s">
        <v>1373</v>
      </c>
      <c r="BL31" s="1218">
        <v>26.917735</v>
      </c>
      <c r="BM31" s="1238">
        <v>-82.042008999999993</v>
      </c>
      <c r="BN31" s="1222" t="s">
        <v>1358</v>
      </c>
      <c r="BO31" s="1224" t="s">
        <v>610</v>
      </c>
      <c r="BP31" s="1219" t="str">
        <f t="shared" si="1"/>
        <v>Charlotte - The Verandas of Punta Gorda III</v>
      </c>
      <c r="BQ31" s="1219" t="str">
        <f t="shared" si="2"/>
        <v>Family</v>
      </c>
      <c r="BR31" s="1219" t="str">
        <f t="shared" si="3"/>
        <v>(26.917735, -82.042009)</v>
      </c>
      <c r="BS31" s="1221" t="str">
        <f t="shared" si="4"/>
        <v>&gt;30</v>
      </c>
    </row>
    <row r="32" spans="1:71" ht="14.5" customHeight="1">
      <c r="A32" s="1802">
        <v>32934</v>
      </c>
      <c r="B32" s="622" t="s">
        <v>35</v>
      </c>
      <c r="D32" s="622" t="s">
        <v>60</v>
      </c>
      <c r="E32" s="1"/>
      <c r="F32" s="622">
        <v>16.03</v>
      </c>
      <c r="G32" s="622" t="s">
        <v>26</v>
      </c>
      <c r="I32" s="622">
        <v>2</v>
      </c>
      <c r="J32" s="622" t="s">
        <v>60</v>
      </c>
      <c r="L32" s="626">
        <v>16.04</v>
      </c>
      <c r="M32" s="626" t="s">
        <v>26</v>
      </c>
      <c r="N32" s="203"/>
      <c r="O32" s="627" t="str">
        <f t="array" ref="O32">IFERROR(IF($O$21="Metro",INDEX($F$23:$F$748,SMALL(IF((County=$G$23:$G$748),MATCH(ROW($G$23:$G$748),ROW($G$23:$G$748)),""),ROWS($A$23:A32))),INDEX($I$23:$I$52,SMALL(IF((County=$J$23:$J$52),MATCH(ROW($J$23:$J$52),ROW($J$23:$J$52)),""),ROWS($A$23:A32)))),"")</f>
        <v/>
      </c>
      <c r="Q32" s="627" t="str">
        <f t="array" ref="Q32">IFERROR(IF($Q$21="Yes",INDEX($L$23:$L$2323,SMALL(IF((County=$M$23:$M$2323),MATCH(ROW($M$23:$M$2323),ROW($M$23:$M$2323)),""),ROWS($A$23:A32))),""),"")</f>
        <v/>
      </c>
      <c r="S32" s="623">
        <v>32169</v>
      </c>
      <c r="T32" s="622" t="s">
        <v>102</v>
      </c>
      <c r="V32" s="622">
        <v>2</v>
      </c>
      <c r="W32" s="622" t="s">
        <v>49</v>
      </c>
      <c r="Y32" s="622">
        <v>1104</v>
      </c>
      <c r="Z32" s="622" t="s">
        <v>45</v>
      </c>
      <c r="AB32" s="626">
        <v>1.02</v>
      </c>
      <c r="AC32" s="626" t="s">
        <v>87</v>
      </c>
      <c r="AE32" s="1802">
        <v>32940</v>
      </c>
      <c r="AF32" s="622" t="s">
        <v>35</v>
      </c>
      <c r="AH32" s="622" t="s">
        <v>59</v>
      </c>
      <c r="AI32" s="1376"/>
      <c r="AJ32" s="622">
        <v>15.16</v>
      </c>
      <c r="AK32" s="622" t="s">
        <v>26</v>
      </c>
      <c r="AM32" s="622">
        <v>302</v>
      </c>
      <c r="AN32" s="622" t="s">
        <v>59</v>
      </c>
      <c r="AP32" s="1837"/>
      <c r="AQ32" s="1837"/>
      <c r="AS32" s="627" t="str">
        <f t="array" ref="AS32">IFERROR(IF($O$21="Metro",INDEX($AJ$23:$AJ$748,SMALL(IF((County=$AK$23:$AK$748),MATCH(ROW($AK$23:$AK$748),ROW($AK$23:$AK$748)),""),ROWS($A$23:$A32))),INDEX($AM$23:$AM$58,SMALL(IF((County=$AN$23:$AN$58),MATCH(ROW($AN$23:$AN$58),ROW($AN$23:$AN$58)),""),ROWS($A$23:$A32)))),"")</f>
        <v/>
      </c>
      <c r="AU32" s="627" t="str">
        <f t="array" ref="AU32">IFERROR(IF($Q$21="Yes",INDEX($AP$23:$AP$2323,SMALL(IF((County=$AQ$23:$AQ$2323),MATCH(ROW($AQ$23:$AQ$2323),ROW($AQ$23:$AQ$2323)),""),ROWS($A$23:$A32))),""),"")</f>
        <v/>
      </c>
      <c r="AW32" s="1802">
        <v>32133</v>
      </c>
      <c r="AX32" s="622" t="s">
        <v>76</v>
      </c>
      <c r="AZ32" s="622">
        <v>1.26</v>
      </c>
      <c r="BA32" s="625" t="s">
        <v>78</v>
      </c>
      <c r="BC32" s="622">
        <v>201</v>
      </c>
      <c r="BD32" s="622" t="s">
        <v>92</v>
      </c>
      <c r="BF32" s="1837"/>
      <c r="BG32" s="1837"/>
      <c r="BI32" s="1218" t="s">
        <v>43</v>
      </c>
      <c r="BJ32" s="1218" t="s">
        <v>1374</v>
      </c>
      <c r="BK32" s="1218" t="s">
        <v>1375</v>
      </c>
      <c r="BL32" s="1218">
        <v>30.095058000000002</v>
      </c>
      <c r="BM32" s="1218">
        <v>-81.826986000000005</v>
      </c>
      <c r="BN32" s="1222" t="s">
        <v>1358</v>
      </c>
      <c r="BO32" s="1222" t="s">
        <v>610</v>
      </c>
      <c r="BP32" s="1219" t="str">
        <f t="shared" si="1"/>
        <v>Clay - Bryce Landing</v>
      </c>
      <c r="BQ32" s="1219" t="str">
        <f t="shared" si="2"/>
        <v>Family</v>
      </c>
      <c r="BR32" s="1219" t="str">
        <f t="shared" si="3"/>
        <v>(30.095058, -81.826986)</v>
      </c>
      <c r="BS32" s="1221" t="str">
        <f t="shared" si="4"/>
        <v>&gt;30</v>
      </c>
    </row>
    <row r="33" spans="1:71" ht="14.5" customHeight="1">
      <c r="A33" s="1802">
        <v>32937</v>
      </c>
      <c r="B33" s="622" t="s">
        <v>35</v>
      </c>
      <c r="D33" s="622" t="s">
        <v>64</v>
      </c>
      <c r="E33" s="1"/>
      <c r="F33" s="622">
        <v>16.04</v>
      </c>
      <c r="G33" s="622" t="s">
        <v>26</v>
      </c>
      <c r="I33" s="622">
        <v>3</v>
      </c>
      <c r="J33" s="622" t="s">
        <v>60</v>
      </c>
      <c r="L33" s="626">
        <v>17.010000000000002</v>
      </c>
      <c r="M33" s="626" t="s">
        <v>26</v>
      </c>
      <c r="N33" s="203"/>
      <c r="O33" s="627" t="str">
        <f t="array" ref="O33">IFERROR(IF($O$21="Metro",INDEX($F$23:$F$748,SMALL(IF((County=$G$23:$G$748),MATCH(ROW($G$23:$G$748),ROW($G$23:$G$748)),""),ROWS($A$23:A33))),INDEX($I$23:$I$52,SMALL(IF((County=$J$23:$J$52),MATCH(ROW($J$23:$J$52),ROW($J$23:$J$52)),""),ROWS($A$23:A33)))),"")</f>
        <v/>
      </c>
      <c r="Q33" s="627" t="str">
        <f t="array" ref="Q33">IFERROR(IF($Q$21="Yes",INDEX($L$23:$L$2323,SMALL(IF((County=$M$23:$M$2323),MATCH(ROW($M$23:$M$2323),ROW($M$23:$M$2323)),""),ROWS($A$23:A33))),""),"")</f>
        <v/>
      </c>
      <c r="S33" s="623">
        <v>32176</v>
      </c>
      <c r="T33" s="622" t="s">
        <v>102</v>
      </c>
      <c r="V33" s="622">
        <v>2</v>
      </c>
      <c r="W33" s="625" t="s">
        <v>76</v>
      </c>
      <c r="Y33" s="622">
        <v>2102</v>
      </c>
      <c r="Z33" s="622" t="s">
        <v>66</v>
      </c>
      <c r="AB33" s="626">
        <v>1.07</v>
      </c>
      <c r="AC33" s="626" t="s">
        <v>78</v>
      </c>
      <c r="AE33" s="1802">
        <v>32951</v>
      </c>
      <c r="AF33" s="622" t="s">
        <v>35</v>
      </c>
      <c r="AH33" s="622" t="s">
        <v>60</v>
      </c>
      <c r="AI33" s="1376"/>
      <c r="AJ33" s="622">
        <v>15.17</v>
      </c>
      <c r="AK33" s="622" t="s">
        <v>26</v>
      </c>
      <c r="AM33" s="622">
        <v>401</v>
      </c>
      <c r="AN33" s="622" t="s">
        <v>59</v>
      </c>
      <c r="AP33" s="1837"/>
      <c r="AQ33" s="1837"/>
      <c r="AS33" s="627" t="str">
        <f t="array" ref="AS33">IFERROR(IF($O$21="Metro",INDEX($AJ$23:$AJ$748,SMALL(IF((County=$AK$23:$AK$748),MATCH(ROW($AK$23:$AK$748),ROW($AK$23:$AK$748)),""),ROWS($A$23:$A33))),INDEX($AM$23:$AM$58,SMALL(IF((County=$AN$23:$AN$58),MATCH(ROW($AN$23:$AN$58),ROW($AN$23:$AN$58)),""),ROWS($A$23:$A33)))),"")</f>
        <v/>
      </c>
      <c r="AU33" s="627" t="str">
        <f t="array" ref="AU33">IFERROR(IF($Q$21="Yes",INDEX($AP$23:$AP$2323,SMALL(IF((County=$AQ$23:$AQ$2323),MATCH(ROW($AQ$23:$AQ$2323),ROW($AQ$23:$AQ$2323)),""),ROWS($A$23:$A33))),""),"")</f>
        <v/>
      </c>
      <c r="AW33" s="1802">
        <v>32162</v>
      </c>
      <c r="AX33" s="622" t="s">
        <v>98</v>
      </c>
      <c r="AZ33" s="622">
        <v>2</v>
      </c>
      <c r="BA33" s="625" t="s">
        <v>49</v>
      </c>
      <c r="BC33" s="622">
        <v>202</v>
      </c>
      <c r="BD33" s="622" t="s">
        <v>48</v>
      </c>
      <c r="BF33" s="1837"/>
      <c r="BG33" s="1837"/>
      <c r="BI33" s="1218" t="s">
        <v>43</v>
      </c>
      <c r="BJ33" s="1218" t="s">
        <v>1376</v>
      </c>
      <c r="BK33" s="1218" t="s">
        <v>1377</v>
      </c>
      <c r="BL33" s="1219">
        <v>30.115016000000001</v>
      </c>
      <c r="BM33" s="1219">
        <v>-81.828085000000002</v>
      </c>
      <c r="BN33" s="1222" t="s">
        <v>1355</v>
      </c>
      <c r="BO33" s="1221" t="s">
        <v>610</v>
      </c>
      <c r="BP33" s="1219" t="str">
        <f t="shared" si="1"/>
        <v>Clay - Molly Crossing</v>
      </c>
      <c r="BQ33" s="1219" t="str">
        <f t="shared" si="2"/>
        <v>Elderly, Non-ALF</v>
      </c>
      <c r="BR33" s="1219" t="str">
        <f t="shared" si="3"/>
        <v>(30.115016, -81.828085)</v>
      </c>
      <c r="BS33" s="1221" t="str">
        <f t="shared" si="4"/>
        <v>&gt;30</v>
      </c>
    </row>
    <row r="34" spans="1:71" ht="14.5" customHeight="1">
      <c r="A34" s="1802">
        <v>32940</v>
      </c>
      <c r="B34" s="622" t="s">
        <v>35</v>
      </c>
      <c r="D34" s="622" t="s">
        <v>66</v>
      </c>
      <c r="E34" s="1"/>
      <c r="F34" s="622">
        <v>18.02</v>
      </c>
      <c r="G34" s="622" t="s">
        <v>26</v>
      </c>
      <c r="I34" s="622">
        <v>6</v>
      </c>
      <c r="J34" s="622" t="s">
        <v>60</v>
      </c>
      <c r="L34" s="626">
        <v>17.02</v>
      </c>
      <c r="M34" s="626" t="s">
        <v>26</v>
      </c>
      <c r="N34" s="203"/>
      <c r="O34" s="627" t="str">
        <f t="array" ref="O34">IFERROR(IF($O$21="Metro",INDEX($F$23:$F$748,SMALL(IF((County=$G$23:$G$748),MATCH(ROW($G$23:$G$748),ROW($G$23:$G$748)),""),ROWS($A$23:A34))),INDEX($I$23:$I$52,SMALL(IF((County=$J$23:$J$52),MATCH(ROW($J$23:$J$52),ROW($J$23:$J$52)),""),ROWS($A$23:A34)))),"")</f>
        <v/>
      </c>
      <c r="Q34" s="627" t="str">
        <f t="array" ref="Q34">IFERROR(IF($Q$21="Yes",INDEX($L$23:$L$2323,SMALL(IF((County=$M$23:$M$2323),MATCH(ROW($M$23:$M$2323),ROW($M$23:$M$2323)),""),ROWS($A$23:A34))),""),"")</f>
        <v/>
      </c>
      <c r="S34" s="623">
        <v>32195</v>
      </c>
      <c r="T34" s="622" t="s">
        <v>76</v>
      </c>
      <c r="V34" s="622">
        <v>2</v>
      </c>
      <c r="W34" s="625" t="s">
        <v>96</v>
      </c>
      <c r="Y34" s="622">
        <v>2106</v>
      </c>
      <c r="Z34" s="622" t="s">
        <v>66</v>
      </c>
      <c r="AB34" s="626">
        <v>1.1299999999999999</v>
      </c>
      <c r="AC34" s="626" t="s">
        <v>78</v>
      </c>
      <c r="AE34" s="1802">
        <v>32955</v>
      </c>
      <c r="AF34" s="622" t="s">
        <v>35</v>
      </c>
      <c r="AH34" s="622" t="s">
        <v>64</v>
      </c>
      <c r="AI34" s="1376"/>
      <c r="AJ34" s="622">
        <v>15.19</v>
      </c>
      <c r="AK34" s="622" t="s">
        <v>26</v>
      </c>
      <c r="AM34" s="622">
        <v>200</v>
      </c>
      <c r="AN34" s="622" t="s">
        <v>60</v>
      </c>
      <c r="AP34" s="1837"/>
      <c r="AQ34" s="1837"/>
      <c r="AS34" s="627" t="str">
        <f t="array" ref="AS34">IFERROR(IF($O$21="Metro",INDEX($AJ$23:$AJ$748,SMALL(IF((County=$AK$23:$AK$748),MATCH(ROW($AK$23:$AK$748),ROW($AK$23:$AK$748)),""),ROWS($A$23:$A34))),INDEX($AM$23:$AM$58,SMALL(IF((County=$AN$23:$AN$58),MATCH(ROW($AN$23:$AN$58),ROW($AN$23:$AN$58)),""),ROWS($A$23:$A34)))),"")</f>
        <v/>
      </c>
      <c r="AU34" s="627" t="str">
        <f t="array" ref="AU34">IFERROR(IF($Q$21="Yes",INDEX($AP$23:$AP$2323,SMALL(IF((County=$AQ$23:$AQ$2323),MATCH(ROW($AQ$23:$AQ$2323),ROW($AQ$23:$AQ$2323)),""),ROWS($A$23:$A34))),""),"")</f>
        <v/>
      </c>
      <c r="AW34" s="1802">
        <v>32169</v>
      </c>
      <c r="AX34" s="622" t="s">
        <v>102</v>
      </c>
      <c r="AZ34" s="622">
        <v>2</v>
      </c>
      <c r="BA34" s="622" t="s">
        <v>96</v>
      </c>
      <c r="BC34" s="622">
        <v>202</v>
      </c>
      <c r="BD34" s="622" t="s">
        <v>58</v>
      </c>
      <c r="BF34" s="1837"/>
      <c r="BG34" s="1837"/>
      <c r="BI34" s="1218" t="s">
        <v>43</v>
      </c>
      <c r="BJ34" s="1218" t="s">
        <v>1378</v>
      </c>
      <c r="BK34" s="1218" t="s">
        <v>1379</v>
      </c>
      <c r="BL34" s="1219">
        <v>30.110381</v>
      </c>
      <c r="BM34" s="1219">
        <v>-81.837506000000005</v>
      </c>
      <c r="BN34" s="1222" t="s">
        <v>1358</v>
      </c>
      <c r="BO34" s="1221" t="s">
        <v>610</v>
      </c>
      <c r="BP34" s="1219" t="str">
        <f t="shared" si="1"/>
        <v>Clay - Nathan Ridge</v>
      </c>
      <c r="BQ34" s="1219" t="str">
        <f t="shared" si="2"/>
        <v>Family</v>
      </c>
      <c r="BR34" s="1219" t="str">
        <f t="shared" si="3"/>
        <v>(30.110381, -81.837506)</v>
      </c>
      <c r="BS34" s="1221" t="str">
        <f t="shared" si="4"/>
        <v>&gt;30</v>
      </c>
    </row>
    <row r="35" spans="1:71" ht="14.5" customHeight="1">
      <c r="A35" s="1802">
        <v>32951</v>
      </c>
      <c r="B35" s="622" t="s">
        <v>35</v>
      </c>
      <c r="D35" s="622" t="s">
        <v>68</v>
      </c>
      <c r="E35" s="1"/>
      <c r="F35" s="622">
        <v>19.02</v>
      </c>
      <c r="G35" s="622" t="s">
        <v>26</v>
      </c>
      <c r="I35" s="622">
        <v>9604</v>
      </c>
      <c r="J35" s="622" t="s">
        <v>64</v>
      </c>
      <c r="L35" s="626">
        <v>18.010000000000002</v>
      </c>
      <c r="M35" s="626" t="s">
        <v>26</v>
      </c>
      <c r="N35" s="203"/>
      <c r="O35" s="627" t="str">
        <f t="array" ref="O35">IFERROR(IF($O$21="Metro",INDEX($F$23:$F$748,SMALL(IF((County=$G$23:$G$748),MATCH(ROW($G$23:$G$748),ROW($G$23:$G$748)),""),ROWS($A$23:A35))),INDEX($I$23:$I$52,SMALL(IF((County=$J$23:$J$52),MATCH(ROW($J$23:$J$52),ROW($J$23:$J$52)),""),ROWS($A$23:A35)))),"")</f>
        <v/>
      </c>
      <c r="Q35" s="627" t="str">
        <f t="array" ref="Q35">IFERROR(IF($Q$21="Yes",INDEX($L$23:$L$2323,SMALL(IF((County=$M$23:$M$2323),MATCH(ROW($M$23:$M$2323),ROW($M$23:$M$2323)),""),ROWS($A$23:A35))),""),"")</f>
        <v/>
      </c>
      <c r="S35" s="623">
        <v>32212</v>
      </c>
      <c r="T35" s="622" t="s">
        <v>49</v>
      </c>
      <c r="V35" s="622">
        <v>2.0099999999999998</v>
      </c>
      <c r="W35" s="625" t="s">
        <v>63</v>
      </c>
      <c r="Y35" s="622">
        <v>9502.01</v>
      </c>
      <c r="Z35" s="622" t="s">
        <v>92</v>
      </c>
      <c r="AB35" s="626">
        <v>1.1499999999999999</v>
      </c>
      <c r="AC35" s="626" t="s">
        <v>78</v>
      </c>
      <c r="AE35" s="1802">
        <v>33019</v>
      </c>
      <c r="AF35" s="622" t="s">
        <v>36</v>
      </c>
      <c r="AH35" s="622" t="s">
        <v>66</v>
      </c>
      <c r="AI35" s="1376"/>
      <c r="AJ35" s="622">
        <v>16.05</v>
      </c>
      <c r="AK35" s="622" t="s">
        <v>26</v>
      </c>
      <c r="AM35" s="622">
        <v>300</v>
      </c>
      <c r="AN35" s="622" t="s">
        <v>60</v>
      </c>
      <c r="AP35" s="1837"/>
      <c r="AQ35" s="1837"/>
      <c r="AS35" s="627" t="str">
        <f t="array" ref="AS35">IFERROR(IF($O$21="Metro",INDEX($AJ$23:$AJ$748,SMALL(IF((County=$AK$23:$AK$748),MATCH(ROW($AK$23:$AK$748),ROW($AK$23:$AK$748)),""),ROWS($A$23:$A35))),INDEX($AM$23:$AM$58,SMALL(IF((County=$AN$23:$AN$58),MATCH(ROW($AN$23:$AN$58),ROW($AN$23:$AN$58)),""),ROWS($A$23:$A35)))),"")</f>
        <v/>
      </c>
      <c r="AU35" s="627" t="str">
        <f t="array" ref="AU35">IFERROR(IF($Q$21="Yes",INDEX($AP$23:$AP$2323,SMALL(IF((County=$AQ$23:$AQ$2323),MATCH(ROW($AQ$23:$AQ$2323),ROW($AQ$23:$AQ$2323)),""),ROWS($A$23:$A35))),""),"")</f>
        <v/>
      </c>
      <c r="AW35" s="1802">
        <v>32176</v>
      </c>
      <c r="AX35" s="622" t="s">
        <v>102</v>
      </c>
      <c r="AZ35" s="622">
        <v>2.0099999999999998</v>
      </c>
      <c r="BA35" s="622" t="s">
        <v>26</v>
      </c>
      <c r="BC35" s="622">
        <v>202</v>
      </c>
      <c r="BD35" s="622" t="s">
        <v>92</v>
      </c>
      <c r="BF35" s="1837"/>
      <c r="BG35" s="1837"/>
      <c r="BI35" s="1218" t="s">
        <v>44</v>
      </c>
      <c r="BJ35" s="1218" t="s">
        <v>1380</v>
      </c>
      <c r="BK35" s="1218" t="s">
        <v>1381</v>
      </c>
      <c r="BL35" s="1229">
        <v>26.107664</v>
      </c>
      <c r="BM35" s="1229">
        <v>-81.680555999999996</v>
      </c>
      <c r="BN35" s="1222" t="s">
        <v>1355</v>
      </c>
      <c r="BO35" s="1222" t="s">
        <v>610</v>
      </c>
      <c r="BP35" s="1219" t="str">
        <f t="shared" si="1"/>
        <v>Collier - Allegro at Hacienda Lakes, f/k/a Villa Verde</v>
      </c>
      <c r="BQ35" s="1219" t="str">
        <f t="shared" si="2"/>
        <v>Elderly, Non-ALF</v>
      </c>
      <c r="BR35" s="1219" t="str">
        <f t="shared" si="3"/>
        <v>(26.107664, -81.680556)</v>
      </c>
      <c r="BS35" s="1221" t="str">
        <f t="shared" si="4"/>
        <v>&gt;30</v>
      </c>
    </row>
    <row r="36" spans="1:71" ht="14.5" customHeight="1">
      <c r="A36" s="1802">
        <v>32955</v>
      </c>
      <c r="B36" s="622" t="s">
        <v>35</v>
      </c>
      <c r="D36" s="622" t="s">
        <v>72</v>
      </c>
      <c r="E36" s="1"/>
      <c r="F36" s="622">
        <v>22.18</v>
      </c>
      <c r="G36" s="622" t="s">
        <v>26</v>
      </c>
      <c r="I36" s="622">
        <v>2102</v>
      </c>
      <c r="J36" s="622" t="s">
        <v>66</v>
      </c>
      <c r="L36" s="626">
        <v>18.05</v>
      </c>
      <c r="M36" s="626" t="s">
        <v>26</v>
      </c>
      <c r="N36" s="203"/>
      <c r="O36" s="627" t="str">
        <f t="array" ref="O36">IFERROR(IF($O$21="Metro",INDEX($F$23:$F$748,SMALL(IF((County=$G$23:$G$748),MATCH(ROW($G$23:$G$748),ROW($G$23:$G$748)),""),ROWS($A$23:A36))),INDEX($I$23:$I$52,SMALL(IF((County=$J$23:$J$52),MATCH(ROW($J$23:$J$52),ROW($J$23:$J$52)),""),ROWS($A$23:A36)))),"")</f>
        <v/>
      </c>
      <c r="Q36" s="627" t="str">
        <f t="array" ref="Q36">IFERROR(IF($Q$21="Yes",INDEX($L$23:$L$2323,SMALL(IF((County=$M$23:$M$2323),MATCH(ROW($M$23:$M$2323),ROW($M$23:$M$2323)),""),ROWS($A$23:A36))),""),"")</f>
        <v/>
      </c>
      <c r="S36" s="623">
        <v>32222</v>
      </c>
      <c r="T36" s="622" t="s">
        <v>49</v>
      </c>
      <c r="V36" s="622">
        <v>2.0099999999999998</v>
      </c>
      <c r="W36" s="625" t="s">
        <v>75</v>
      </c>
      <c r="Y36" s="622">
        <v>9503</v>
      </c>
      <c r="Z36" s="622" t="s">
        <v>100</v>
      </c>
      <c r="AB36" s="626">
        <v>1.18</v>
      </c>
      <c r="AC36" s="626" t="s">
        <v>78</v>
      </c>
      <c r="AE36" s="1802">
        <v>33021</v>
      </c>
      <c r="AF36" s="622" t="s">
        <v>36</v>
      </c>
      <c r="AH36" s="622" t="s">
        <v>68</v>
      </c>
      <c r="AI36" s="1376"/>
      <c r="AJ36" s="622">
        <v>18.02</v>
      </c>
      <c r="AK36" s="622" t="s">
        <v>26</v>
      </c>
      <c r="AM36" s="622">
        <v>601</v>
      </c>
      <c r="AN36" s="622" t="s">
        <v>60</v>
      </c>
      <c r="AP36" s="1837"/>
      <c r="AQ36" s="1837"/>
      <c r="AS36" s="627" t="str">
        <f t="array" ref="AS36">IFERROR(IF($O$21="Metro",INDEX($AJ$23:$AJ$748,SMALL(IF((County=$AK$23:$AK$748),MATCH(ROW($AK$23:$AK$748),ROW($AK$23:$AK$748)),""),ROWS($A$23:$A36))),INDEX($AM$23:$AM$58,SMALL(IF((County=$AN$23:$AN$58),MATCH(ROW($AN$23:$AN$58),ROW($AN$23:$AN$58)),""),ROWS($A$23:$A36)))),"")</f>
        <v/>
      </c>
      <c r="AU36" s="627" t="str">
        <f t="array" ref="AU36">IFERROR(IF($Q$21="Yes",INDEX($AP$23:$AP$2323,SMALL(IF((County=$AQ$23:$AQ$2323),MATCH(ROW($AQ$23:$AQ$2323),ROW($AQ$23:$AQ$2323)),""),ROWS($A$23:$A36))),""),"")</f>
        <v/>
      </c>
      <c r="AW36" s="1802">
        <v>32195</v>
      </c>
      <c r="AX36" s="622" t="s">
        <v>76</v>
      </c>
      <c r="AZ36" s="622">
        <v>2.0099999999999998</v>
      </c>
      <c r="BA36" s="625" t="s">
        <v>63</v>
      </c>
      <c r="BC36" s="622">
        <v>300</v>
      </c>
      <c r="BD36" s="622" t="s">
        <v>60</v>
      </c>
      <c r="BF36" s="1837"/>
      <c r="BG36" s="1837"/>
      <c r="BI36" s="1218" t="s">
        <v>44</v>
      </c>
      <c r="BJ36" s="1218" t="s">
        <v>1382</v>
      </c>
      <c r="BK36" s="1218" t="s">
        <v>1383</v>
      </c>
      <c r="BL36" s="1219">
        <v>26.109164</v>
      </c>
      <c r="BM36" s="1219">
        <v>-81.680756000000002</v>
      </c>
      <c r="BN36" s="1222" t="s">
        <v>1355</v>
      </c>
      <c r="BO36" s="1222" t="s">
        <v>610</v>
      </c>
      <c r="BP36" s="1219" t="str">
        <f t="shared" si="1"/>
        <v>Collier - Cadenza at Hacienda Lakes</v>
      </c>
      <c r="BQ36" s="1219" t="str">
        <f t="shared" si="2"/>
        <v>Elderly, Non-ALF</v>
      </c>
      <c r="BR36" s="1219" t="str">
        <f t="shared" si="3"/>
        <v>(26.109164, -81.680756)</v>
      </c>
      <c r="BS36" s="1221" t="str">
        <f t="shared" si="4"/>
        <v>&gt;30</v>
      </c>
    </row>
    <row r="37" spans="1:71" ht="14.5" customHeight="1">
      <c r="A37" s="1802">
        <v>33019</v>
      </c>
      <c r="B37" s="622" t="s">
        <v>36</v>
      </c>
      <c r="D37" s="622" t="s">
        <v>73</v>
      </c>
      <c r="E37" s="1"/>
      <c r="F37" s="622">
        <v>8.0299999999999994</v>
      </c>
      <c r="G37" s="625" t="s">
        <v>32</v>
      </c>
      <c r="I37" s="622">
        <v>2106</v>
      </c>
      <c r="J37" s="622" t="s">
        <v>66</v>
      </c>
      <c r="L37" s="626">
        <v>18.059999999999999</v>
      </c>
      <c r="M37" s="626" t="s">
        <v>26</v>
      </c>
      <c r="N37" s="203"/>
      <c r="O37" s="627" t="str">
        <f t="array" ref="O37">IFERROR(IF($O$21="Metro",INDEX($F$23:$F$748,SMALL(IF((County=$G$23:$G$748),MATCH(ROW($G$23:$G$748),ROW($G$23:$G$748)),""),ROWS($A$23:A37))),INDEX($I$23:$I$52,SMALL(IF((County=$J$23:$J$52),MATCH(ROW($J$23:$J$52),ROW($J$23:$J$52)),""),ROWS($A$23:A37)))),"")</f>
        <v/>
      </c>
      <c r="Q37" s="627" t="str">
        <f t="array" ref="Q37">IFERROR(IF($Q$21="Yes",INDEX($L$23:$L$2323,SMALL(IF((County=$M$23:$M$2323),MATCH(ROW($M$23:$M$2323),ROW($M$23:$M$2323)),""),ROWS($A$23:A37))),""),"")</f>
        <v/>
      </c>
      <c r="S37" s="623">
        <v>32224</v>
      </c>
      <c r="T37" s="622" t="s">
        <v>49</v>
      </c>
      <c r="V37" s="622">
        <v>2.02</v>
      </c>
      <c r="W37" s="625" t="s">
        <v>63</v>
      </c>
      <c r="Y37" s="622">
        <v>9507</v>
      </c>
      <c r="Z37" s="622" t="s">
        <v>92</v>
      </c>
      <c r="AB37" s="626">
        <v>1.19</v>
      </c>
      <c r="AC37" s="626" t="s">
        <v>78</v>
      </c>
      <c r="AE37" s="1802">
        <v>33025</v>
      </c>
      <c r="AF37" s="622" t="s">
        <v>36</v>
      </c>
      <c r="AH37" s="622" t="s">
        <v>73</v>
      </c>
      <c r="AI37" s="1376"/>
      <c r="AJ37" s="622">
        <v>19.02</v>
      </c>
      <c r="AK37" s="625" t="s">
        <v>26</v>
      </c>
      <c r="AM37" s="622">
        <v>602</v>
      </c>
      <c r="AN37" s="622" t="s">
        <v>60</v>
      </c>
      <c r="AP37" s="1837"/>
      <c r="AQ37" s="1837"/>
      <c r="AS37" s="627" t="str">
        <f t="array" ref="AS37">IFERROR(IF($O$21="Metro",INDEX($AJ$23:$AJ$748,SMALL(IF((County=$AK$23:$AK$748),MATCH(ROW($AK$23:$AK$748),ROW($AK$23:$AK$748)),""),ROWS($A$23:$A37))),INDEX($AM$23:$AM$58,SMALL(IF((County=$AN$23:$AN$58),MATCH(ROW($AN$23:$AN$58),ROW($AN$23:$AN$58)),""),ROWS($A$23:$A37)))),"")</f>
        <v/>
      </c>
      <c r="AU37" s="627" t="str">
        <f t="array" ref="AU37">IFERROR(IF($Q$21="Yes",INDEX($AP$23:$AP$2323,SMALL(IF((County=$AQ$23:$AQ$2323),MATCH(ROW($AQ$23:$AQ$2323),ROW($AQ$23:$AQ$2323)),""),ROWS($A$23:$A37))),""),"")</f>
        <v/>
      </c>
      <c r="AW37" s="1802">
        <v>32212</v>
      </c>
      <c r="AX37" s="622" t="s">
        <v>49</v>
      </c>
      <c r="AZ37" s="622">
        <v>2.0099999999999998</v>
      </c>
      <c r="BA37" s="625" t="s">
        <v>75</v>
      </c>
      <c r="BC37" s="622">
        <v>301</v>
      </c>
      <c r="BD37" s="622" t="s">
        <v>47</v>
      </c>
      <c r="BF37" s="1837"/>
      <c r="BG37" s="1837"/>
      <c r="BI37" s="1218" t="s">
        <v>47</v>
      </c>
      <c r="BJ37" s="1218" t="s">
        <v>1384</v>
      </c>
      <c r="BK37" s="1218" t="s">
        <v>1385</v>
      </c>
      <c r="BL37" s="1227">
        <v>27.224609000000001</v>
      </c>
      <c r="BM37" s="1227">
        <v>-81.843999999999994</v>
      </c>
      <c r="BN37" s="1222" t="s">
        <v>1355</v>
      </c>
      <c r="BO37" s="1221" t="s">
        <v>610</v>
      </c>
      <c r="BP37" s="1219" t="str">
        <f t="shared" si="1"/>
        <v>DeSoto - Arcadia Landings</v>
      </c>
      <c r="BQ37" s="1219" t="str">
        <f t="shared" si="2"/>
        <v>Elderly, Non-ALF</v>
      </c>
      <c r="BR37" s="1219" t="str">
        <f t="shared" si="3"/>
        <v>(27.224609, -81.844)</v>
      </c>
      <c r="BS37" s="1221" t="str">
        <f t="shared" si="4"/>
        <v>&gt;30</v>
      </c>
    </row>
    <row r="38" spans="1:71" ht="14.5" customHeight="1">
      <c r="A38" s="1802">
        <v>33025</v>
      </c>
      <c r="B38" s="622" t="s">
        <v>36</v>
      </c>
      <c r="D38" s="622" t="s">
        <v>74</v>
      </c>
      <c r="E38" s="1"/>
      <c r="F38" s="622">
        <v>10</v>
      </c>
      <c r="G38" s="625" t="s">
        <v>32</v>
      </c>
      <c r="I38" s="622">
        <v>9702</v>
      </c>
      <c r="J38" s="622" t="s">
        <v>72</v>
      </c>
      <c r="L38" s="626">
        <v>18.11</v>
      </c>
      <c r="M38" s="626" t="s">
        <v>26</v>
      </c>
      <c r="N38" s="203"/>
      <c r="O38" s="627" t="str">
        <f t="array" ref="O38">IFERROR(IF($O$21="Metro",INDEX($F$23:$F$748,SMALL(IF((County=$G$23:$G$748),MATCH(ROW($G$23:$G$748),ROW($G$23:$G$748)),""),ROWS($A$23:A38))),INDEX($I$23:$I$52,SMALL(IF((County=$J$23:$J$52),MATCH(ROW($J$23:$J$52),ROW($J$23:$J$52)),""),ROWS($A$23:A38)))),"")</f>
        <v/>
      </c>
      <c r="Q38" s="627" t="str">
        <f t="array" ref="Q38">IFERROR(IF($Q$21="Yes",INDEX($L$23:$L$2323,SMALL(IF((County=$M$23:$M$2323),MATCH(ROW($M$23:$M$2323),ROW($M$23:$M$2323)),""),ROWS($A$23:A38))),""),"")</f>
        <v/>
      </c>
      <c r="S38" s="623">
        <v>32226</v>
      </c>
      <c r="T38" s="622" t="s">
        <v>49</v>
      </c>
      <c r="V38" s="622">
        <v>2.02</v>
      </c>
      <c r="W38" s="625" t="s">
        <v>75</v>
      </c>
      <c r="Y38" s="622">
        <v>9508</v>
      </c>
      <c r="Z38" s="622" t="s">
        <v>92</v>
      </c>
      <c r="AB38" s="626">
        <v>1.2</v>
      </c>
      <c r="AC38" s="626" t="s">
        <v>78</v>
      </c>
      <c r="AE38" s="1802">
        <v>33026</v>
      </c>
      <c r="AF38" s="622" t="s">
        <v>36</v>
      </c>
      <c r="AH38" s="622" t="s">
        <v>74</v>
      </c>
      <c r="AI38" s="1376"/>
      <c r="AJ38" s="622">
        <v>22.18</v>
      </c>
      <c r="AK38" s="625" t="s">
        <v>26</v>
      </c>
      <c r="AM38" s="622">
        <v>401</v>
      </c>
      <c r="AN38" s="622" t="s">
        <v>64</v>
      </c>
      <c r="AP38" s="1837"/>
      <c r="AQ38" s="1837"/>
      <c r="AS38" s="627" t="str">
        <f t="array" ref="AS38">IFERROR(IF($O$21="Metro",INDEX($AJ$23:$AJ$748,SMALL(IF((County=$AK$23:$AK$748),MATCH(ROW($AK$23:$AK$748),ROW($AK$23:$AK$748)),""),ROWS($A$23:$A38))),INDEX($AM$23:$AM$58,SMALL(IF((County=$AN$23:$AN$58),MATCH(ROW($AN$23:$AN$58),ROW($AN$23:$AN$58)),""),ROWS($A$23:$A38)))),"")</f>
        <v/>
      </c>
      <c r="AU38" s="627" t="str">
        <f t="array" ref="AU38">IFERROR(IF($Q$21="Yes",INDEX($AP$23:$AP$2323,SMALL(IF((County=$AQ$23:$AQ$2323),MATCH(ROW($AQ$23:$AQ$2323),ROW($AQ$23:$AQ$2323)),""),ROWS($A$23:$A38))),""),"")</f>
        <v/>
      </c>
      <c r="AW38" s="1802">
        <v>32224</v>
      </c>
      <c r="AX38" s="622" t="s">
        <v>49</v>
      </c>
      <c r="AZ38" s="622">
        <v>2.0099999999999998</v>
      </c>
      <c r="BA38" s="625" t="s">
        <v>76</v>
      </c>
      <c r="BC38" s="622">
        <v>301</v>
      </c>
      <c r="BD38" s="622" t="s">
        <v>59</v>
      </c>
      <c r="BF38" s="1837"/>
      <c r="BG38" s="1837"/>
      <c r="BI38" s="1218" t="s">
        <v>47</v>
      </c>
      <c r="BJ38" s="1218" t="s">
        <v>1386</v>
      </c>
      <c r="BK38" s="1218" t="s">
        <v>1387</v>
      </c>
      <c r="BL38" s="1219">
        <v>27.214896</v>
      </c>
      <c r="BM38" s="1219">
        <v>-81.846672999999996</v>
      </c>
      <c r="BN38" s="1220" t="s">
        <v>1358</v>
      </c>
      <c r="BO38" s="1221" t="s">
        <v>610</v>
      </c>
      <c r="BP38" s="1219" t="str">
        <f t="shared" si="1"/>
        <v>DeSoto - Cypress Garden Apartments</v>
      </c>
      <c r="BQ38" s="1219" t="str">
        <f t="shared" si="2"/>
        <v>Family</v>
      </c>
      <c r="BR38" s="1219" t="str">
        <f t="shared" si="3"/>
        <v>(27.214896, -81.846673)</v>
      </c>
      <c r="BS38" s="1221" t="str">
        <f t="shared" si="4"/>
        <v>&gt;30</v>
      </c>
    </row>
    <row r="39" spans="1:71" ht="14.5" customHeight="1">
      <c r="A39" s="1802">
        <v>33026</v>
      </c>
      <c r="B39" s="622" t="s">
        <v>36</v>
      </c>
      <c r="D39" s="622" t="s">
        <v>80</v>
      </c>
      <c r="E39" s="1"/>
      <c r="F39" s="622">
        <v>11</v>
      </c>
      <c r="G39" s="625" t="s">
        <v>32</v>
      </c>
      <c r="I39" s="622">
        <v>9703.01</v>
      </c>
      <c r="J39" s="622" t="s">
        <v>72</v>
      </c>
      <c r="L39" s="626">
        <v>18.13</v>
      </c>
      <c r="M39" s="626" t="s">
        <v>26</v>
      </c>
      <c r="N39" s="203"/>
      <c r="O39" s="627" t="str">
        <f t="array" ref="O39">IFERROR(IF($O$21="Metro",INDEX($F$23:$F$748,SMALL(IF((County=$G$23:$G$748),MATCH(ROW($G$23:$G$748),ROW($G$23:$G$748)),""),ROWS($A$23:A39))),INDEX($I$23:$I$52,SMALL(IF((County=$J$23:$J$52),MATCH(ROW($J$23:$J$52),ROW($J$23:$J$52)),""),ROWS($A$23:A39)))),"")</f>
        <v/>
      </c>
      <c r="Q39" s="627" t="str">
        <f t="array" ref="Q39">IFERROR(IF($Q$21="Yes",INDEX($L$23:$L$2323,SMALL(IF((County=$M$23:$M$2323),MATCH(ROW($M$23:$M$2323),ROW($M$23:$M$2323)),""),ROWS($A$23:A39))),""),"")</f>
        <v/>
      </c>
      <c r="S39" s="623">
        <v>32227</v>
      </c>
      <c r="T39" s="622" t="s">
        <v>49</v>
      </c>
      <c r="V39" s="622">
        <v>2.06</v>
      </c>
      <c r="W39" s="625" t="s">
        <v>78</v>
      </c>
      <c r="Y39" s="622">
        <v>9509</v>
      </c>
      <c r="Z39" s="622" t="s">
        <v>92</v>
      </c>
      <c r="AB39" s="626">
        <v>1.21</v>
      </c>
      <c r="AC39" s="626" t="s">
        <v>78</v>
      </c>
      <c r="AE39" s="1802">
        <v>33027</v>
      </c>
      <c r="AF39" s="622" t="s">
        <v>36</v>
      </c>
      <c r="AH39" s="622" t="s">
        <v>80</v>
      </c>
      <c r="AI39" s="1376"/>
      <c r="AJ39" s="622">
        <v>8.0299999999999994</v>
      </c>
      <c r="AK39" s="625" t="s">
        <v>32</v>
      </c>
      <c r="AM39" s="622">
        <v>402</v>
      </c>
      <c r="AN39" s="622" t="s">
        <v>64</v>
      </c>
      <c r="AP39" s="1837"/>
      <c r="AQ39" s="1837"/>
      <c r="AS39" s="627" t="str">
        <f t="array" ref="AS39">IFERROR(IF($O$21="Metro",INDEX($AJ$23:$AJ$748,SMALL(IF((County=$AK$23:$AK$748),MATCH(ROW($AK$23:$AK$748),ROW($AK$23:$AK$748)),""),ROWS($A$23:$A39))),INDEX($AM$23:$AM$58,SMALL(IF((County=$AN$23:$AN$58),MATCH(ROW($AN$23:$AN$58),ROW($AN$23:$AN$58)),""),ROWS($A$23:$A39)))),"")</f>
        <v/>
      </c>
      <c r="AU39" s="627" t="str">
        <f t="array" ref="AU39">IFERROR(IF($Q$21="Yes",INDEX($AP$23:$AP$2323,SMALL(IF((County=$AQ$23:$AQ$2323),MATCH(ROW($AQ$23:$AQ$2323),ROW($AQ$23:$AQ$2323)),""),ROWS($A$23:$A39))),""),"")</f>
        <v/>
      </c>
      <c r="AW39" s="1802">
        <v>32225</v>
      </c>
      <c r="AX39" s="622" t="s">
        <v>49</v>
      </c>
      <c r="AZ39" s="622">
        <v>2.02</v>
      </c>
      <c r="BA39" s="625" t="s">
        <v>26</v>
      </c>
      <c r="BC39" s="622">
        <v>301</v>
      </c>
      <c r="BD39" s="622" t="s">
        <v>100</v>
      </c>
      <c r="BF39" s="1837"/>
      <c r="BG39" s="1837"/>
      <c r="BI39" s="1218" t="s">
        <v>47</v>
      </c>
      <c r="BJ39" s="1218" t="s">
        <v>1388</v>
      </c>
      <c r="BK39" s="1218" t="s">
        <v>1389</v>
      </c>
      <c r="BL39" s="1219">
        <v>27.223427999999998</v>
      </c>
      <c r="BM39" s="1219">
        <v>-81.841499999999996</v>
      </c>
      <c r="BN39" s="1222" t="s">
        <v>1358</v>
      </c>
      <c r="BO39" s="1221" t="s">
        <v>611</v>
      </c>
      <c r="BP39" s="1219" t="str">
        <f t="shared" si="1"/>
        <v>DeSoto - Hermosa Arcadia</v>
      </c>
      <c r="BQ39" s="1219" t="str">
        <f t="shared" si="2"/>
        <v>Family</v>
      </c>
      <c r="BR39" s="1219" t="str">
        <f t="shared" si="3"/>
        <v>(27.223428, -81.8415)</v>
      </c>
      <c r="BS39" s="1221" t="str">
        <f t="shared" si="4"/>
        <v>&lt;31</v>
      </c>
    </row>
    <row r="40" spans="1:71" ht="14.5" customHeight="1">
      <c r="A40" s="1802">
        <v>33027</v>
      </c>
      <c r="B40" s="622" t="s">
        <v>36</v>
      </c>
      <c r="D40" s="622" t="s">
        <v>84</v>
      </c>
      <c r="E40" s="1"/>
      <c r="F40" s="622">
        <v>16</v>
      </c>
      <c r="G40" s="625" t="s">
        <v>32</v>
      </c>
      <c r="I40" s="622">
        <v>1102</v>
      </c>
      <c r="J40" s="622" t="s">
        <v>74</v>
      </c>
      <c r="L40" s="626">
        <v>18.14</v>
      </c>
      <c r="M40" s="626" t="s">
        <v>26</v>
      </c>
      <c r="N40" s="203"/>
      <c r="O40" s="627" t="str">
        <f t="array" ref="O40">IFERROR(IF($O$21="Metro",INDEX($F$23:$F$748,SMALL(IF((County=$G$23:$G$748),MATCH(ROW($G$23:$G$748),ROW($G$23:$G$748)),""),ROWS($A$23:A40))),INDEX($I$23:$I$52,SMALL(IF((County=$J$23:$J$52),MATCH(ROW($J$23:$J$52),ROW($J$23:$J$52)),""),ROWS($A$23:A40)))),"")</f>
        <v/>
      </c>
      <c r="Q40" s="627" t="str">
        <f t="array" ref="Q40">IFERROR(IF($Q$21="Yes",INDEX($L$23:$L$2323,SMALL(IF((County=$M$23:$M$2323),MATCH(ROW($M$23:$M$2323),ROW($M$23:$M$2323)),""),ROWS($A$23:A40))),""),"")</f>
        <v/>
      </c>
      <c r="S40" s="623">
        <v>32228</v>
      </c>
      <c r="T40" s="622" t="s">
        <v>49</v>
      </c>
      <c r="V40" s="622">
        <v>2.09</v>
      </c>
      <c r="W40" s="625" t="s">
        <v>78</v>
      </c>
      <c r="Y40" s="622">
        <v>9512</v>
      </c>
      <c r="Z40" s="622" t="s">
        <v>92</v>
      </c>
      <c r="AB40" s="626">
        <v>1.22</v>
      </c>
      <c r="AC40" s="626" t="s">
        <v>78</v>
      </c>
      <c r="AE40" s="1802">
        <v>33028</v>
      </c>
      <c r="AF40" s="622" t="s">
        <v>36</v>
      </c>
      <c r="AH40" s="622" t="s">
        <v>84</v>
      </c>
      <c r="AI40" s="1376"/>
      <c r="AJ40" s="622">
        <v>10</v>
      </c>
      <c r="AK40" s="625" t="s">
        <v>32</v>
      </c>
      <c r="AM40" s="622">
        <v>403</v>
      </c>
      <c r="AN40" s="622" t="s">
        <v>64</v>
      </c>
      <c r="AP40" s="1837"/>
      <c r="AQ40" s="1837"/>
      <c r="AS40" s="627" t="str">
        <f t="array" ref="AS40">IFERROR(IF($O$21="Metro",INDEX($AJ$23:$AJ$748,SMALL(IF((County=$AK$23:$AK$748),MATCH(ROW($AK$23:$AK$748),ROW($AK$23:$AK$748)),""),ROWS($A$23:$A40))),INDEX($AM$23:$AM$58,SMALL(IF((County=$AN$23:$AN$58),MATCH(ROW($AN$23:$AN$58),ROW($AN$23:$AN$58)),""),ROWS($A$23:$A40)))),"")</f>
        <v/>
      </c>
      <c r="AU40" s="627" t="str">
        <f t="array" ref="AU40">IFERROR(IF($Q$21="Yes",INDEX($AP$23:$AP$2323,SMALL(IF((County=$AQ$23:$AQ$2323),MATCH(ROW($AQ$23:$AQ$2323),ROW($AQ$23:$AQ$2323)),""),ROWS($A$23:$A40))),""),"")</f>
        <v/>
      </c>
      <c r="AW40" s="1802">
        <v>32226</v>
      </c>
      <c r="AX40" s="622" t="s">
        <v>49</v>
      </c>
      <c r="AZ40" s="622">
        <v>2.02</v>
      </c>
      <c r="BA40" s="622" t="s">
        <v>63</v>
      </c>
      <c r="BC40" s="622">
        <v>302</v>
      </c>
      <c r="BD40" s="622" t="s">
        <v>47</v>
      </c>
      <c r="BF40" s="1837"/>
      <c r="BG40" s="1837"/>
      <c r="BI40" s="1218" t="s">
        <v>47</v>
      </c>
      <c r="BJ40" s="1218" t="s">
        <v>1390</v>
      </c>
      <c r="BK40" s="1218" t="s">
        <v>1391</v>
      </c>
      <c r="BL40" s="1218">
        <v>27.212143999999999</v>
      </c>
      <c r="BM40" s="1218">
        <v>-81.840299999999999</v>
      </c>
      <c r="BN40" s="1231" t="s">
        <v>1358</v>
      </c>
      <c r="BO40" s="1222" t="s">
        <v>611</v>
      </c>
      <c r="BP40" s="1219" t="str">
        <f t="shared" si="1"/>
        <v>DeSoto - Meadow Park</v>
      </c>
      <c r="BQ40" s="1219" t="str">
        <f t="shared" si="2"/>
        <v>Family</v>
      </c>
      <c r="BR40" s="1219" t="str">
        <f t="shared" si="3"/>
        <v>(27.212144, -81.8403)</v>
      </c>
      <c r="BS40" s="1221" t="str">
        <f t="shared" si="4"/>
        <v>&lt;31</v>
      </c>
    </row>
    <row r="41" spans="1:71" ht="14.5" customHeight="1">
      <c r="A41" s="1802">
        <v>33028</v>
      </c>
      <c r="B41" s="622" t="s">
        <v>36</v>
      </c>
      <c r="D41" s="622" t="s">
        <v>92</v>
      </c>
      <c r="E41" s="1"/>
      <c r="F41" s="622">
        <v>18</v>
      </c>
      <c r="G41" s="625" t="s">
        <v>32</v>
      </c>
      <c r="I41" s="622">
        <v>1103.02</v>
      </c>
      <c r="J41" s="622" t="s">
        <v>74</v>
      </c>
      <c r="L41" s="626">
        <v>21.01</v>
      </c>
      <c r="M41" s="626" t="s">
        <v>26</v>
      </c>
      <c r="N41" s="203"/>
      <c r="O41" s="627" t="str">
        <f t="array" ref="O41">IFERROR(IF($O$21="Metro",INDEX($F$23:$F$748,SMALL(IF((County=$G$23:$G$748),MATCH(ROW($G$23:$G$748),ROW($G$23:$G$748)),""),ROWS($A$23:A41))),INDEX($I$23:$I$52,SMALL(IF((County=$J$23:$J$52),MATCH(ROW($J$23:$J$52),ROW($J$23:$J$52)),""),ROWS($A$23:A41)))),"")</f>
        <v/>
      </c>
      <c r="Q41" s="627" t="str">
        <f t="array" ref="Q41">IFERROR(IF($Q$21="Yes",INDEX($L$23:$L$2323,SMALL(IF((County=$M$23:$M$2323),MATCH(ROW($M$23:$M$2323),ROW($M$23:$M$2323)),""),ROWS($A$23:A41))),""),"")</f>
        <v/>
      </c>
      <c r="S41" s="623">
        <v>32256</v>
      </c>
      <c r="T41" s="622" t="s">
        <v>49</v>
      </c>
      <c r="V41" s="622">
        <v>2.12</v>
      </c>
      <c r="W41" s="625" t="s">
        <v>78</v>
      </c>
      <c r="Y41" s="622">
        <v>9514.01</v>
      </c>
      <c r="Z41" s="622" t="s">
        <v>92</v>
      </c>
      <c r="AB41" s="626">
        <v>1.23</v>
      </c>
      <c r="AC41" s="626" t="s">
        <v>78</v>
      </c>
      <c r="AE41" s="1802">
        <v>33029</v>
      </c>
      <c r="AF41" s="622" t="s">
        <v>36</v>
      </c>
      <c r="AH41" s="622" t="s">
        <v>92</v>
      </c>
      <c r="AI41" s="1376"/>
      <c r="AJ41" s="622">
        <v>11</v>
      </c>
      <c r="AK41" s="625" t="s">
        <v>32</v>
      </c>
      <c r="AM41" s="622">
        <v>600</v>
      </c>
      <c r="AN41" s="622" t="s">
        <v>66</v>
      </c>
      <c r="AP41" s="1837"/>
      <c r="AQ41" s="1837"/>
      <c r="AS41" s="627" t="str">
        <f t="array" ref="AS41">IFERROR(IF($O$21="Metro",INDEX($AJ$23:$AJ$748,SMALL(IF((County=$AK$23:$AK$748),MATCH(ROW($AK$23:$AK$748),ROW($AK$23:$AK$748)),""),ROWS($A$23:$A41))),INDEX($AM$23:$AM$58,SMALL(IF((County=$AN$23:$AN$58),MATCH(ROW($AN$23:$AN$58),ROW($AN$23:$AN$58)),""),ROWS($A$23:$A41)))),"")</f>
        <v/>
      </c>
      <c r="AU41" s="627" t="str">
        <f t="array" ref="AU41">IFERROR(IF($Q$21="Yes",INDEX($AP$23:$AP$2323,SMALL(IF((County=$AQ$23:$AQ$2323),MATCH(ROW($AQ$23:$AQ$2323),ROW($AQ$23:$AQ$2323)),""),ROWS($A$23:$A41))),""),"")</f>
        <v/>
      </c>
      <c r="AW41" s="1802">
        <v>32227</v>
      </c>
      <c r="AX41" s="622" t="s">
        <v>49</v>
      </c>
      <c r="AZ41" s="622">
        <v>2.02</v>
      </c>
      <c r="BA41" s="625" t="s">
        <v>76</v>
      </c>
      <c r="BC41" s="622">
        <v>302</v>
      </c>
      <c r="BD41" s="622" t="s">
        <v>59</v>
      </c>
      <c r="BF41" s="1837"/>
      <c r="BG41" s="1837"/>
      <c r="BI41" s="1218" t="s">
        <v>51</v>
      </c>
      <c r="BJ41" s="1218" t="s">
        <v>1392</v>
      </c>
      <c r="BK41" s="1218" t="s">
        <v>1393</v>
      </c>
      <c r="BL41" s="1219">
        <v>30.513259999999999</v>
      </c>
      <c r="BM41" s="1219">
        <v>-87.209091000000001</v>
      </c>
      <c r="BN41" s="1222" t="s">
        <v>1358</v>
      </c>
      <c r="BO41" s="1222" t="s">
        <v>610</v>
      </c>
      <c r="BP41" s="1219" t="str">
        <f t="shared" si="1"/>
        <v>Escambia - Tranquility at Ferry Pass</v>
      </c>
      <c r="BQ41" s="1219" t="str">
        <f t="shared" si="2"/>
        <v>Family</v>
      </c>
      <c r="BR41" s="1219" t="str">
        <f t="shared" si="3"/>
        <v>(30.51326, -87.209091)</v>
      </c>
      <c r="BS41" s="1221" t="str">
        <f t="shared" si="4"/>
        <v>&gt;30</v>
      </c>
    </row>
    <row r="42" spans="1:71" ht="14.5" customHeight="1">
      <c r="A42" s="1802">
        <v>33029</v>
      </c>
      <c r="B42" s="622" t="s">
        <v>36</v>
      </c>
      <c r="D42" s="622" t="s">
        <v>99</v>
      </c>
      <c r="E42" s="1"/>
      <c r="F42" s="622">
        <v>20</v>
      </c>
      <c r="G42" s="625" t="s">
        <v>32</v>
      </c>
      <c r="I42" s="622">
        <v>9704</v>
      </c>
      <c r="J42" s="622" t="s">
        <v>80</v>
      </c>
      <c r="L42" s="626">
        <v>21.02</v>
      </c>
      <c r="M42" s="626" t="s">
        <v>26</v>
      </c>
      <c r="N42" s="203"/>
      <c r="O42" s="627" t="str">
        <f t="array" ref="O42">IFERROR(IF($O$21="Metro",INDEX($F$23:$F$748,SMALL(IF((County=$G$23:$G$748),MATCH(ROW($G$23:$G$748),ROW($G$23:$G$748)),""),ROWS($A$23:A42))),INDEX($I$23:$I$52,SMALL(IF((County=$J$23:$J$52),MATCH(ROW($J$23:$J$52),ROW($J$23:$J$52)),""),ROWS($A$23:A42)))),"")</f>
        <v/>
      </c>
      <c r="Q42" s="627" t="str">
        <f t="array" ref="Q42">IFERROR(IF($Q$21="Yes",INDEX($L$23:$L$2323,SMALL(IF((County=$M$23:$M$2323),MATCH(ROW($M$23:$M$2323),ROW($M$23:$M$2323)),""),ROWS($A$23:A42))),""),"")</f>
        <v/>
      </c>
      <c r="S42" s="623">
        <v>32258</v>
      </c>
      <c r="T42" s="622" t="s">
        <v>49</v>
      </c>
      <c r="V42" s="622">
        <v>2.17</v>
      </c>
      <c r="W42" s="625" t="s">
        <v>78</v>
      </c>
      <c r="Y42" s="622">
        <v>9602</v>
      </c>
      <c r="Z42" s="622" t="s">
        <v>58</v>
      </c>
      <c r="AB42" s="626">
        <v>1.25</v>
      </c>
      <c r="AC42" s="626" t="s">
        <v>78</v>
      </c>
      <c r="AE42" s="1802">
        <v>33062</v>
      </c>
      <c r="AF42" s="622" t="s">
        <v>36</v>
      </c>
      <c r="AH42" s="622" t="s">
        <v>99</v>
      </c>
      <c r="AI42" s="1376"/>
      <c r="AJ42" s="622">
        <v>16</v>
      </c>
      <c r="AK42" s="625" t="s">
        <v>32</v>
      </c>
      <c r="AM42" s="622">
        <v>0</v>
      </c>
      <c r="AN42" s="622" t="s">
        <v>73</v>
      </c>
      <c r="AP42" s="1837"/>
      <c r="AQ42" s="1837"/>
      <c r="AS42" s="627" t="str">
        <f t="array" ref="AS42">IFERROR(IF($O$21="Metro",INDEX($AJ$23:$AJ$748,SMALL(IF((County=$AK$23:$AK$748),MATCH(ROW($AK$23:$AK$748),ROW($AK$23:$AK$748)),""),ROWS($A$23:$A42))),INDEX($AM$23:$AM$58,SMALL(IF((County=$AN$23:$AN$58),MATCH(ROW($AN$23:$AN$58),ROW($AN$23:$AN$58)),""),ROWS($A$23:$A42)))),"")</f>
        <v/>
      </c>
      <c r="AU42" s="627" t="str">
        <f t="array" ref="AU42">IFERROR(IF($Q$21="Yes",INDEX($AP$23:$AP$2323,SMALL(IF((County=$AQ$23:$AQ$2323),MATCH(ROW($AQ$23:$AQ$2323),ROW($AQ$23:$AQ$2323)),""),ROWS($A$23:$A42))),""),"")</f>
        <v/>
      </c>
      <c r="AW42" s="1802">
        <v>32228</v>
      </c>
      <c r="AX42" s="622" t="s">
        <v>49</v>
      </c>
      <c r="AZ42" s="622">
        <v>2.0299999999999998</v>
      </c>
      <c r="BA42" s="625" t="s">
        <v>75</v>
      </c>
      <c r="BC42" s="622">
        <v>302</v>
      </c>
      <c r="BD42" s="622" t="s">
        <v>74</v>
      </c>
      <c r="BF42" s="1837"/>
      <c r="BG42" s="1837"/>
      <c r="BI42" s="1218" t="s">
        <v>54</v>
      </c>
      <c r="BJ42" s="1218" t="s">
        <v>1394</v>
      </c>
      <c r="BK42" s="1218" t="s">
        <v>1395</v>
      </c>
      <c r="BL42" s="1225">
        <v>30.558774</v>
      </c>
      <c r="BM42" s="1226">
        <v>-84.593761999999998</v>
      </c>
      <c r="BN42" s="1222" t="s">
        <v>1358</v>
      </c>
      <c r="BO42" s="1221" t="s">
        <v>610</v>
      </c>
      <c r="BP42" s="1219" t="str">
        <f t="shared" si="1"/>
        <v>Gadsden - Arbours at Quincy</v>
      </c>
      <c r="BQ42" s="1219" t="str">
        <f t="shared" si="2"/>
        <v>Family</v>
      </c>
      <c r="BR42" s="1219" t="str">
        <f t="shared" si="3"/>
        <v>(30.558774, -84.593762)</v>
      </c>
      <c r="BS42" s="1221" t="str">
        <f t="shared" si="4"/>
        <v>&gt;30</v>
      </c>
    </row>
    <row r="43" spans="1:71" ht="14.5" customHeight="1">
      <c r="A43" s="1802">
        <v>33062</v>
      </c>
      <c r="B43" s="622" t="s">
        <v>36</v>
      </c>
      <c r="D43" s="622" t="s">
        <v>100</v>
      </c>
      <c r="E43" s="1"/>
      <c r="F43" s="622">
        <v>22</v>
      </c>
      <c r="G43" s="625" t="s">
        <v>32</v>
      </c>
      <c r="I43" s="622">
        <v>9502.01</v>
      </c>
      <c r="J43" s="622" t="s">
        <v>92</v>
      </c>
      <c r="L43" s="626">
        <v>22.01</v>
      </c>
      <c r="M43" s="626" t="s">
        <v>26</v>
      </c>
      <c r="N43" s="203"/>
      <c r="O43" s="627" t="str">
        <f t="array" ref="O43">IFERROR(IF($O$21="Metro",INDEX($F$23:$F$748,SMALL(IF((County=$G$23:$G$748),MATCH(ROW($G$23:$G$748),ROW($G$23:$G$748)),""),ROWS($A$23:A43))),INDEX($I$23:$I$52,SMALL(IF((County=$J$23:$J$52),MATCH(ROW($J$23:$J$52),ROW($J$23:$J$52)),""),ROWS($A$23:A43)))),"")</f>
        <v/>
      </c>
      <c r="Q43" s="627" t="str">
        <f t="array" ref="Q43">IFERROR(IF($Q$21="Yes",INDEX($L$23:$L$2323,SMALL(IF((County=$M$23:$M$2323),MATCH(ROW($M$23:$M$2323),ROW($M$23:$M$2323)),""),ROWS($A$23:A43))),""),"")</f>
        <v/>
      </c>
      <c r="S43" s="623">
        <v>32259</v>
      </c>
      <c r="T43" s="622" t="s">
        <v>93</v>
      </c>
      <c r="V43" s="622">
        <v>2.1800000000000002</v>
      </c>
      <c r="W43" s="625" t="s">
        <v>78</v>
      </c>
      <c r="Y43" s="622">
        <v>9603</v>
      </c>
      <c r="Z43" s="622" t="s">
        <v>58</v>
      </c>
      <c r="AB43" s="626">
        <v>1.26</v>
      </c>
      <c r="AC43" s="626" t="s">
        <v>78</v>
      </c>
      <c r="AE43" s="1802">
        <v>33063</v>
      </c>
      <c r="AF43" s="622" t="s">
        <v>36</v>
      </c>
      <c r="AH43" s="622" t="s">
        <v>100</v>
      </c>
      <c r="AI43" s="1376"/>
      <c r="AJ43" s="622">
        <v>18</v>
      </c>
      <c r="AK43" s="625" t="s">
        <v>32</v>
      </c>
      <c r="AM43" s="622">
        <v>200</v>
      </c>
      <c r="AN43" s="622" t="s">
        <v>74</v>
      </c>
      <c r="AP43" s="1837"/>
      <c r="AQ43" s="1837"/>
      <c r="AS43" s="627" t="str">
        <f t="array" ref="AS43">IFERROR(IF($O$21="Metro",INDEX($AJ$23:$AJ$748,SMALL(IF((County=$AK$23:$AK$748),MATCH(ROW($AK$23:$AK$748),ROW($AK$23:$AK$748)),""),ROWS($A$23:$A43))),INDEX($AM$23:$AM$58,SMALL(IF((County=$AN$23:$AN$58),MATCH(ROW($AN$23:$AN$58),ROW($AN$23:$AN$58)),""),ROWS($A$23:$A43)))),"")</f>
        <v/>
      </c>
      <c r="AU43" s="627" t="str">
        <f t="array" ref="AU43">IFERROR(IF($Q$21="Yes",INDEX($AP$23:$AP$2323,SMALL(IF((County=$AQ$23:$AQ$2323),MATCH(ROW($AQ$23:$AQ$2323),ROW($AQ$23:$AQ$2323)),""),ROWS($A$23:$A43))),""),"")</f>
        <v/>
      </c>
      <c r="AW43" s="1802">
        <v>32250</v>
      </c>
      <c r="AX43" s="622" t="s">
        <v>49</v>
      </c>
      <c r="AZ43" s="622">
        <v>2.0299999999999998</v>
      </c>
      <c r="BA43" s="625" t="s">
        <v>76</v>
      </c>
      <c r="BC43" s="622">
        <v>302</v>
      </c>
      <c r="BD43" s="622" t="s">
        <v>100</v>
      </c>
      <c r="BF43" s="1837"/>
      <c r="BG43" s="1837"/>
      <c r="BI43" s="1223" t="s">
        <v>54</v>
      </c>
      <c r="BJ43" s="1223" t="s">
        <v>1396</v>
      </c>
      <c r="BK43" s="1218" t="s">
        <v>1397</v>
      </c>
      <c r="BL43" s="1218">
        <v>30.558461999999999</v>
      </c>
      <c r="BM43" s="1218">
        <v>-84.598144000000005</v>
      </c>
      <c r="BN43" s="1222" t="s">
        <v>1358</v>
      </c>
      <c r="BO43" s="1224" t="s">
        <v>610</v>
      </c>
      <c r="BP43" s="1219" t="str">
        <f t="shared" si="1"/>
        <v>Gadsden - Cross Creek Gardens at Quincy</v>
      </c>
      <c r="BQ43" s="1219" t="str">
        <f t="shared" si="2"/>
        <v>Family</v>
      </c>
      <c r="BR43" s="1219" t="str">
        <f t="shared" si="3"/>
        <v>(30.558462, -84.598144)</v>
      </c>
      <c r="BS43" s="1221" t="str">
        <f t="shared" si="4"/>
        <v>&gt;30</v>
      </c>
    </row>
    <row r="44" spans="1:71" ht="14.5" customHeight="1">
      <c r="A44" s="1802">
        <v>33063</v>
      </c>
      <c r="B44" s="622" t="s">
        <v>36</v>
      </c>
      <c r="D44" s="622" t="s">
        <v>101</v>
      </c>
      <c r="E44" s="1"/>
      <c r="F44" s="622">
        <v>24</v>
      </c>
      <c r="G44" s="625" t="s">
        <v>32</v>
      </c>
      <c r="I44" s="622">
        <v>9507</v>
      </c>
      <c r="J44" s="622" t="s">
        <v>92</v>
      </c>
      <c r="L44" s="626">
        <v>22.02</v>
      </c>
      <c r="M44" s="626" t="s">
        <v>26</v>
      </c>
      <c r="N44" s="203"/>
      <c r="O44" s="627" t="str">
        <f t="array" ref="O44">IFERROR(IF($O$21="Metro",INDEX($F$23:$F$748,SMALL(IF((County=$G$23:$G$748),MATCH(ROW($G$23:$G$748),ROW($G$23:$G$748)),""),ROWS($A$23:A44))),INDEX($I$23:$I$52,SMALL(IF((County=$J$23:$J$52),MATCH(ROW($J$23:$J$52),ROW($J$23:$J$52)),""),ROWS($A$23:A44)))),"")</f>
        <v/>
      </c>
      <c r="Q44" s="627" t="str">
        <f t="array" ref="Q44">IFERROR(IF($Q$21="Yes",INDEX($L$23:$L$2323,SMALL(IF((County=$M$23:$M$2323),MATCH(ROW($M$23:$M$2323),ROW($M$23:$M$2323)),""),ROWS($A$23:A44))),""),"")</f>
        <v/>
      </c>
      <c r="S44" s="623">
        <v>32266</v>
      </c>
      <c r="T44" s="622" t="s">
        <v>49</v>
      </c>
      <c r="V44" s="622">
        <v>2.19</v>
      </c>
      <c r="W44" s="625" t="s">
        <v>78</v>
      </c>
      <c r="Y44" s="622">
        <v>9604</v>
      </c>
      <c r="Z44" s="622" t="s">
        <v>64</v>
      </c>
      <c r="AB44" s="626">
        <v>1.27</v>
      </c>
      <c r="AC44" s="626" t="s">
        <v>78</v>
      </c>
      <c r="AE44" s="1802">
        <v>33067</v>
      </c>
      <c r="AF44" s="622" t="s">
        <v>36</v>
      </c>
      <c r="AH44" s="622" t="s">
        <v>101</v>
      </c>
      <c r="AI44" s="1376"/>
      <c r="AJ44" s="622">
        <v>20</v>
      </c>
      <c r="AK44" s="625" t="s">
        <v>32</v>
      </c>
      <c r="AM44" s="622">
        <v>302</v>
      </c>
      <c r="AN44" s="622" t="s">
        <v>74</v>
      </c>
      <c r="AP44" s="1837"/>
      <c r="AQ44" s="1837"/>
      <c r="AS44" s="627" t="str">
        <f t="array" ref="AS44">IFERROR(IF($O$21="Metro",INDEX($AJ$23:$AJ$748,SMALL(IF((County=$AK$23:$AK$748),MATCH(ROW($AK$23:$AK$748),ROW($AK$23:$AK$748)),""),ROWS($A$23:$A44))),INDEX($AM$23:$AM$58,SMALL(IF((County=$AN$23:$AN$58),MATCH(ROW($AN$23:$AN$58),ROW($AN$23:$AN$58)),""),ROWS($A$23:$A44)))),"")</f>
        <v/>
      </c>
      <c r="AU44" s="627" t="str">
        <f t="array" ref="AU44">IFERROR(IF($Q$21="Yes",INDEX($AP$23:$AP$2323,SMALL(IF((County=$AQ$23:$AQ$2323),MATCH(ROW($AQ$23:$AQ$2323),ROW($AQ$23:$AQ$2323)),""),ROWS($A$23:$A44))),""),"")</f>
        <v/>
      </c>
      <c r="AW44" s="1802">
        <v>32256</v>
      </c>
      <c r="AX44" s="622" t="s">
        <v>49</v>
      </c>
      <c r="AZ44" s="622">
        <v>2.0299999999999998</v>
      </c>
      <c r="BA44" s="625" t="s">
        <v>88</v>
      </c>
      <c r="BC44" s="622">
        <v>302</v>
      </c>
      <c r="BD44" s="622" t="s">
        <v>105</v>
      </c>
      <c r="BF44" s="1837"/>
      <c r="BG44" s="1837"/>
      <c r="BI44" s="1218" t="s">
        <v>59</v>
      </c>
      <c r="BJ44" s="1218" t="s">
        <v>1398</v>
      </c>
      <c r="BK44" s="1218" t="s">
        <v>1399</v>
      </c>
      <c r="BL44" s="1219">
        <v>27.497457000000001</v>
      </c>
      <c r="BM44" s="1219">
        <v>-81.786286000000004</v>
      </c>
      <c r="BN44" s="1220" t="s">
        <v>1358</v>
      </c>
      <c r="BO44" s="1221" t="s">
        <v>611</v>
      </c>
      <c r="BP44" s="1219" t="str">
        <f t="shared" si="1"/>
        <v>Hardee - Casa San Alfonso</v>
      </c>
      <c r="BQ44" s="1219" t="str">
        <f t="shared" si="2"/>
        <v>Family</v>
      </c>
      <c r="BR44" s="1219" t="str">
        <f t="shared" si="3"/>
        <v>(27.497457, -81.786286)</v>
      </c>
      <c r="BS44" s="1221" t="str">
        <f t="shared" si="4"/>
        <v>&lt;31</v>
      </c>
    </row>
    <row r="45" spans="1:71" ht="14.5" customHeight="1">
      <c r="A45" s="1802">
        <v>33067</v>
      </c>
      <c r="B45" s="622" t="s">
        <v>36</v>
      </c>
      <c r="D45" s="622" t="s">
        <v>105</v>
      </c>
      <c r="E45" s="1"/>
      <c r="F45" s="622">
        <v>604</v>
      </c>
      <c r="G45" s="625" t="s">
        <v>35</v>
      </c>
      <c r="I45" s="622">
        <v>9508</v>
      </c>
      <c r="J45" s="622" t="s">
        <v>92</v>
      </c>
      <c r="L45" s="626">
        <v>22.04</v>
      </c>
      <c r="M45" s="626" t="s">
        <v>26</v>
      </c>
      <c r="N45" s="203"/>
      <c r="O45" s="627" t="str">
        <f t="array" ref="O45">IFERROR(IF($O$21="Metro",INDEX($F$23:$F$748,SMALL(IF((County=$G$23:$G$748),MATCH(ROW($G$23:$G$748),ROW($G$23:$G$748)),""),ROWS($A$23:A45))),INDEX($I$23:$I$52,SMALL(IF((County=$J$23:$J$52),MATCH(ROW($J$23:$J$52),ROW($J$23:$J$52)),""),ROWS($A$23:A45)))),"")</f>
        <v/>
      </c>
      <c r="Q45" s="627" t="str">
        <f t="array" ref="Q45">IFERROR(IF($Q$21="Yes",INDEX($L$23:$L$2323,SMALL(IF((County=$M$23:$M$2323),MATCH(ROW($M$23:$M$2323),ROW($M$23:$M$2323)),""),ROWS($A$23:A45))),""),"")</f>
        <v/>
      </c>
      <c r="S45" s="623">
        <v>32317</v>
      </c>
      <c r="T45" s="622" t="s">
        <v>71</v>
      </c>
      <c r="V45" s="622">
        <v>2.2000000000000002</v>
      </c>
      <c r="W45" s="625" t="s">
        <v>78</v>
      </c>
      <c r="Y45" s="622">
        <v>9701.02</v>
      </c>
      <c r="Z45" s="622" t="s">
        <v>59</v>
      </c>
      <c r="AB45" s="626">
        <v>1.28</v>
      </c>
      <c r="AC45" s="626" t="s">
        <v>78</v>
      </c>
      <c r="AE45" s="1802">
        <v>33068</v>
      </c>
      <c r="AF45" s="622" t="s">
        <v>36</v>
      </c>
      <c r="AH45" s="622" t="s">
        <v>105</v>
      </c>
      <c r="AI45" s="1376"/>
      <c r="AJ45" s="622">
        <v>22</v>
      </c>
      <c r="AK45" s="625" t="s">
        <v>32</v>
      </c>
      <c r="AM45" s="622">
        <v>402</v>
      </c>
      <c r="AN45" s="622" t="s">
        <v>84</v>
      </c>
      <c r="AP45" s="1837"/>
      <c r="AQ45" s="1837"/>
      <c r="AS45" s="627" t="str">
        <f t="array" ref="AS45">IFERROR(IF($O$21="Metro",INDEX($AJ$23:$AJ$748,SMALL(IF((County=$AK$23:$AK$748),MATCH(ROW($AK$23:$AK$748),ROW($AK$23:$AK$748)),""),ROWS($A$23:$A45))),INDEX($AM$23:$AM$58,SMALL(IF((County=$AN$23:$AN$58),MATCH(ROW($AN$23:$AN$58),ROW($AN$23:$AN$58)),""),ROWS($A$23:$A45)))),"")</f>
        <v/>
      </c>
      <c r="AU45" s="627" t="str">
        <f t="array" ref="AU45">IFERROR(IF($Q$21="Yes",INDEX($AP$23:$AP$2323,SMALL(IF((County=$AQ$23:$AQ$2323),MATCH(ROW($AQ$23:$AQ$2323),ROW($AQ$23:$AQ$2323)),""),ROWS($A$23:$A45))),""),"")</f>
        <v/>
      </c>
      <c r="AW45" s="1802">
        <v>32258</v>
      </c>
      <c r="AX45" s="622" t="s">
        <v>49</v>
      </c>
      <c r="AZ45" s="622">
        <v>2.04</v>
      </c>
      <c r="BA45" s="625" t="s">
        <v>75</v>
      </c>
      <c r="BC45" s="622">
        <v>400</v>
      </c>
      <c r="BD45" s="622" t="s">
        <v>45</v>
      </c>
      <c r="BF45" s="1837"/>
      <c r="BG45" s="1837"/>
      <c r="BI45" s="1218" t="s">
        <v>60</v>
      </c>
      <c r="BJ45" s="1218" t="s">
        <v>1400</v>
      </c>
      <c r="BK45" s="1218" t="s">
        <v>1401</v>
      </c>
      <c r="BL45" s="1219">
        <v>26.749832000000001</v>
      </c>
      <c r="BM45" s="1219">
        <v>-81.441800999999998</v>
      </c>
      <c r="BN45" s="1222" t="s">
        <v>1358</v>
      </c>
      <c r="BO45" s="1222" t="s">
        <v>611</v>
      </c>
      <c r="BP45" s="1219" t="str">
        <f t="shared" si="1"/>
        <v>Hendry - Pollywog Creek Mews</v>
      </c>
      <c r="BQ45" s="1219" t="str">
        <f t="shared" si="2"/>
        <v>Family</v>
      </c>
      <c r="BR45" s="1219" t="str">
        <f t="shared" si="3"/>
        <v>(26.749832, -81.441801)</v>
      </c>
      <c r="BS45" s="1221" t="str">
        <f t="shared" si="4"/>
        <v>&lt;31</v>
      </c>
    </row>
    <row r="46" spans="1:71" ht="14.5" customHeight="1">
      <c r="A46" s="1802">
        <v>33071</v>
      </c>
      <c r="B46" s="622" t="s">
        <v>36</v>
      </c>
      <c r="E46" s="1"/>
      <c r="F46" s="622">
        <v>607</v>
      </c>
      <c r="G46" s="625" t="s">
        <v>35</v>
      </c>
      <c r="I46" s="622">
        <v>9509</v>
      </c>
      <c r="J46" s="622" t="s">
        <v>92</v>
      </c>
      <c r="L46" s="626">
        <v>22.05</v>
      </c>
      <c r="M46" s="626" t="s">
        <v>26</v>
      </c>
      <c r="N46" s="203"/>
      <c r="O46" s="627" t="str">
        <f t="array" ref="O46">IFERROR(IF($O$21="Metro",INDEX($F$23:$F$748,SMALL(IF((County=$G$23:$G$748),MATCH(ROW($G$23:$G$748),ROW($G$23:$G$748)),""),ROWS($A$23:A46))),INDEX($I$23:$I$52,SMALL(IF((County=$J$23:$J$52),MATCH(ROW($J$23:$J$52),ROW($J$23:$J$52)),""),ROWS($A$23:A46)))),"")</f>
        <v/>
      </c>
      <c r="Q46" s="627" t="str">
        <f t="array" ref="Q46">IFERROR(IF($Q$21="Yes",INDEX($L$23:$L$2323,SMALL(IF((County=$M$23:$M$2323),MATCH(ROW($M$23:$M$2323),ROW($M$23:$M$2323)),""),ROWS($A$23:A46))),""),"")</f>
        <v/>
      </c>
      <c r="S46" s="623">
        <v>32403</v>
      </c>
      <c r="T46" s="622" t="s">
        <v>32</v>
      </c>
      <c r="V46" s="622">
        <v>3</v>
      </c>
      <c r="W46" s="622" t="s">
        <v>49</v>
      </c>
      <c r="Y46" s="622">
        <v>9701.0300000000007</v>
      </c>
      <c r="Z46" s="622" t="s">
        <v>105</v>
      </c>
      <c r="AB46" s="626">
        <v>1.29</v>
      </c>
      <c r="AC46" s="626" t="s">
        <v>78</v>
      </c>
      <c r="AE46" s="1802">
        <v>33071</v>
      </c>
      <c r="AF46" s="622" t="s">
        <v>36</v>
      </c>
      <c r="AI46" s="1376"/>
      <c r="AJ46" s="622">
        <v>24</v>
      </c>
      <c r="AK46" s="625" t="s">
        <v>32</v>
      </c>
      <c r="AM46" s="622">
        <v>201</v>
      </c>
      <c r="AN46" s="622" t="s">
        <v>92</v>
      </c>
      <c r="AP46" s="1837"/>
      <c r="AQ46" s="1837"/>
      <c r="AS46" s="627" t="str">
        <f t="array" ref="AS46">IFERROR(IF($O$21="Metro",INDEX($AJ$23:$AJ$748,SMALL(IF((County=$AK$23:$AK$748),MATCH(ROW($AK$23:$AK$748),ROW($AK$23:$AK$748)),""),ROWS($A$23:$A46))),INDEX($AM$23:$AM$58,SMALL(IF((County=$AN$23:$AN$58),MATCH(ROW($AN$23:$AN$58),ROW($AN$23:$AN$58)),""),ROWS($A$23:$A46)))),"")</f>
        <v/>
      </c>
      <c r="AU46" s="627" t="str">
        <f t="array" ref="AU46">IFERROR(IF($Q$21="Yes",INDEX($AP$23:$AP$2323,SMALL(IF((County=$AQ$23:$AQ$2323),MATCH(ROW($AQ$23:$AQ$2323),ROW($AQ$23:$AQ$2323)),""),ROWS($A$23:$A46))),""),"")</f>
        <v/>
      </c>
      <c r="AW46" s="1802">
        <v>32259</v>
      </c>
      <c r="AX46" s="622" t="s">
        <v>93</v>
      </c>
      <c r="AZ46" s="622">
        <v>2.06</v>
      </c>
      <c r="BA46" s="622" t="s">
        <v>78</v>
      </c>
      <c r="BC46" s="622">
        <v>401</v>
      </c>
      <c r="BD46" s="622" t="s">
        <v>59</v>
      </c>
      <c r="BF46" s="1837"/>
      <c r="BG46" s="1837"/>
      <c r="BI46" s="1223" t="s">
        <v>61</v>
      </c>
      <c r="BJ46" s="1223" t="s">
        <v>1402</v>
      </c>
      <c r="BK46" s="1218" t="s">
        <v>1403</v>
      </c>
      <c r="BL46" s="1218">
        <v>28.544394</v>
      </c>
      <c r="BM46" s="1218">
        <v>-82.411113</v>
      </c>
      <c r="BN46" s="1222" t="s">
        <v>1355</v>
      </c>
      <c r="BO46" s="1224" t="s">
        <v>610</v>
      </c>
      <c r="BP46" s="1219" t="str">
        <f t="shared" si="1"/>
        <v>Hernando - Rochester Park</v>
      </c>
      <c r="BQ46" s="1219" t="str">
        <f t="shared" si="2"/>
        <v>Elderly, Non-ALF</v>
      </c>
      <c r="BR46" s="1219" t="str">
        <f t="shared" si="3"/>
        <v>(28.544394, -82.411113)</v>
      </c>
      <c r="BS46" s="1221" t="str">
        <f t="shared" si="4"/>
        <v>&gt;30</v>
      </c>
    </row>
    <row r="47" spans="1:71" ht="14.5" customHeight="1">
      <c r="A47" s="1802">
        <v>33073</v>
      </c>
      <c r="B47" s="622" t="s">
        <v>36</v>
      </c>
      <c r="D47" s="1822" t="s">
        <v>189</v>
      </c>
      <c r="E47" s="1"/>
      <c r="F47" s="622">
        <v>610.02</v>
      </c>
      <c r="G47" s="625" t="s">
        <v>35</v>
      </c>
      <c r="I47" s="622">
        <v>9512</v>
      </c>
      <c r="J47" s="622" t="s">
        <v>92</v>
      </c>
      <c r="L47" s="626">
        <v>22.07</v>
      </c>
      <c r="M47" s="626" t="s">
        <v>26</v>
      </c>
      <c r="N47" s="203"/>
      <c r="O47" s="627" t="str">
        <f t="array" ref="O47">IFERROR(IF($O$21="Metro",INDEX($F$23:$F$748,SMALL(IF((County=$G$23:$G$748),MATCH(ROW($G$23:$G$748),ROW($G$23:$G$748)),""),ROWS($A$23:A47))),INDEX($I$23:$I$52,SMALL(IF((County=$J$23:$J$52),MATCH(ROW($J$23:$J$52),ROW($J$23:$J$52)),""),ROWS($A$23:A47)))),"")</f>
        <v/>
      </c>
      <c r="Q47" s="627" t="str">
        <f t="array" ref="Q47">IFERROR(IF($Q$21="Yes",INDEX($L$23:$L$2323,SMALL(IF((County=$M$23:$M$2323),MATCH(ROW($M$23:$M$2323),ROW($M$23:$M$2323)),""),ROWS($A$23:A47))),""),"")</f>
        <v/>
      </c>
      <c r="S47" s="623">
        <v>32407</v>
      </c>
      <c r="T47" s="622" t="s">
        <v>32</v>
      </c>
      <c r="V47" s="622">
        <v>3</v>
      </c>
      <c r="W47" s="625" t="s">
        <v>51</v>
      </c>
      <c r="Y47" s="622">
        <v>9702</v>
      </c>
      <c r="Z47" s="622" t="s">
        <v>72</v>
      </c>
      <c r="AB47" s="626">
        <v>1.3</v>
      </c>
      <c r="AC47" s="626" t="s">
        <v>78</v>
      </c>
      <c r="AE47" s="1802">
        <v>33073</v>
      </c>
      <c r="AF47" s="622" t="s">
        <v>36</v>
      </c>
      <c r="AI47" s="1376"/>
      <c r="AJ47" s="622">
        <v>607</v>
      </c>
      <c r="AK47" s="625" t="s">
        <v>35</v>
      </c>
      <c r="AM47" s="622">
        <v>202</v>
      </c>
      <c r="AN47" s="622" t="s">
        <v>92</v>
      </c>
      <c r="AP47" s="1837"/>
      <c r="AQ47" s="1837"/>
      <c r="AS47" s="627" t="str">
        <f t="array" ref="AS47">IFERROR(IF($O$21="Metro",INDEX($AJ$23:$AJ$748,SMALL(IF((County=$AK$23:$AK$748),MATCH(ROW($AK$23:$AK$748),ROW($AK$23:$AK$748)),""),ROWS($A$23:$A47))),INDEX($AM$23:$AM$58,SMALL(IF((County=$AN$23:$AN$58),MATCH(ROW($AN$23:$AN$58),ROW($AN$23:$AN$58)),""),ROWS($A$23:$A47)))),"")</f>
        <v/>
      </c>
      <c r="AU47" s="627" t="str">
        <f t="array" ref="AU47">IFERROR(IF($Q$21="Yes",INDEX($AP$23:$AP$2323,SMALL(IF((County=$AQ$23:$AQ$2323),MATCH(ROW($AQ$23:$AQ$2323),ROW($AQ$23:$AQ$2323)),""),ROWS($A$23:$A47))),""),"")</f>
        <v/>
      </c>
      <c r="AW47" s="1802">
        <v>32266</v>
      </c>
      <c r="AX47" s="622" t="s">
        <v>49</v>
      </c>
      <c r="AZ47" s="622">
        <v>2.12</v>
      </c>
      <c r="BA47" s="625" t="s">
        <v>78</v>
      </c>
      <c r="BC47" s="622">
        <v>401</v>
      </c>
      <c r="BD47" s="622" t="s">
        <v>64</v>
      </c>
      <c r="BF47" s="1837"/>
      <c r="BG47" s="1837"/>
      <c r="BI47" s="1218" t="s">
        <v>65</v>
      </c>
      <c r="BJ47" s="1218" t="s">
        <v>1404</v>
      </c>
      <c r="BK47" s="1218" t="s">
        <v>1405</v>
      </c>
      <c r="BL47" s="1219">
        <v>27.650488899999999</v>
      </c>
      <c r="BM47" s="1219">
        <v>-80.397827800000002</v>
      </c>
      <c r="BN47" s="1220" t="s">
        <v>1355</v>
      </c>
      <c r="BO47" s="1221" t="s">
        <v>610</v>
      </c>
      <c r="BP47" s="1219" t="str">
        <f t="shared" si="1"/>
        <v>Indian River - Orange Blossom Village</v>
      </c>
      <c r="BQ47" s="1219" t="str">
        <f t="shared" si="2"/>
        <v>Elderly, Non-ALF</v>
      </c>
      <c r="BR47" s="1219" t="str">
        <f t="shared" si="3"/>
        <v>(27.6504889, -80.3978278)</v>
      </c>
      <c r="BS47" s="1221" t="str">
        <f t="shared" si="4"/>
        <v>&gt;30</v>
      </c>
    </row>
    <row r="48" spans="1:71" ht="14.5" customHeight="1">
      <c r="A48" s="1802">
        <v>33076</v>
      </c>
      <c r="B48" s="622" t="s">
        <v>36</v>
      </c>
      <c r="D48" s="1825" t="s">
        <v>190</v>
      </c>
      <c r="E48" s="1"/>
      <c r="F48" s="622">
        <v>623.01</v>
      </c>
      <c r="G48" s="625" t="s">
        <v>35</v>
      </c>
      <c r="I48" s="622">
        <v>9514.01</v>
      </c>
      <c r="J48" s="622" t="s">
        <v>92</v>
      </c>
      <c r="L48" s="626">
        <v>22.08</v>
      </c>
      <c r="M48" s="626" t="s">
        <v>26</v>
      </c>
      <c r="N48" s="203"/>
      <c r="O48" s="627" t="str">
        <f t="array" ref="O48">IFERROR(IF($O$21="Metro",INDEX($F$23:$F$748,SMALL(IF((County=$G$23:$G$748),MATCH(ROW($G$23:$G$748),ROW($G$23:$G$748)),""),ROWS($A$23:A48))),INDEX($I$23:$I$52,SMALL(IF((County=$J$23:$J$52),MATCH(ROW($J$23:$J$52),ROW($J$23:$J$52)),""),ROWS($A$23:A48)))),"")</f>
        <v/>
      </c>
      <c r="Q48" s="627" t="str">
        <f t="array" ref="Q48">IFERROR(IF($Q$21="Yes",INDEX($L$23:$L$2323,SMALL(IF((County=$M$23:$M$2323),MATCH(ROW($M$23:$M$2323),ROW($M$23:$M$2323)),""),ROWS($A$23:A48))),""),"")</f>
        <v/>
      </c>
      <c r="S48" s="623">
        <v>32410</v>
      </c>
      <c r="T48" s="622" t="s">
        <v>32</v>
      </c>
      <c r="V48" s="622">
        <v>3</v>
      </c>
      <c r="W48" s="625" t="s">
        <v>63</v>
      </c>
      <c r="Y48" s="622">
        <v>9702</v>
      </c>
      <c r="Z48" s="622" t="s">
        <v>105</v>
      </c>
      <c r="AB48" s="626">
        <v>1.31</v>
      </c>
      <c r="AC48" s="626" t="s">
        <v>78</v>
      </c>
      <c r="AE48" s="1802">
        <v>33076</v>
      </c>
      <c r="AF48" s="622" t="s">
        <v>36</v>
      </c>
      <c r="AI48" s="1376"/>
      <c r="AJ48" s="622">
        <v>623.02</v>
      </c>
      <c r="AK48" s="625" t="s">
        <v>35</v>
      </c>
      <c r="AM48" s="622">
        <v>700</v>
      </c>
      <c r="AN48" s="622" t="s">
        <v>92</v>
      </c>
      <c r="AP48" s="1837"/>
      <c r="AQ48" s="1837"/>
      <c r="AS48" s="627" t="str">
        <f t="array" ref="AS48">IFERROR(IF($O$21="Metro",INDEX($AJ$23:$AJ$748,SMALL(IF((County=$AK$23:$AK$748),MATCH(ROW($AK$23:$AK$748),ROW($AK$23:$AK$748)),""),ROWS($A$23:$A48))),INDEX($AM$23:$AM$58,SMALL(IF((County=$AN$23:$AN$58),MATCH(ROW($AN$23:$AN$58),ROW($AN$23:$AN$58)),""),ROWS($A$23:$A48)))),"")</f>
        <v/>
      </c>
      <c r="AU48" s="627" t="str">
        <f t="array" ref="AU48">IFERROR(IF($Q$21="Yes",INDEX($AP$23:$AP$2323,SMALL(IF((County=$AQ$23:$AQ$2323),MATCH(ROW($AQ$23:$AQ$2323),ROW($AQ$23:$AQ$2323)),""),ROWS($A$23:$A48))),""),"")</f>
        <v/>
      </c>
      <c r="AW48" s="1802">
        <v>32312</v>
      </c>
      <c r="AX48" s="622" t="s">
        <v>71</v>
      </c>
      <c r="AZ48" s="622">
        <v>2.1800000000000002</v>
      </c>
      <c r="BA48" s="625" t="s">
        <v>78</v>
      </c>
      <c r="BC48" s="622">
        <v>402</v>
      </c>
      <c r="BD48" s="622" t="s">
        <v>64</v>
      </c>
      <c r="BF48" s="1837"/>
      <c r="BG48" s="1837"/>
      <c r="BI48" s="1218" t="s">
        <v>66</v>
      </c>
      <c r="BJ48" s="1218" t="s">
        <v>1406</v>
      </c>
      <c r="BK48" s="1218" t="s">
        <v>1407</v>
      </c>
      <c r="BL48" s="1226">
        <v>30.761482000000001</v>
      </c>
      <c r="BM48" s="1229">
        <v>-85.229332999999997</v>
      </c>
      <c r="BN48" s="1222" t="s">
        <v>1358</v>
      </c>
      <c r="BO48" s="1221" t="s">
        <v>610</v>
      </c>
      <c r="BP48" s="1219" t="str">
        <f t="shared" si="1"/>
        <v>Jackson - Thomas Pines</v>
      </c>
      <c r="BQ48" s="1219" t="str">
        <f t="shared" si="2"/>
        <v>Family</v>
      </c>
      <c r="BR48" s="1219" t="str">
        <f t="shared" si="3"/>
        <v>(30.761482, -85.229333)</v>
      </c>
      <c r="BS48" s="1221" t="str">
        <f t="shared" si="4"/>
        <v>&gt;30</v>
      </c>
    </row>
    <row r="49" spans="1:71" ht="14.5" customHeight="1">
      <c r="A49" s="1802">
        <v>33301</v>
      </c>
      <c r="B49" s="622" t="s">
        <v>36</v>
      </c>
      <c r="D49" s="1825" t="s">
        <v>191</v>
      </c>
      <c r="E49" s="1"/>
      <c r="F49" s="622">
        <v>623.02</v>
      </c>
      <c r="G49" s="625" t="s">
        <v>35</v>
      </c>
      <c r="I49" s="622">
        <v>9503</v>
      </c>
      <c r="J49" s="622" t="s">
        <v>100</v>
      </c>
      <c r="L49" s="626">
        <v>22.09</v>
      </c>
      <c r="M49" s="626" t="s">
        <v>26</v>
      </c>
      <c r="N49" s="203"/>
      <c r="O49" s="627" t="str">
        <f t="array" ref="O49">IFERROR(IF($O$21="Metro",INDEX($F$23:$F$748,SMALL(IF((County=$G$23:$G$748),MATCH(ROW($G$23:$G$748),ROW($G$23:$G$748)),""),ROWS($A$23:A49))),INDEX($I$23:$I$52,SMALL(IF((County=$J$23:$J$52),MATCH(ROW($J$23:$J$52),ROW($J$23:$J$52)),""),ROWS($A$23:A49)))),"")</f>
        <v/>
      </c>
      <c r="Q49" s="627" t="str">
        <f t="array" ref="Q49">IFERROR(IF($Q$21="Yes",INDEX($L$23:$L$2323,SMALL(IF((County=$M$23:$M$2323),MATCH(ROW($M$23:$M$2323),ROW($M$23:$M$2323)),""),ROWS($A$23:A49))),""),"")</f>
        <v/>
      </c>
      <c r="S49" s="623">
        <v>32456</v>
      </c>
      <c r="T49" s="622" t="s">
        <v>57</v>
      </c>
      <c r="V49" s="622">
        <v>3</v>
      </c>
      <c r="W49" s="625" t="s">
        <v>96</v>
      </c>
      <c r="Y49" s="622">
        <v>9702.01</v>
      </c>
      <c r="Z49" s="622" t="s">
        <v>59</v>
      </c>
      <c r="AB49" s="626">
        <v>1.33</v>
      </c>
      <c r="AC49" s="626" t="s">
        <v>78</v>
      </c>
      <c r="AE49" s="1802">
        <v>33301</v>
      </c>
      <c r="AF49" s="622" t="s">
        <v>36</v>
      </c>
      <c r="AI49" s="1376"/>
      <c r="AJ49" s="622">
        <v>624.01</v>
      </c>
      <c r="AK49" s="625" t="s">
        <v>35</v>
      </c>
      <c r="AM49" s="622">
        <v>800</v>
      </c>
      <c r="AN49" s="622" t="s">
        <v>92</v>
      </c>
      <c r="AP49" s="1837"/>
      <c r="AQ49" s="1837"/>
      <c r="AS49" s="627" t="str">
        <f t="array" ref="AS49">IFERROR(IF($O$21="Metro",INDEX($AJ$23:$AJ$748,SMALL(IF((County=$AK$23:$AK$748),MATCH(ROW($AK$23:$AK$748),ROW($AK$23:$AK$748)),""),ROWS($A$23:$A49))),INDEX($AM$23:$AM$58,SMALL(IF((County=$AN$23:$AN$58),MATCH(ROW($AN$23:$AN$58),ROW($AN$23:$AN$58)),""),ROWS($A$23:$A49)))),"")</f>
        <v/>
      </c>
      <c r="AU49" s="627" t="str">
        <f t="array" ref="AU49">IFERROR(IF($Q$21="Yes",INDEX($AP$23:$AP$2323,SMALL(IF((County=$AQ$23:$AQ$2323),MATCH(ROW($AQ$23:$AQ$2323),ROW($AQ$23:$AQ$2323)),""),ROWS($A$23:$A49))),""),"")</f>
        <v/>
      </c>
      <c r="AW49" s="1802">
        <v>32317</v>
      </c>
      <c r="AX49" s="622" t="s">
        <v>71</v>
      </c>
      <c r="AZ49" s="622">
        <v>2.19</v>
      </c>
      <c r="BA49" s="625" t="s">
        <v>78</v>
      </c>
      <c r="BC49" s="622">
        <v>402</v>
      </c>
      <c r="BD49" s="622" t="s">
        <v>84</v>
      </c>
      <c r="BF49" s="1837"/>
      <c r="BG49" s="1837"/>
      <c r="BI49" s="1218" t="s">
        <v>66</v>
      </c>
      <c r="BJ49" s="1218" t="s">
        <v>1408</v>
      </c>
      <c r="BK49" s="1218" t="s">
        <v>1409</v>
      </c>
      <c r="BL49" s="1229">
        <v>30.709993999999998</v>
      </c>
      <c r="BM49" s="1229">
        <v>-85.190460999999999</v>
      </c>
      <c r="BN49" s="1222" t="s">
        <v>1358</v>
      </c>
      <c r="BO49" s="1222" t="s">
        <v>610</v>
      </c>
      <c r="BP49" s="1219" t="str">
        <f t="shared" si="1"/>
        <v>Jackson - Tranquility at Hope School Phase II</v>
      </c>
      <c r="BQ49" s="1219" t="str">
        <f t="shared" si="2"/>
        <v>Family</v>
      </c>
      <c r="BR49" s="1219" t="str">
        <f t="shared" si="3"/>
        <v>(30.709994, -85.190461)</v>
      </c>
      <c r="BS49" s="1221" t="str">
        <f t="shared" si="4"/>
        <v>&gt;30</v>
      </c>
    </row>
    <row r="50" spans="1:71" ht="14.5" customHeight="1">
      <c r="A50" s="1802">
        <v>33308</v>
      </c>
      <c r="B50" s="622" t="s">
        <v>36</v>
      </c>
      <c r="D50" s="1825" t="s">
        <v>192</v>
      </c>
      <c r="E50" s="1"/>
      <c r="F50" s="622">
        <v>624</v>
      </c>
      <c r="G50" s="625" t="s">
        <v>35</v>
      </c>
      <c r="I50" s="622">
        <v>9701.0300000000007</v>
      </c>
      <c r="J50" s="622" t="s">
        <v>105</v>
      </c>
      <c r="L50" s="626">
        <v>22.1</v>
      </c>
      <c r="M50" s="626" t="s">
        <v>26</v>
      </c>
      <c r="N50" s="203"/>
      <c r="O50" s="627" t="str">
        <f t="array" ref="O50">IFERROR(IF($O$21="Metro",INDEX($F$23:$F$748,SMALL(IF((County=$G$23:$G$748),MATCH(ROW($G$23:$G$748),ROW($G$23:$G$748)),""),ROWS($A$23:A50))),INDEX($I$23:$I$52,SMALL(IF((County=$J$23:$J$52),MATCH(ROW($J$23:$J$52),ROW($J$23:$J$52)),""),ROWS($A$23:A50)))),"")</f>
        <v/>
      </c>
      <c r="Q50" s="627" t="str">
        <f t="array" ref="Q50">IFERROR(IF($Q$21="Yes",INDEX($L$23:$L$2323,SMALL(IF((County=$M$23:$M$2323),MATCH(ROW($M$23:$M$2323),ROW($M$23:$M$2323)),""),ROWS($A$23:A50))),""),"")</f>
        <v/>
      </c>
      <c r="S50" s="623">
        <v>32459</v>
      </c>
      <c r="T50" s="622" t="s">
        <v>104</v>
      </c>
      <c r="V50" s="622">
        <v>3.01</v>
      </c>
      <c r="W50" s="625" t="s">
        <v>70</v>
      </c>
      <c r="Y50" s="622">
        <v>9703.01</v>
      </c>
      <c r="Z50" s="622" t="s">
        <v>72</v>
      </c>
      <c r="AB50" s="626">
        <v>1.34</v>
      </c>
      <c r="AC50" s="626" t="s">
        <v>78</v>
      </c>
      <c r="AE50" s="1802">
        <v>33304</v>
      </c>
      <c r="AF50" s="622" t="s">
        <v>36</v>
      </c>
      <c r="AI50" s="1376"/>
      <c r="AJ50" s="622">
        <v>624.02</v>
      </c>
      <c r="AK50" s="625" t="s">
        <v>35</v>
      </c>
      <c r="AM50" s="622">
        <v>900</v>
      </c>
      <c r="AN50" s="622" t="s">
        <v>92</v>
      </c>
      <c r="AP50" s="1837"/>
      <c r="AQ50" s="1837"/>
      <c r="AS50" s="627" t="str">
        <f t="array" ref="AS50">IFERROR(IF($O$21="Metro",INDEX($AJ$23:$AJ$748,SMALL(IF((County=$AK$23:$AK$748),MATCH(ROW($AK$23:$AK$748),ROW($AK$23:$AK$748)),""),ROWS($A$23:$A50))),INDEX($AM$23:$AM$58,SMALL(IF((County=$AN$23:$AN$58),MATCH(ROW($AN$23:$AN$58),ROW($AN$23:$AN$58)),""),ROWS($A$23:$A50)))),"")</f>
        <v/>
      </c>
      <c r="AU50" s="627" t="str">
        <f t="array" ref="AU50">IFERROR(IF($Q$21="Yes",INDEX($AP$23:$AP$2323,SMALL(IF((County=$AQ$23:$AQ$2323),MATCH(ROW($AQ$23:$AQ$2323),ROW($AQ$23:$AQ$2323)),""),ROWS($A$23:$A50))),""),"")</f>
        <v/>
      </c>
      <c r="AW50" s="1802">
        <v>32346</v>
      </c>
      <c r="AX50" s="622" t="s">
        <v>103</v>
      </c>
      <c r="AZ50" s="622">
        <v>2.2000000000000002</v>
      </c>
      <c r="BA50" s="625" t="s">
        <v>78</v>
      </c>
      <c r="BC50" s="622">
        <v>403</v>
      </c>
      <c r="BD50" s="622" t="s">
        <v>64</v>
      </c>
      <c r="BF50" s="1837"/>
      <c r="BG50" s="1837"/>
      <c r="BI50" s="1218" t="s">
        <v>70</v>
      </c>
      <c r="BJ50" s="1218" t="s">
        <v>1410</v>
      </c>
      <c r="BK50" s="1218" t="s">
        <v>1411</v>
      </c>
      <c r="BL50" s="1225">
        <v>26.649678000000002</v>
      </c>
      <c r="BM50" s="1226">
        <v>-81.813449000000006</v>
      </c>
      <c r="BN50" s="1222" t="s">
        <v>1358</v>
      </c>
      <c r="BO50" s="1221" t="s">
        <v>610</v>
      </c>
      <c r="BP50" s="1219" t="str">
        <f t="shared" si="1"/>
        <v>Lee - Hibiscus Apartments Phase Two</v>
      </c>
      <c r="BQ50" s="1219" t="str">
        <f t="shared" si="2"/>
        <v>Family</v>
      </c>
      <c r="BR50" s="1219" t="str">
        <f t="shared" si="3"/>
        <v>(26.649678, -81.813449)</v>
      </c>
      <c r="BS50" s="1221" t="str">
        <f t="shared" si="4"/>
        <v>&gt;30</v>
      </c>
    </row>
    <row r="51" spans="1:71" ht="14.5" customHeight="1">
      <c r="A51" s="1802">
        <v>33321</v>
      </c>
      <c r="B51" s="622" t="s">
        <v>36</v>
      </c>
      <c r="E51" s="1"/>
      <c r="F51" s="622">
        <v>625</v>
      </c>
      <c r="G51" s="625" t="s">
        <v>35</v>
      </c>
      <c r="I51" s="622">
        <v>9702</v>
      </c>
      <c r="J51" s="622" t="s">
        <v>105</v>
      </c>
      <c r="L51" s="626">
        <v>22.19</v>
      </c>
      <c r="M51" s="626" t="s">
        <v>26</v>
      </c>
      <c r="N51" s="203"/>
      <c r="O51" s="627" t="str">
        <f t="array" ref="O51">IFERROR(IF($O$21="Metro",INDEX($F$23:$F$748,SMALL(IF((County=$G$23:$G$748),MATCH(ROW($G$23:$G$748),ROW($G$23:$G$748)),""),ROWS($A$23:A51))),INDEX($I$23:$I$52,SMALL(IF((County=$J$23:$J$52),MATCH(ROW($J$23:$J$52),ROW($J$23:$J$52)),""),ROWS($A$23:A51)))),"")</f>
        <v/>
      </c>
      <c r="Q51" s="627" t="str">
        <f t="array" ref="Q51">IFERROR(IF($Q$21="Yes",INDEX($L$23:$L$2323,SMALL(IF((County=$M$23:$M$2323),MATCH(ROW($M$23:$M$2323),ROW($M$23:$M$2323)),""),ROWS($A$23:A51))),""),"")</f>
        <v/>
      </c>
      <c r="S51" s="623">
        <v>32508</v>
      </c>
      <c r="T51" s="622" t="s">
        <v>51</v>
      </c>
      <c r="V51" s="622">
        <v>3.02</v>
      </c>
      <c r="W51" s="625" t="s">
        <v>70</v>
      </c>
      <c r="Y51" s="622">
        <v>9703.02</v>
      </c>
      <c r="Z51" s="622" t="s">
        <v>105</v>
      </c>
      <c r="AB51" s="626">
        <v>1.4</v>
      </c>
      <c r="AC51" s="626" t="s">
        <v>78</v>
      </c>
      <c r="AE51" s="1802">
        <v>33308</v>
      </c>
      <c r="AF51" s="622" t="s">
        <v>36</v>
      </c>
      <c r="AI51" s="1376"/>
      <c r="AJ51" s="622">
        <v>625</v>
      </c>
      <c r="AK51" s="625" t="s">
        <v>35</v>
      </c>
      <c r="AM51" s="622">
        <v>1200</v>
      </c>
      <c r="AN51" s="622" t="s">
        <v>92</v>
      </c>
      <c r="AP51" s="1837"/>
      <c r="AQ51" s="1837"/>
      <c r="AS51" s="627" t="str">
        <f t="array" ref="AS51">IFERROR(IF($O$21="Metro",INDEX($AJ$23:$AJ$748,SMALL(IF((County=$AK$23:$AK$748),MATCH(ROW($AK$23:$AK$748),ROW($AK$23:$AK$748)),""),ROWS($A$23:$A51))),INDEX($AM$23:$AM$58,SMALL(IF((County=$AN$23:$AN$58),MATCH(ROW($AN$23:$AN$58),ROW($AN$23:$AN$58)),""),ROWS($A$23:$A51)))),"")</f>
        <v/>
      </c>
      <c r="AU51" s="627" t="str">
        <f t="array" ref="AU51">IFERROR(IF($Q$21="Yes",INDEX($AP$23:$AP$2323,SMALL(IF((County=$AQ$23:$AQ$2323),MATCH(ROW($AQ$23:$AQ$2323),ROW($AQ$23:$AQ$2323)),""),ROWS($A$23:$A51))),""),"")</f>
        <v/>
      </c>
      <c r="AW51" s="1802">
        <v>32403</v>
      </c>
      <c r="AX51" s="622" t="s">
        <v>32</v>
      </c>
      <c r="AZ51" s="622">
        <v>2.2200000000000002</v>
      </c>
      <c r="BA51" s="625" t="s">
        <v>78</v>
      </c>
      <c r="BC51" s="622">
        <v>600</v>
      </c>
      <c r="BD51" s="622" t="s">
        <v>66</v>
      </c>
      <c r="BF51" s="1837"/>
      <c r="BG51" s="1837"/>
      <c r="BI51" s="1223" t="s">
        <v>70</v>
      </c>
      <c r="BJ51" s="1223" t="s">
        <v>1412</v>
      </c>
      <c r="BK51" s="1218" t="s">
        <v>1413</v>
      </c>
      <c r="BL51" s="1218">
        <v>26.561</v>
      </c>
      <c r="BM51" s="1218">
        <v>-81.956917000000004</v>
      </c>
      <c r="BN51" s="1222" t="s">
        <v>1355</v>
      </c>
      <c r="BO51" s="1224" t="s">
        <v>610</v>
      </c>
      <c r="BP51" s="1219" t="str">
        <f t="shared" si="1"/>
        <v>Lee - Madison Square</v>
      </c>
      <c r="BQ51" s="1219" t="str">
        <f t="shared" si="2"/>
        <v>Elderly, Non-ALF</v>
      </c>
      <c r="BR51" s="1219" t="str">
        <f t="shared" si="3"/>
        <v>(26.561, -81.956917)</v>
      </c>
      <c r="BS51" s="1221" t="str">
        <f t="shared" si="4"/>
        <v>&gt;30</v>
      </c>
    </row>
    <row r="52" spans="1:71" ht="14.5" customHeight="1">
      <c r="A52" s="1802">
        <v>33322</v>
      </c>
      <c r="B52" s="622" t="s">
        <v>36</v>
      </c>
      <c r="D52" s="1822" t="s">
        <v>193</v>
      </c>
      <c r="E52" s="1"/>
      <c r="F52" s="622">
        <v>626</v>
      </c>
      <c r="G52" s="625" t="s">
        <v>35</v>
      </c>
      <c r="I52" s="622">
        <v>9703.02</v>
      </c>
      <c r="J52" s="622" t="s">
        <v>105</v>
      </c>
      <c r="L52" s="626">
        <v>401.01</v>
      </c>
      <c r="M52" s="626" t="s">
        <v>29</v>
      </c>
      <c r="N52" s="203"/>
      <c r="O52" s="627" t="str">
        <f t="array" ref="O52">IFERROR(IF($O$21="Metro",INDEX($F$23:$F$748,SMALL(IF((County=$G$23:$G$748),MATCH(ROW($G$23:$G$748),ROW($G$23:$G$748)),""),ROWS($A$23:A52))),INDEX($I$23:$I$52,SMALL(IF((County=$J$23:$J$52),MATCH(ROW($J$23:$J$52),ROW($J$23:$J$52)),""),ROWS($A$23:A52)))),"")</f>
        <v/>
      </c>
      <c r="Q52" s="627" t="str">
        <f t="array" ref="Q52">IFERROR(IF($Q$21="Yes",INDEX($L$23:$L$2323,SMALL(IF((County=$M$23:$M$2323),MATCH(ROW($M$23:$M$2323),ROW($M$23:$M$2323)),""),ROWS($A$23:A52))),""),"")</f>
        <v/>
      </c>
      <c r="S52" s="623">
        <v>32541</v>
      </c>
      <c r="T52" s="622" t="s">
        <v>83</v>
      </c>
      <c r="V52" s="622">
        <v>3.02</v>
      </c>
      <c r="W52" s="625" t="s">
        <v>76</v>
      </c>
      <c r="Y52" s="622">
        <v>9704</v>
      </c>
      <c r="Z52" s="622" t="s">
        <v>80</v>
      </c>
      <c r="AB52" s="626">
        <v>2</v>
      </c>
      <c r="AC52" s="626" t="s">
        <v>34</v>
      </c>
      <c r="AE52" s="1802">
        <v>33315</v>
      </c>
      <c r="AF52" s="622" t="s">
        <v>36</v>
      </c>
      <c r="AI52" s="1376"/>
      <c r="AJ52" s="622">
        <v>626</v>
      </c>
      <c r="AK52" s="625" t="s">
        <v>35</v>
      </c>
      <c r="AM52" s="622">
        <v>1401</v>
      </c>
      <c r="AN52" s="622" t="s">
        <v>92</v>
      </c>
      <c r="AP52" s="1837"/>
      <c r="AQ52" s="1837"/>
      <c r="AS52" s="627" t="str">
        <f t="array" ref="AS52">IFERROR(IF($O$21="Metro",INDEX($AJ$23:$AJ$748,SMALL(IF((County=$AK$23:$AK$748),MATCH(ROW($AK$23:$AK$748),ROW($AK$23:$AK$748)),""),ROWS($A$23:$A58))),INDEX($AM$23:$AM$58,SMALL(IF((County=$AN$23:$AN$58),MATCH(ROW($AN$23:$AN$58),ROW($AN$23:$AN$58)),""),ROWS($A$23:$A58)))),"")</f>
        <v/>
      </c>
      <c r="AU52" s="627" t="str">
        <f t="array" ref="AU52">IFERROR(IF($Q$21="Yes",INDEX($AP$23:$AP$2323,SMALL(IF((County=$AQ$23:$AQ$2323),MATCH(ROW($AQ$23:$AQ$2323),ROW($AQ$23:$AQ$2323)),""),ROWS($A$23:$A52))),""),"")</f>
        <v/>
      </c>
      <c r="AW52" s="1802">
        <v>32407</v>
      </c>
      <c r="AX52" s="622" t="s">
        <v>32</v>
      </c>
      <c r="AZ52" s="622">
        <v>2.23</v>
      </c>
      <c r="BA52" s="625" t="s">
        <v>78</v>
      </c>
      <c r="BC52" s="622">
        <v>601</v>
      </c>
      <c r="BD52" s="622" t="s">
        <v>60</v>
      </c>
      <c r="BF52" s="1837"/>
      <c r="BG52" s="1837"/>
      <c r="BI52" s="1218" t="s">
        <v>70</v>
      </c>
      <c r="BJ52" s="1218" t="s">
        <v>1414</v>
      </c>
      <c r="BK52" s="1218" t="s">
        <v>1415</v>
      </c>
      <c r="BL52" s="1218">
        <v>26.651800999999999</v>
      </c>
      <c r="BM52" s="1218">
        <v>-81.832418000000004</v>
      </c>
      <c r="BN52" s="1222" t="s">
        <v>1358</v>
      </c>
      <c r="BO52" s="1222" t="s">
        <v>610</v>
      </c>
      <c r="BP52" s="1219" t="str">
        <f t="shared" si="1"/>
        <v>Lee - St. Peter Claver Place Phase I</v>
      </c>
      <c r="BQ52" s="1219" t="str">
        <f t="shared" si="2"/>
        <v>Family</v>
      </c>
      <c r="BR52" s="1219" t="str">
        <f t="shared" si="3"/>
        <v>(26.651801, -81.832418)</v>
      </c>
      <c r="BS52" s="1221" t="str">
        <f t="shared" si="4"/>
        <v>&gt;30</v>
      </c>
    </row>
    <row r="53" spans="1:71" ht="14.5" customHeight="1">
      <c r="A53" s="1802">
        <v>33323</v>
      </c>
      <c r="B53" s="622" t="s">
        <v>36</v>
      </c>
      <c r="D53" s="1825" t="s">
        <v>190</v>
      </c>
      <c r="E53" s="1"/>
      <c r="F53" s="622">
        <v>645</v>
      </c>
      <c r="G53" s="625" t="s">
        <v>35</v>
      </c>
      <c r="L53" s="626">
        <v>401.02</v>
      </c>
      <c r="M53" s="626" t="s">
        <v>29</v>
      </c>
      <c r="N53" s="203"/>
      <c r="O53" s="627" t="str">
        <f t="array" ref="O53">IFERROR(IF($O$21="Metro",INDEX($F$23:$F$748,SMALL(IF((County=$G$23:$G$748),MATCH(ROW($G$23:$G$748),ROW($G$23:$G$748)),""),ROWS($A$23:A53))),INDEX($I$23:$I$52,SMALL(IF((County=$J$23:$J$52),MATCH(ROW($J$23:$J$52),ROW($J$23:$J$52)),""),ROWS($A$23:A53)))),"")</f>
        <v/>
      </c>
      <c r="Q53" s="627" t="str">
        <f t="array" ref="Q53">IFERROR(IF($Q$21="Yes",INDEX($L$23:$L$2323,SMALL(IF((County=$M$23:$M$2323),MATCH(ROW($M$23:$M$2323),ROW($M$23:$M$2323)),""),ROWS($A$23:A53))),""),"")</f>
        <v/>
      </c>
      <c r="S53" s="623">
        <v>32542</v>
      </c>
      <c r="T53" s="622" t="s">
        <v>83</v>
      </c>
      <c r="V53" s="622">
        <v>3.05</v>
      </c>
      <c r="W53" s="625" t="s">
        <v>75</v>
      </c>
      <c r="AB53" s="626">
        <v>2</v>
      </c>
      <c r="AC53" s="626" t="s">
        <v>44</v>
      </c>
      <c r="AE53" s="1802">
        <v>33321</v>
      </c>
      <c r="AF53" s="622" t="s">
        <v>36</v>
      </c>
      <c r="AI53" s="1376"/>
      <c r="AJ53" s="622">
        <v>642.02</v>
      </c>
      <c r="AK53" s="625" t="s">
        <v>35</v>
      </c>
      <c r="AM53" s="622">
        <v>301</v>
      </c>
      <c r="AN53" s="622" t="s">
        <v>100</v>
      </c>
      <c r="AP53" s="1837"/>
      <c r="AQ53" s="1837"/>
      <c r="AS53" s="627" t="str">
        <f t="array" ref="AS53">IFERROR(IF($O$21="Metro",INDEX($AJ$23:$AJ$748,SMALL(IF((County=$AK$23:$AK$748),MATCH(ROW($AK$23:$AK$748),ROW($AK$23:$AK$748)),""),ROWS($A$23:$A53))),INDEX($AM$23:$AM$58,SMALL(IF((County=$AN$23:$AN$58),MATCH(ROW($AN$23:$AN$58),ROW($AN$23:$AN$58)),""),ROWS($A$23:$A53)))),"")</f>
        <v/>
      </c>
      <c r="AU53" s="627" t="str">
        <f t="array" ref="AU53">IFERROR(IF($Q$21="Yes",INDEX($AP$23:$AP$2323,SMALL(IF((County=$AQ$23:$AQ$2323),MATCH(ROW($AQ$23:$AQ$2323),ROW($AQ$23:$AQ$2323)),""),ROWS($A$23:$A53))),""),"")</f>
        <v/>
      </c>
      <c r="AW53" s="1802">
        <v>32410</v>
      </c>
      <c r="AX53" s="622" t="s">
        <v>32</v>
      </c>
      <c r="AZ53" s="622">
        <v>2.2400000000000002</v>
      </c>
      <c r="BA53" s="625" t="s">
        <v>78</v>
      </c>
      <c r="BC53" s="622">
        <v>602</v>
      </c>
      <c r="BD53" s="622" t="s">
        <v>60</v>
      </c>
      <c r="BF53" s="1837"/>
      <c r="BG53" s="1837"/>
      <c r="BI53" s="1218" t="s">
        <v>71</v>
      </c>
      <c r="BJ53" s="1218" t="s">
        <v>1416</v>
      </c>
      <c r="BK53" s="1218" t="s">
        <v>1417</v>
      </c>
      <c r="BL53" s="1225">
        <v>30.422654999999999</v>
      </c>
      <c r="BM53" s="1226">
        <v>-84.229337999999998</v>
      </c>
      <c r="BN53" s="1222" t="s">
        <v>1358</v>
      </c>
      <c r="BO53" s="1221" t="s">
        <v>610</v>
      </c>
      <c r="BP53" s="1219" t="str">
        <f t="shared" si="1"/>
        <v>Leon - Emery Cove</v>
      </c>
      <c r="BQ53" s="1219" t="str">
        <f t="shared" si="2"/>
        <v>Family</v>
      </c>
      <c r="BR53" s="1219" t="str">
        <f t="shared" si="3"/>
        <v>(30.422655, -84.229338)</v>
      </c>
      <c r="BS53" s="1221" t="str">
        <f t="shared" si="4"/>
        <v>&gt;30</v>
      </c>
    </row>
    <row r="54" spans="1:71" ht="14.5" customHeight="1">
      <c r="A54" s="1802">
        <v>33324</v>
      </c>
      <c r="B54" s="622" t="s">
        <v>36</v>
      </c>
      <c r="D54" s="1825" t="s">
        <v>191</v>
      </c>
      <c r="E54" s="1"/>
      <c r="F54" s="622">
        <v>647</v>
      </c>
      <c r="G54" s="625" t="s">
        <v>35</v>
      </c>
      <c r="L54" s="626">
        <v>2.0099999999999998</v>
      </c>
      <c r="M54" s="626" t="s">
        <v>32</v>
      </c>
      <c r="N54" s="203"/>
      <c r="O54" s="627" t="str">
        <f t="array" ref="O54">IFERROR(IF($O$21="Metro",INDEX($F$23:$F$748,SMALL(IF((County=$G$23:$G$748),MATCH(ROW($G$23:$G$748),ROW($G$23:$G$748)),""),ROWS($A$23:A54))),INDEX($I$23:$I$52,SMALL(IF((County=$J$23:$J$52),MATCH(ROW($J$23:$J$52),ROW($J$23:$J$52)),""),ROWS($A$23:A54)))),"")</f>
        <v/>
      </c>
      <c r="Q54" s="627" t="str">
        <f t="array" ref="Q54">IFERROR(IF($Q$21="Yes",INDEX($L$23:$L$2323,SMALL(IF((County=$M$23:$M$2323),MATCH(ROW($M$23:$M$2323),ROW($M$23:$M$2323)),""),ROWS($A$23:A54))),""),"")</f>
        <v/>
      </c>
      <c r="S54" s="623">
        <v>32544</v>
      </c>
      <c r="T54" s="622" t="s">
        <v>83</v>
      </c>
      <c r="V54" s="622">
        <v>3.05</v>
      </c>
      <c r="W54" s="625" t="s">
        <v>78</v>
      </c>
      <c r="AB54" s="626">
        <v>2</v>
      </c>
      <c r="AC54" s="626" t="s">
        <v>71</v>
      </c>
      <c r="AE54" s="1802">
        <v>33322</v>
      </c>
      <c r="AF54" s="622" t="s">
        <v>36</v>
      </c>
      <c r="AI54" s="1376"/>
      <c r="AJ54" s="622">
        <v>645</v>
      </c>
      <c r="AK54" s="625" t="s">
        <v>35</v>
      </c>
      <c r="AM54" s="622">
        <v>302</v>
      </c>
      <c r="AN54" s="622" t="s">
        <v>100</v>
      </c>
      <c r="AP54" s="1837"/>
      <c r="AQ54" s="1837"/>
      <c r="AS54" s="627" t="str">
        <f t="array" ref="AS54">IFERROR(IF($O$21="Metro",INDEX($AJ$23:$AJ$748,SMALL(IF((County=$AK$23:$AK$748),MATCH(ROW($AK$23:$AK$748),ROW($AK$23:$AK$748)),""),ROWS($A$23:$A54))),INDEX($AM$23:$AM$58,SMALL(IF((County=$AN$23:$AN$58),MATCH(ROW($AN$23:$AN$58),ROW($AN$23:$AN$58)),""),ROWS($A$23:$A54)))),"")</f>
        <v/>
      </c>
      <c r="AU54" s="627" t="str">
        <f t="array" ref="AU54">IFERROR(IF($Q$21="Yes",INDEX($AP$23:$AP$2323,SMALL(IF((County=$AQ$23:$AQ$2323),MATCH(ROW($AQ$23:$AQ$2323),ROW($AQ$23:$AQ$2323)),""),ROWS($A$23:$A54))),""),"")</f>
        <v/>
      </c>
      <c r="AW54" s="1802">
        <v>32456</v>
      </c>
      <c r="AX54" s="622" t="s">
        <v>57</v>
      </c>
      <c r="AZ54" s="622">
        <v>2.27</v>
      </c>
      <c r="BA54" s="625" t="s">
        <v>78</v>
      </c>
      <c r="BC54" s="622">
        <v>700</v>
      </c>
      <c r="BD54" s="622" t="s">
        <v>92</v>
      </c>
      <c r="BF54" s="1837"/>
      <c r="BG54" s="1837"/>
      <c r="BI54" s="1233" t="s">
        <v>71</v>
      </c>
      <c r="BJ54" s="1233" t="s">
        <v>1418</v>
      </c>
      <c r="BK54" s="1234" t="s">
        <v>1556</v>
      </c>
      <c r="BL54" s="1234">
        <v>30.413135</v>
      </c>
      <c r="BM54" s="1234">
        <v>-84.269935000000004</v>
      </c>
      <c r="BN54" s="1235" t="s">
        <v>1358</v>
      </c>
      <c r="BO54" s="1236" t="s">
        <v>610</v>
      </c>
      <c r="BP54" s="1219" t="str">
        <f t="shared" si="1"/>
        <v>Leon - Magnolia Family - sites 1-3</v>
      </c>
      <c r="BQ54" s="1219" t="str">
        <f t="shared" si="2"/>
        <v>Family</v>
      </c>
      <c r="BR54" s="1219" t="str">
        <f t="shared" si="3"/>
        <v>(30.413135, -84.269935)</v>
      </c>
      <c r="BS54" s="1221" t="str">
        <f t="shared" si="4"/>
        <v>&gt;30</v>
      </c>
    </row>
    <row r="55" spans="1:71" ht="14.5" customHeight="1">
      <c r="A55" s="1802">
        <v>33325</v>
      </c>
      <c r="B55" s="622" t="s">
        <v>36</v>
      </c>
      <c r="D55" s="1825" t="s">
        <v>192</v>
      </c>
      <c r="E55" s="1"/>
      <c r="F55" s="622">
        <v>649.02</v>
      </c>
      <c r="G55" s="625" t="s">
        <v>35</v>
      </c>
      <c r="L55" s="626">
        <v>5</v>
      </c>
      <c r="M55" s="626" t="s">
        <v>32</v>
      </c>
      <c r="N55" s="203"/>
      <c r="O55" s="627" t="str">
        <f t="array" ref="O55">IFERROR(IF($O$21="Metro",INDEX($F$23:$F$748,SMALL(IF((County=$G$23:$G$748),MATCH(ROW($G$23:$G$748),ROW($G$23:$G$748)),""),ROWS($A$23:A55))),INDEX($I$23:$I$52,SMALL(IF((County=$J$23:$J$52),MATCH(ROW($J$23:$J$52),ROW($J$23:$J$52)),""),ROWS($A$23:A55)))),"")</f>
        <v/>
      </c>
      <c r="Q55" s="627" t="str">
        <f t="array" ref="Q55">IFERROR(IF($Q$21="Yes",INDEX($L$23:$L$2323,SMALL(IF((County=$M$23:$M$2323),MATCH(ROW($M$23:$M$2323),ROW($M$23:$M$2323)),""),ROWS($A$23:A55))),""),"")</f>
        <v/>
      </c>
      <c r="S55" s="623">
        <v>32550</v>
      </c>
      <c r="T55" s="622" t="s">
        <v>104</v>
      </c>
      <c r="V55" s="622">
        <v>3.06</v>
      </c>
      <c r="W55" s="625" t="s">
        <v>75</v>
      </c>
      <c r="AB55" s="626">
        <v>2</v>
      </c>
      <c r="AC55" s="626" t="s">
        <v>77</v>
      </c>
      <c r="AE55" s="1802">
        <v>33323</v>
      </c>
      <c r="AF55" s="622" t="s">
        <v>36</v>
      </c>
      <c r="AI55" s="1376"/>
      <c r="AJ55" s="622">
        <v>648</v>
      </c>
      <c r="AK55" s="625" t="s">
        <v>35</v>
      </c>
      <c r="AM55" s="622">
        <v>103</v>
      </c>
      <c r="AN55" s="622" t="s">
        <v>105</v>
      </c>
      <c r="AP55" s="1837"/>
      <c r="AQ55" s="1837"/>
      <c r="AS55" s="627" t="str">
        <f t="array" ref="AS55">IFERROR(IF($O$21="Metro",INDEX($AJ$23:$AJ$748,SMALL(IF((County=$AK$23:$AK$748),MATCH(ROW($AK$23:$AK$748),ROW($AK$23:$AK$748)),""),ROWS($A$23:$A55))),INDEX($AM$23:$AM$58,SMALL(IF((County=$AN$23:$AN$58),MATCH(ROW($AN$23:$AN$58),ROW($AN$23:$AN$58)),""),ROWS($A$23:$A55)))),"")</f>
        <v/>
      </c>
      <c r="AU55" s="627" t="str">
        <f t="array" ref="AU55">IFERROR(IF($Q$21="Yes",INDEX($AP$23:$AP$2323,SMALL(IF((County=$AQ$23:$AQ$2323),MATCH(ROW($AQ$23:$AQ$2323),ROW($AQ$23:$AQ$2323)),""),ROWS($A$23:$A55))),""),"")</f>
        <v/>
      </c>
      <c r="AW55" s="1802">
        <v>32459</v>
      </c>
      <c r="AX55" s="622" t="s">
        <v>104</v>
      </c>
      <c r="AZ55" s="622">
        <v>2.2799999999999998</v>
      </c>
      <c r="BA55" s="622" t="s">
        <v>78</v>
      </c>
      <c r="BC55" s="622">
        <v>800</v>
      </c>
      <c r="BD55" s="622" t="s">
        <v>92</v>
      </c>
      <c r="BF55" s="1837"/>
      <c r="BG55" s="1837"/>
      <c r="BI55" s="1230" t="s">
        <v>71</v>
      </c>
      <c r="BJ55" s="1230" t="s">
        <v>1419</v>
      </c>
      <c r="BK55" s="1218" t="s">
        <v>1420</v>
      </c>
      <c r="BL55" s="1218">
        <v>30.414906999999999</v>
      </c>
      <c r="BM55" s="1229">
        <v>-84.270418000000006</v>
      </c>
      <c r="BN55" s="1222" t="s">
        <v>1358</v>
      </c>
      <c r="BO55" s="1221" t="s">
        <v>610</v>
      </c>
      <c r="BP55" s="1219" t="str">
        <f t="shared" ref="BP55:BP88" si="5">BI55&amp;" - "&amp;BK55</f>
        <v>Leon - Magnolia Family II</v>
      </c>
      <c r="BQ55" s="1219" t="str">
        <f t="shared" ref="BQ55:BQ88" si="6">IF(BN55="F","Family",IF(BN55="E","Elderly, Non-ALF",IF(BN55="ALF","Elderly, Assisted Living Facility",IF(BN55="W","Workforce",""))))</f>
        <v>Family</v>
      </c>
      <c r="BR55" s="1219" t="str">
        <f t="shared" ref="BR55:BR88" si="7">"("&amp;BL55&amp;", "&amp;BM55&amp;")"</f>
        <v>(30.414907, -84.270418)</v>
      </c>
      <c r="BS55" s="1221" t="str">
        <f t="shared" ref="BS55:BS88" si="8">IF(BO55="N","&gt;30",IF(BO55="Y","&lt;31",""))</f>
        <v>&gt;30</v>
      </c>
    </row>
    <row r="56" spans="1:71" ht="14.5" customHeight="1">
      <c r="A56" s="1802">
        <v>33326</v>
      </c>
      <c r="B56" s="622" t="s">
        <v>36</v>
      </c>
      <c r="D56" s="1825" t="s">
        <v>195</v>
      </c>
      <c r="E56" s="1"/>
      <c r="F56" s="622">
        <v>651.24</v>
      </c>
      <c r="G56" s="625" t="s">
        <v>35</v>
      </c>
      <c r="L56" s="626">
        <v>6</v>
      </c>
      <c r="M56" s="626" t="s">
        <v>32</v>
      </c>
      <c r="N56" s="203"/>
      <c r="O56" s="627" t="str">
        <f t="array" ref="O56">IFERROR(IF($O$21="Metro",INDEX($F$23:$F$748,SMALL(IF((County=$G$23:$G$748),MATCH(ROW($G$23:$G$748),ROW($G$23:$G$748)),""),ROWS($A$23:A56))),INDEX($I$23:$I$52,SMALL(IF((County=$J$23:$J$52),MATCH(ROW($J$23:$J$52),ROW($J$23:$J$52)),""),ROWS($A$23:A56)))),"")</f>
        <v/>
      </c>
      <c r="Q56" s="627" t="str">
        <f t="array" ref="Q56">IFERROR(IF($Q$21="Yes",INDEX($L$23:$L$2323,SMALL(IF((County=$M$23:$M$2323),MATCH(ROW($M$23:$M$2323),ROW($M$23:$M$2323)),""),ROWS($A$23:A56))),""),"")</f>
        <v/>
      </c>
      <c r="S56" s="623">
        <v>32561</v>
      </c>
      <c r="T56" s="622" t="s">
        <v>95</v>
      </c>
      <c r="V56" s="622">
        <v>3.06</v>
      </c>
      <c r="W56" s="625" t="s">
        <v>78</v>
      </c>
      <c r="AB56" s="626">
        <v>2.0099999999999998</v>
      </c>
      <c r="AC56" s="626" t="s">
        <v>32</v>
      </c>
      <c r="AE56" s="1802">
        <v>33324</v>
      </c>
      <c r="AF56" s="622" t="s">
        <v>36</v>
      </c>
      <c r="AI56" s="1376"/>
      <c r="AJ56" s="622">
        <v>649.02</v>
      </c>
      <c r="AK56" s="625" t="s">
        <v>35</v>
      </c>
      <c r="AM56" s="622">
        <v>104</v>
      </c>
      <c r="AN56" s="622" t="s">
        <v>105</v>
      </c>
      <c r="AP56" s="1837"/>
      <c r="AQ56" s="1837"/>
      <c r="AS56" s="627" t="str">
        <f t="array" ref="AS56">IFERROR(IF($O$21="Metro",INDEX($AJ$23:$AJ$748,SMALL(IF((County=$AK$23:$AK$748),MATCH(ROW($AK$23:$AK$748),ROW($AK$23:$AK$748)),""),ROWS($A$23:$A56))),INDEX($AM$23:$AM$58,SMALL(IF((County=$AN$23:$AN$58),MATCH(ROW($AN$23:$AN$58),ROW($AN$23:$AN$58)),""),ROWS($A$23:$A56)))),"")</f>
        <v/>
      </c>
      <c r="AU56" s="627" t="str">
        <f t="array" ref="AU56">IFERROR(IF($Q$21="Yes",INDEX($AP$23:$AP$2323,SMALL(IF((County=$AQ$23:$AQ$2323),MATCH(ROW($AQ$23:$AQ$2323),ROW($AQ$23:$AQ$2323)),""),ROWS($A$23:$A56))),""),"")</f>
        <v/>
      </c>
      <c r="AW56" s="1802">
        <v>32541</v>
      </c>
      <c r="AX56" s="622" t="s">
        <v>83</v>
      </c>
      <c r="AZ56" s="622">
        <v>3</v>
      </c>
      <c r="BA56" s="625" t="s">
        <v>49</v>
      </c>
      <c r="BC56" s="622">
        <v>900</v>
      </c>
      <c r="BD56" s="622" t="s">
        <v>92</v>
      </c>
      <c r="BF56" s="1837"/>
      <c r="BG56" s="1837"/>
      <c r="BI56" s="1218" t="s">
        <v>71</v>
      </c>
      <c r="BJ56" s="1218" t="s">
        <v>1421</v>
      </c>
      <c r="BK56" s="1218" t="s">
        <v>1422</v>
      </c>
      <c r="BL56" s="1229">
        <v>30.396963</v>
      </c>
      <c r="BM56" s="1229">
        <v>-84.292726999999999</v>
      </c>
      <c r="BN56" s="1222" t="s">
        <v>1358</v>
      </c>
      <c r="BO56" s="1222" t="s">
        <v>610</v>
      </c>
      <c r="BP56" s="1219" t="str">
        <f t="shared" si="5"/>
        <v>Leon - Ridge Road</v>
      </c>
      <c r="BQ56" s="1219" t="str">
        <f t="shared" si="6"/>
        <v>Family</v>
      </c>
      <c r="BR56" s="1219" t="str">
        <f t="shared" si="7"/>
        <v>(30.396963, -84.292727)</v>
      </c>
      <c r="BS56" s="1221" t="str">
        <f t="shared" si="8"/>
        <v>&gt;30</v>
      </c>
    </row>
    <row r="57" spans="1:71" ht="14.5" customHeight="1">
      <c r="A57" s="1802">
        <v>33327</v>
      </c>
      <c r="B57" s="622" t="s">
        <v>36</v>
      </c>
      <c r="E57" s="1"/>
      <c r="F57" s="622">
        <v>699.02</v>
      </c>
      <c r="G57" s="625" t="s">
        <v>35</v>
      </c>
      <c r="L57" s="626">
        <v>7</v>
      </c>
      <c r="M57" s="626" t="s">
        <v>32</v>
      </c>
      <c r="N57" s="203"/>
      <c r="O57" s="627" t="str">
        <f t="array" ref="O57">IFERROR(IF($O$21="Metro",INDEX($F$23:$F$748,SMALL(IF((County=$G$23:$G$748),MATCH(ROW($G$23:$G$748),ROW($G$23:$G$748)),""),ROWS($A$23:A57))),INDEX($I$23:$I$52,SMALL(IF((County=$J$23:$J$52),MATCH(ROW($J$23:$J$52),ROW($J$23:$J$52)),""),ROWS($A$23:A57)))),"")</f>
        <v/>
      </c>
      <c r="Q57" s="627" t="str">
        <f t="array" ref="Q57">IFERROR(IF($Q$21="Yes",INDEX($L$23:$L$2323,SMALL(IF((County=$M$23:$M$2323),MATCH(ROW($M$23:$M$2323),ROW($M$23:$M$2323)),""),ROWS($A$23:A57))),""),"")</f>
        <v/>
      </c>
      <c r="S57" s="623">
        <v>32566</v>
      </c>
      <c r="T57" s="622" t="s">
        <v>95</v>
      </c>
      <c r="V57" s="622">
        <v>3.09</v>
      </c>
      <c r="W57" s="625" t="s">
        <v>75</v>
      </c>
      <c r="AB57" s="626">
        <v>2.02</v>
      </c>
      <c r="AC57" s="626" t="s">
        <v>87</v>
      </c>
      <c r="AE57" s="1802">
        <v>33325</v>
      </c>
      <c r="AF57" s="622" t="s">
        <v>36</v>
      </c>
      <c r="AI57" s="1376"/>
      <c r="AJ57" s="622">
        <v>651.24</v>
      </c>
      <c r="AK57" s="625" t="s">
        <v>35</v>
      </c>
      <c r="AM57" s="622">
        <v>200</v>
      </c>
      <c r="AN57" s="622" t="s">
        <v>105</v>
      </c>
      <c r="AP57" s="1837"/>
      <c r="AQ57" s="1837"/>
      <c r="AS57" s="627" t="str">
        <f t="array" ref="AS57">IFERROR(IF($O$21="Metro",INDEX($AJ$23:$AJ$748,SMALL(IF((County=$AK$23:$AK$748),MATCH(ROW($AK$23:$AK$748),ROW($AK$23:$AK$748)),""),ROWS($A$23:$A57))),INDEX($AM$23:$AM$58,SMALL(IF((County=$AN$23:$AN$58),MATCH(ROW($AN$23:$AN$58),ROW($AN$23:$AN$58)),""),ROWS($A$23:$A57)))),"")</f>
        <v/>
      </c>
      <c r="AU57" s="627" t="str">
        <f t="array" ref="AU57">IFERROR(IF($Q$21="Yes",INDEX($AP$23:$AP$2323,SMALL(IF((County=$AQ$23:$AQ$2323),MATCH(ROW($AQ$23:$AQ$2323),ROW($AQ$23:$AQ$2323)),""),ROWS($A$23:$A57))),""),"")</f>
        <v/>
      </c>
      <c r="AW57" s="1802">
        <v>32542</v>
      </c>
      <c r="AX57" s="622" t="s">
        <v>83</v>
      </c>
      <c r="AZ57" s="622">
        <v>3</v>
      </c>
      <c r="BA57" s="625" t="s">
        <v>51</v>
      </c>
      <c r="BC57" s="622">
        <v>1200</v>
      </c>
      <c r="BD57" s="622" t="s">
        <v>92</v>
      </c>
      <c r="BF57" s="1837"/>
      <c r="BG57" s="1837"/>
      <c r="BI57" s="1218" t="s">
        <v>73</v>
      </c>
      <c r="BJ57" s="1218" t="s">
        <v>1423</v>
      </c>
      <c r="BK57" s="1218" t="s">
        <v>1424</v>
      </c>
      <c r="BL57" s="1219">
        <v>30.431117</v>
      </c>
      <c r="BM57" s="1219">
        <v>-84.981925000000004</v>
      </c>
      <c r="BN57" s="1221" t="s">
        <v>1358</v>
      </c>
      <c r="BO57" s="1221" t="s">
        <v>610</v>
      </c>
      <c r="BP57" s="1219" t="str">
        <f t="shared" si="5"/>
        <v>Liberty - Liberty Crossings</v>
      </c>
      <c r="BQ57" s="1219" t="str">
        <f t="shared" si="6"/>
        <v>Family</v>
      </c>
      <c r="BR57" s="1219" t="str">
        <f t="shared" si="7"/>
        <v>(30.431117, -84.981925)</v>
      </c>
      <c r="BS57" s="1221" t="str">
        <f t="shared" si="8"/>
        <v>&gt;30</v>
      </c>
    </row>
    <row r="58" spans="1:71" ht="14.5" customHeight="1">
      <c r="A58" s="1802">
        <v>33328</v>
      </c>
      <c r="B58" s="622" t="s">
        <v>36</v>
      </c>
      <c r="D58" s="1823" t="s">
        <v>198</v>
      </c>
      <c r="E58" s="1"/>
      <c r="F58" s="622">
        <v>103.07</v>
      </c>
      <c r="G58" s="622" t="s">
        <v>36</v>
      </c>
      <c r="L58" s="626">
        <v>8.0399999999999991</v>
      </c>
      <c r="M58" s="626" t="s">
        <v>32</v>
      </c>
      <c r="N58" s="203"/>
      <c r="O58" s="627" t="str">
        <f t="array" ref="O58">IFERROR(IF($O$21="Metro",INDEX($F$23:$F$748,SMALL(IF((County=$G$23:$G$748),MATCH(ROW($G$23:$G$748),ROW($G$23:$G$748)),""),ROWS($A$23:A58))),INDEX($I$23:$I$52,SMALL(IF((County=$J$23:$J$52),MATCH(ROW($J$23:$J$52),ROW($J$23:$J$52)),""),ROWS($A$23:A58)))),"")</f>
        <v/>
      </c>
      <c r="Q58" s="627" t="str">
        <f t="array" ref="Q58">IFERROR(IF($Q$21="Yes",INDEX($L$23:$L$2323,SMALL(IF((County=$M$23:$M$2323),MATCH(ROW($M$23:$M$2323),ROW($M$23:$M$2323)),""),ROWS($A$23:A58))),""),"")</f>
        <v/>
      </c>
      <c r="S58" s="623">
        <v>32605</v>
      </c>
      <c r="T58" s="622" t="s">
        <v>26</v>
      </c>
      <c r="V58" s="622">
        <v>3.1</v>
      </c>
      <c r="W58" s="625" t="s">
        <v>75</v>
      </c>
      <c r="AB58" s="626">
        <v>2.04</v>
      </c>
      <c r="AC58" s="626" t="s">
        <v>87</v>
      </c>
      <c r="AE58" s="1802">
        <v>33326</v>
      </c>
      <c r="AF58" s="622" t="s">
        <v>36</v>
      </c>
      <c r="AI58" s="1376"/>
      <c r="AJ58" s="622">
        <v>699.06</v>
      </c>
      <c r="AK58" s="622" t="s">
        <v>35</v>
      </c>
      <c r="AM58" s="622">
        <v>302</v>
      </c>
      <c r="AN58" s="622" t="s">
        <v>105</v>
      </c>
      <c r="AP58" s="1837"/>
      <c r="AQ58" s="1837"/>
      <c r="AS58" s="627" t="str">
        <f t="array" ref="AS58">IFERROR(IF($O$21="Metro",INDEX($AJ$23:$AJ$748,SMALL(IF((County=$AK$23:$AK$748),MATCH(ROW($AK$23:$AK$748),ROW($AK$23:$AK$748)),""),ROWS($A$23:$A58))),INDEX($AM$23:$AM$58,SMALL(IF((County=$AN$23:$AN$58),MATCH(ROW($AN$23:$AN$58),ROW($AN$23:$AN$58)),""),ROWS($A$23:$A58)))),"")</f>
        <v/>
      </c>
      <c r="AU58" s="627" t="str">
        <f t="array" ref="AU58">IFERROR(IF($Q$21="Yes",INDEX($AP$23:$AP$2323,SMALL(IF((County=$AQ$23:$AQ$2323),MATCH(ROW($AQ$23:$AQ$2323),ROW($AQ$23:$AQ$2323)),""),ROWS($A$23:$A58))),""),"")</f>
        <v/>
      </c>
      <c r="AW58" s="1802">
        <v>32544</v>
      </c>
      <c r="AX58" s="622" t="s">
        <v>83</v>
      </c>
      <c r="AZ58" s="622">
        <v>3</v>
      </c>
      <c r="BA58" s="622" t="s">
        <v>96</v>
      </c>
      <c r="BC58" s="622">
        <v>1401</v>
      </c>
      <c r="BD58" s="622" t="s">
        <v>92</v>
      </c>
      <c r="BF58" s="1837"/>
      <c r="BG58" s="1837"/>
      <c r="BI58" s="1223" t="s">
        <v>75</v>
      </c>
      <c r="BJ58" s="1223" t="s">
        <v>1425</v>
      </c>
      <c r="BK58" s="1218" t="s">
        <v>1426</v>
      </c>
      <c r="BL58" s="1218">
        <v>27.479706</v>
      </c>
      <c r="BM58" s="1218">
        <v>-82.571602999999996</v>
      </c>
      <c r="BN58" s="1222" t="s">
        <v>1355</v>
      </c>
      <c r="BO58" s="1224" t="s">
        <v>610</v>
      </c>
      <c r="BP58" s="1219" t="str">
        <f t="shared" si="5"/>
        <v>Manatee - Astoria on 9th</v>
      </c>
      <c r="BQ58" s="1219" t="str">
        <f t="shared" si="6"/>
        <v>Elderly, Non-ALF</v>
      </c>
      <c r="BR58" s="1219" t="str">
        <f t="shared" si="7"/>
        <v>(27.479706, -82.571603)</v>
      </c>
      <c r="BS58" s="1221" t="str">
        <f t="shared" si="8"/>
        <v>&gt;30</v>
      </c>
    </row>
    <row r="59" spans="1:71" ht="14.5" customHeight="1">
      <c r="A59" s="1802">
        <v>33330</v>
      </c>
      <c r="B59" s="622" t="s">
        <v>36</v>
      </c>
      <c r="D59" s="1825" t="s">
        <v>190</v>
      </c>
      <c r="E59" s="1"/>
      <c r="F59" s="622">
        <v>204.05</v>
      </c>
      <c r="G59" s="622" t="s">
        <v>36</v>
      </c>
      <c r="L59" s="626">
        <v>13.01</v>
      </c>
      <c r="M59" s="626" t="s">
        <v>32</v>
      </c>
      <c r="N59" s="203"/>
      <c r="O59" s="627" t="str">
        <f t="array" ref="O59">IFERROR(IF($O$21="Metro",INDEX($F$23:$F$748,SMALL(IF((County=$G$23:$G$748),MATCH(ROW($G$23:$G$748),ROW($G$23:$G$748)),""),ROWS($A$23:A59))),INDEX($I$23:$I$52,SMALL(IF((County=$J$23:$J$52),MATCH(ROW($J$23:$J$52),ROW($J$23:$J$52)),""),ROWS($A$23:A59)))),"")</f>
        <v/>
      </c>
      <c r="Q59" s="627" t="str">
        <f t="array" ref="Q59">IFERROR(IF($Q$21="Yes",INDEX($L$23:$L$2323,SMALL(IF((County=$M$23:$M$2323),MATCH(ROW($M$23:$M$2323),ROW($M$23:$M$2323)),""),ROWS($A$23:A59))),""),"")</f>
        <v/>
      </c>
      <c r="S59" s="623">
        <v>32606</v>
      </c>
      <c r="T59" s="622" t="s">
        <v>26</v>
      </c>
      <c r="V59" s="622">
        <v>4</v>
      </c>
      <c r="W59" s="625" t="s">
        <v>51</v>
      </c>
      <c r="AB59" s="626">
        <v>2.0499999999999998</v>
      </c>
      <c r="AC59" s="626" t="s">
        <v>87</v>
      </c>
      <c r="AE59" s="1802">
        <v>33327</v>
      </c>
      <c r="AF59" s="622" t="s">
        <v>36</v>
      </c>
      <c r="AI59" s="1376"/>
      <c r="AJ59" s="622">
        <v>699.07</v>
      </c>
      <c r="AK59" s="622" t="s">
        <v>35</v>
      </c>
      <c r="AP59" s="1837"/>
      <c r="AQ59" s="1837"/>
      <c r="AS59" s="627" t="str">
        <f t="array" ref="AS59">IFERROR(IF($O$21="Metro",INDEX($AJ$23:$AJ$748,SMALL(IF((County=$AK$23:$AK$748),MATCH(ROW($AK$23:$AK$748),ROW($AK$23:$AK$748)),""),ROWS($A$23:$A59))),INDEX($AM$23:$AM$58,SMALL(IF((County=$AN$23:$AN$58),MATCH(ROW($AN$23:$AN$58),ROW($AN$23:$AN$58)),""),ROWS($A$23:$A59)))),"")</f>
        <v/>
      </c>
      <c r="AU59" s="627" t="str">
        <f t="array" ref="AU59">IFERROR(IF($Q$21="Yes",INDEX($AP$23:$AP$2323,SMALL(IF((County=$AQ$23:$AQ$2323),MATCH(ROW($AQ$23:$AQ$2323),ROW($AQ$23:$AQ$2323)),""),ROWS($A$23:$A59))),""),"")</f>
        <v/>
      </c>
      <c r="AW59" s="1802">
        <v>32561</v>
      </c>
      <c r="AX59" s="622" t="s">
        <v>95</v>
      </c>
      <c r="AZ59" s="622">
        <v>3.01</v>
      </c>
      <c r="BA59" s="622" t="s">
        <v>26</v>
      </c>
      <c r="BF59" s="1837"/>
      <c r="BG59" s="1837"/>
      <c r="BI59" s="1218" t="s">
        <v>75</v>
      </c>
      <c r="BJ59" s="1218" t="s">
        <v>1427</v>
      </c>
      <c r="BK59" s="1218" t="s">
        <v>1428</v>
      </c>
      <c r="BL59" s="1219">
        <v>27.558450000000001</v>
      </c>
      <c r="BM59" s="1219">
        <v>-82.440641999999997</v>
      </c>
      <c r="BN59" s="1222" t="s">
        <v>1358</v>
      </c>
      <c r="BO59" s="1222" t="s">
        <v>610</v>
      </c>
      <c r="BP59" s="1219" t="str">
        <f t="shared" si="5"/>
        <v>Manatee - Parrish Oaks II</v>
      </c>
      <c r="BQ59" s="1219" t="str">
        <f t="shared" si="6"/>
        <v>Family</v>
      </c>
      <c r="BR59" s="1219" t="str">
        <f t="shared" si="7"/>
        <v>(27.55845, -82.440642)</v>
      </c>
      <c r="BS59" s="1221" t="str">
        <f t="shared" si="8"/>
        <v>&gt;30</v>
      </c>
    </row>
    <row r="60" spans="1:71" ht="14.5" customHeight="1">
      <c r="A60" s="1802">
        <v>33331</v>
      </c>
      <c r="B60" s="622" t="s">
        <v>36</v>
      </c>
      <c r="D60" s="1826" t="s">
        <v>199</v>
      </c>
      <c r="E60" s="1"/>
      <c r="F60" s="622">
        <v>204.12</v>
      </c>
      <c r="G60" s="622" t="s">
        <v>36</v>
      </c>
      <c r="L60" s="626">
        <v>14.02</v>
      </c>
      <c r="M60" s="626" t="s">
        <v>32</v>
      </c>
      <c r="N60" s="203"/>
      <c r="O60" s="627" t="str">
        <f t="array" ref="O60">IFERROR(IF($O$21="Metro",INDEX($F$23:$F$748,SMALL(IF((County=$G$23:$G$748),MATCH(ROW($G$23:$G$748),ROW($G$23:$G$748)),""),ROWS($A$23:A60))),INDEX($I$23:$I$52,SMALL(IF((County=$J$23:$J$52),MATCH(ROW($J$23:$J$52),ROW($J$23:$J$52)),""),ROWS($A$23:A60)))),"")</f>
        <v/>
      </c>
      <c r="Q60" s="627" t="str">
        <f t="array" ref="Q60">IFERROR(IF($Q$21="Yes",INDEX($L$23:$L$2323,SMALL(IF((County=$M$23:$M$2323),MATCH(ROW($M$23:$M$2323),ROW($M$23:$M$2323)),""),ROWS($A$23:A60))),""),"")</f>
        <v/>
      </c>
      <c r="S60" s="623">
        <v>32701</v>
      </c>
      <c r="T60" s="622" t="s">
        <v>97</v>
      </c>
      <c r="V60" s="622">
        <v>4</v>
      </c>
      <c r="W60" s="625" t="s">
        <v>71</v>
      </c>
      <c r="AB60" s="626">
        <v>2.06</v>
      </c>
      <c r="AC60" s="626" t="s">
        <v>87</v>
      </c>
      <c r="AE60" s="1802">
        <v>33328</v>
      </c>
      <c r="AF60" s="622" t="s">
        <v>36</v>
      </c>
      <c r="AI60" s="1376"/>
      <c r="AJ60" s="622">
        <v>103.07</v>
      </c>
      <c r="AK60" s="622" t="s">
        <v>36</v>
      </c>
      <c r="AP60" s="1837"/>
      <c r="AQ60" s="1837"/>
      <c r="AS60" s="627" t="str">
        <f t="array" ref="AS60">IFERROR(IF($O$21="Metro",INDEX($AJ$23:$AJ$748,SMALL(IF((County=$AK$23:$AK$748),MATCH(ROW($AK$23:$AK$748),ROW($AK$23:$AK$748)),""),ROWS($A$23:$A60))),INDEX($AM$23:$AM$58,SMALL(IF((County=$AN$23:$AN$58),MATCH(ROW($AN$23:$AN$58),ROW($AN$23:$AN$58)),""),ROWS($A$23:$A60)))),"")</f>
        <v/>
      </c>
      <c r="AU60" s="627" t="str">
        <f t="array" ref="AU60">IFERROR(IF($Q$21="Yes",INDEX($AP$23:$AP$2323,SMALL(IF((County=$AQ$23:$AQ$2323),MATCH(ROW($AQ$23:$AQ$2323),ROW($AQ$23:$AQ$2323)),""),ROWS($A$23:$A60))),""),"")</f>
        <v/>
      </c>
      <c r="AW60" s="1802">
        <v>32566</v>
      </c>
      <c r="AX60" s="622" t="s">
        <v>95</v>
      </c>
      <c r="AZ60" s="622">
        <v>3.01</v>
      </c>
      <c r="BA60" s="625" t="s">
        <v>63</v>
      </c>
      <c r="BF60" s="1837"/>
      <c r="BG60" s="1837"/>
      <c r="BI60" s="1218" t="s">
        <v>75</v>
      </c>
      <c r="BJ60" s="1218" t="s">
        <v>1429</v>
      </c>
      <c r="BK60" s="1218" t="s">
        <v>1430</v>
      </c>
      <c r="BL60" s="1227">
        <v>27.493717</v>
      </c>
      <c r="BM60" s="1227">
        <v>-82.570205999999999</v>
      </c>
      <c r="BN60" s="1222" t="s">
        <v>1358</v>
      </c>
      <c r="BO60" s="1221" t="s">
        <v>610</v>
      </c>
      <c r="BP60" s="1219" t="str">
        <f t="shared" si="5"/>
        <v>Manatee - RIVERVIEW6</v>
      </c>
      <c r="BQ60" s="1219" t="str">
        <f t="shared" si="6"/>
        <v>Family</v>
      </c>
      <c r="BR60" s="1219" t="str">
        <f t="shared" si="7"/>
        <v>(27.493717, -82.570206)</v>
      </c>
      <c r="BS60" s="1221" t="str">
        <f t="shared" si="8"/>
        <v>&gt;30</v>
      </c>
    </row>
    <row r="61" spans="1:71" ht="14.5" customHeight="1">
      <c r="A61" s="1802">
        <v>33332</v>
      </c>
      <c r="B61" s="622" t="s">
        <v>36</v>
      </c>
      <c r="D61" s="1826" t="s">
        <v>200</v>
      </c>
      <c r="E61" s="1"/>
      <c r="F61" s="622">
        <v>302.02</v>
      </c>
      <c r="G61" s="622" t="s">
        <v>36</v>
      </c>
      <c r="L61" s="626">
        <v>14.04</v>
      </c>
      <c r="M61" s="626" t="s">
        <v>32</v>
      </c>
      <c r="N61" s="203"/>
      <c r="O61" s="627" t="str">
        <f t="array" ref="O61">IFERROR(IF($O$21="Metro",INDEX($F$23:$F$748,SMALL(IF((County=$G$23:$G$748),MATCH(ROW($G$23:$G$748),ROW($G$23:$G$748)),""),ROWS($A$23:A61))),INDEX($I$23:$I$52,SMALL(IF((County=$J$23:$J$52),MATCH(ROW($J$23:$J$52),ROW($J$23:$J$52)),""),ROWS($A$23:A61)))),"")</f>
        <v/>
      </c>
      <c r="Q61" s="627" t="str">
        <f t="array" ref="Q61">IFERROR(IF($Q$21="Yes",INDEX($L$23:$L$2323,SMALL(IF((County=$M$23:$M$2323),MATCH(ROW($M$23:$M$2323),ROW($M$23:$M$2323)),""),ROWS($A$23:A61))),""),"")</f>
        <v/>
      </c>
      <c r="S61" s="623">
        <v>32707</v>
      </c>
      <c r="T61" s="622" t="s">
        <v>97</v>
      </c>
      <c r="V61" s="622">
        <v>4.01</v>
      </c>
      <c r="W61" s="625" t="s">
        <v>70</v>
      </c>
      <c r="AB61" s="626">
        <v>2.08</v>
      </c>
      <c r="AC61" s="626" t="s">
        <v>87</v>
      </c>
      <c r="AE61" s="1802">
        <v>33330</v>
      </c>
      <c r="AF61" s="622" t="s">
        <v>36</v>
      </c>
      <c r="AI61" s="1376"/>
      <c r="AJ61" s="622">
        <v>204.05</v>
      </c>
      <c r="AK61" s="622" t="s">
        <v>36</v>
      </c>
      <c r="AP61" s="1837"/>
      <c r="AQ61" s="1837"/>
      <c r="AS61" s="627" t="str">
        <f t="array" ref="AS61">IFERROR(IF($O$21="Metro",INDEX($AJ$23:$AJ$748,SMALL(IF((County=$AK$23:$AK$748),MATCH(ROW($AK$23:$AK$748),ROW($AK$23:$AK$748)),""),ROWS($A$23:$A61))),INDEX($AM$23:$AM$58,SMALL(IF((County=$AN$23:$AN$58),MATCH(ROW($AN$23:$AN$58),ROW($AN$23:$AN$58)),""),ROWS($A$23:$A61)))),"")</f>
        <v/>
      </c>
      <c r="AU61" s="627" t="str">
        <f t="array" ref="AU61">IFERROR(IF($Q$21="Yes",INDEX($AP$23:$AP$2323,SMALL(IF((County=$AQ$23:$AQ$2323),MATCH(ROW($AQ$23:$AQ$2323),ROW($AQ$23:$AQ$2323)),""),ROWS($A$23:$A61))),""),"")</f>
        <v/>
      </c>
      <c r="AW61" s="1802">
        <v>32701</v>
      </c>
      <c r="AX61" s="622" t="s">
        <v>97</v>
      </c>
      <c r="AZ61" s="622">
        <v>3.02</v>
      </c>
      <c r="BA61" s="625" t="s">
        <v>63</v>
      </c>
      <c r="BF61" s="1837"/>
      <c r="BG61" s="1837"/>
      <c r="BI61" s="1218" t="s">
        <v>76</v>
      </c>
      <c r="BJ61" s="1218" t="s">
        <v>1431</v>
      </c>
      <c r="BK61" s="1218" t="s">
        <v>1432</v>
      </c>
      <c r="BL61" s="1218">
        <v>29.221194000000001</v>
      </c>
      <c r="BM61" s="1218">
        <v>-82.162833000000006</v>
      </c>
      <c r="BN61" s="1222" t="s">
        <v>1358</v>
      </c>
      <c r="BO61" s="1222" t="s">
        <v>610</v>
      </c>
      <c r="BP61" s="1219" t="str">
        <f t="shared" si="5"/>
        <v>Marion - Madison Oaks West</v>
      </c>
      <c r="BQ61" s="1219" t="str">
        <f t="shared" si="6"/>
        <v>Family</v>
      </c>
      <c r="BR61" s="1219" t="str">
        <f t="shared" si="7"/>
        <v>(29.221194, -82.162833)</v>
      </c>
      <c r="BS61" s="1221" t="str">
        <f t="shared" si="8"/>
        <v>&gt;30</v>
      </c>
    </row>
    <row r="62" spans="1:71" ht="14.5" customHeight="1">
      <c r="A62" s="1802">
        <v>33351</v>
      </c>
      <c r="B62" s="622" t="s">
        <v>36</v>
      </c>
      <c r="D62" s="1826" t="s">
        <v>201</v>
      </c>
      <c r="E62" s="1"/>
      <c r="F62" s="622">
        <v>303.01</v>
      </c>
      <c r="G62" s="622" t="s">
        <v>36</v>
      </c>
      <c r="L62" s="626">
        <v>15.01</v>
      </c>
      <c r="M62" s="626" t="s">
        <v>32</v>
      </c>
      <c r="N62" s="203"/>
      <c r="O62" s="627" t="str">
        <f t="array" ref="O62">IFERROR(IF($O$21="Metro",INDEX($F$23:$F$748,SMALL(IF((County=$G$23:$G$748),MATCH(ROW($G$23:$G$748),ROW($G$23:$G$748)),""),ROWS($A$23:A62))),INDEX($I$23:$I$52,SMALL(IF((County=$J$23:$J$52),MATCH(ROW($J$23:$J$52),ROW($J$23:$J$52)),""),ROWS($A$23:A62)))),"")</f>
        <v/>
      </c>
      <c r="Q62" s="627" t="str">
        <f t="array" ref="Q62">IFERROR(IF($Q$21="Yes",INDEX($L$23:$L$2323,SMALL(IF((County=$M$23:$M$2323),MATCH(ROW($M$23:$M$2323),ROW($M$23:$M$2323)),""),ROWS($A$23:A62))),""),"")</f>
        <v/>
      </c>
      <c r="S62" s="623">
        <v>32708</v>
      </c>
      <c r="T62" s="622" t="s">
        <v>97</v>
      </c>
      <c r="V62" s="622">
        <v>4.01</v>
      </c>
      <c r="W62" s="625" t="s">
        <v>76</v>
      </c>
      <c r="AB62" s="626">
        <v>2.09</v>
      </c>
      <c r="AC62" s="626" t="s">
        <v>87</v>
      </c>
      <c r="AE62" s="1802">
        <v>33331</v>
      </c>
      <c r="AF62" s="622" t="s">
        <v>36</v>
      </c>
      <c r="AI62" s="1376"/>
      <c r="AJ62" s="622">
        <v>204.12</v>
      </c>
      <c r="AK62" s="622" t="s">
        <v>36</v>
      </c>
      <c r="AP62" s="1837"/>
      <c r="AQ62" s="1837"/>
      <c r="AS62" s="627" t="str">
        <f t="array" ref="AS62">IFERROR(IF($O$21="Metro",INDEX($AJ$23:$AJ$748,SMALL(IF((County=$AK$23:$AK$748),MATCH(ROW($AK$23:$AK$748),ROW($AK$23:$AK$748)),""),ROWS($A$23:$A62))),INDEX($AM$23:$AM$58,SMALL(IF((County=$AN$23:$AN$58),MATCH(ROW($AN$23:$AN$58),ROW($AN$23:$AN$58)),""),ROWS($A$23:$A62)))),"")</f>
        <v/>
      </c>
      <c r="AU62" s="627" t="str">
        <f t="array" ref="AU62">IFERROR(IF($Q$21="Yes",INDEX($AP$23:$AP$2323,SMALL(IF((County=$AQ$23:$AQ$2323),MATCH(ROW($AQ$23:$AQ$2323),ROW($AQ$23:$AQ$2323)),""),ROWS($A$23:$A62))),""),"")</f>
        <v/>
      </c>
      <c r="AW62" s="1802">
        <v>32707</v>
      </c>
      <c r="AX62" s="622" t="s">
        <v>97</v>
      </c>
      <c r="AZ62" s="622">
        <v>3.02</v>
      </c>
      <c r="BA62" s="625" t="s">
        <v>76</v>
      </c>
      <c r="BF62" s="1837"/>
      <c r="BG62" s="1837"/>
      <c r="BI62" s="1218" t="s">
        <v>80</v>
      </c>
      <c r="BJ62" s="1218" t="s">
        <v>1433</v>
      </c>
      <c r="BK62" s="1218" t="s">
        <v>1557</v>
      </c>
      <c r="BL62" s="1218">
        <v>24.726161000000001</v>
      </c>
      <c r="BM62" s="1218">
        <v>-81.013914</v>
      </c>
      <c r="BN62" s="1222" t="s">
        <v>1371</v>
      </c>
      <c r="BO62" s="1222" t="s">
        <v>610</v>
      </c>
      <c r="BP62" s="1219" t="str">
        <f t="shared" si="5"/>
        <v>Monroe - Coco Vista - sites 1-2</v>
      </c>
      <c r="BQ62" s="1219" t="str">
        <f t="shared" si="6"/>
        <v>Workforce</v>
      </c>
      <c r="BR62" s="1219" t="str">
        <f t="shared" si="7"/>
        <v>(24.726161, -81.013914)</v>
      </c>
      <c r="BS62" s="1221" t="str">
        <f t="shared" si="8"/>
        <v>&gt;30</v>
      </c>
    </row>
    <row r="63" spans="1:71" ht="14.5" customHeight="1">
      <c r="A63" s="1802">
        <v>33442</v>
      </c>
      <c r="B63" s="622" t="s">
        <v>36</v>
      </c>
      <c r="E63" s="1"/>
      <c r="F63" s="622">
        <v>303.02</v>
      </c>
      <c r="G63" s="622" t="s">
        <v>36</v>
      </c>
      <c r="L63" s="626">
        <v>19</v>
      </c>
      <c r="M63" s="626" t="s">
        <v>32</v>
      </c>
      <c r="N63" s="203"/>
      <c r="O63" s="627" t="str">
        <f t="array" ref="O63">IFERROR(IF($O$21="Metro",INDEX($F$23:$F$748,SMALL(IF((County=$G$23:$G$748),MATCH(ROW($G$23:$G$748),ROW($G$23:$G$748)),""),ROWS($A$23:A63))),INDEX($I$23:$I$52,SMALL(IF((County=$J$23:$J$52),MATCH(ROW($J$23:$J$52),ROW($J$23:$J$52)),""),ROWS($A$23:A63)))),"")</f>
        <v/>
      </c>
      <c r="Q63" s="627" t="str">
        <f t="array" ref="Q63">IFERROR(IF($Q$21="Yes",INDEX($L$23:$L$2323,SMALL(IF((County=$M$23:$M$2323),MATCH(ROW($M$23:$M$2323),ROW($M$23:$M$2323)),""),ROWS($A$23:A63))),""),"")</f>
        <v/>
      </c>
      <c r="S63" s="623">
        <v>32712</v>
      </c>
      <c r="T63" s="622" t="s">
        <v>85</v>
      </c>
      <c r="V63" s="622">
        <v>4.0199999999999996</v>
      </c>
      <c r="W63" s="625" t="s">
        <v>63</v>
      </c>
      <c r="AB63" s="626">
        <v>2.1</v>
      </c>
      <c r="AC63" s="626" t="s">
        <v>87</v>
      </c>
      <c r="AE63" s="1802">
        <v>33332</v>
      </c>
      <c r="AF63" s="622" t="s">
        <v>36</v>
      </c>
      <c r="AI63" s="1376"/>
      <c r="AJ63" s="622">
        <v>302.02</v>
      </c>
      <c r="AK63" s="622" t="s">
        <v>36</v>
      </c>
      <c r="AP63" s="1837"/>
      <c r="AQ63" s="1837"/>
      <c r="AS63" s="627" t="str">
        <f t="array" ref="AS63">IFERROR(IF($O$21="Metro",INDEX($AJ$23:$AJ$748,SMALL(IF((County=$AK$23:$AK$748),MATCH(ROW($AK$23:$AK$748),ROW($AK$23:$AK$748)),""),ROWS($A$23:$A63))),INDEX($AM$23:$AM$58,SMALL(IF((County=$AN$23:$AN$58),MATCH(ROW($AN$23:$AN$58),ROW($AN$23:$AN$58)),""),ROWS($A$23:$A63)))),"")</f>
        <v/>
      </c>
      <c r="AU63" s="627" t="str">
        <f t="array" ref="AU63">IFERROR(IF($Q$21="Yes",INDEX($AP$23:$AP$2323,SMALL(IF((County=$AQ$23:$AQ$2323),MATCH(ROW($AQ$23:$AQ$2323),ROW($AQ$23:$AQ$2323)),""),ROWS($A$23:$A63))),""),"")</f>
        <v/>
      </c>
      <c r="AW63" s="1802">
        <v>32708</v>
      </c>
      <c r="AX63" s="622" t="s">
        <v>97</v>
      </c>
      <c r="AZ63" s="622">
        <v>3.05</v>
      </c>
      <c r="BA63" s="625" t="s">
        <v>70</v>
      </c>
      <c r="BF63" s="1837"/>
      <c r="BG63" s="1837"/>
      <c r="BI63" s="1218" t="s">
        <v>80</v>
      </c>
      <c r="BJ63" s="1218" t="s">
        <v>1434</v>
      </c>
      <c r="BK63" s="1218" t="s">
        <v>1435</v>
      </c>
      <c r="BL63" s="1218">
        <v>24.550028999999999</v>
      </c>
      <c r="BM63" s="1218">
        <v>-81.805183999999997</v>
      </c>
      <c r="BN63" s="1220" t="s">
        <v>1371</v>
      </c>
      <c r="BO63" s="1222" t="s">
        <v>610</v>
      </c>
      <c r="BP63" s="1219" t="str">
        <f t="shared" si="5"/>
        <v>Monroe - Lofts at Bahama Village</v>
      </c>
      <c r="BQ63" s="1219" t="str">
        <f t="shared" si="6"/>
        <v>Workforce</v>
      </c>
      <c r="BR63" s="1219" t="str">
        <f t="shared" si="7"/>
        <v>(24.550029, -81.805184)</v>
      </c>
      <c r="BS63" s="1221" t="str">
        <f t="shared" si="8"/>
        <v>&gt;30</v>
      </c>
    </row>
    <row r="64" spans="1:71" ht="14.5" customHeight="1">
      <c r="A64" s="1802">
        <v>33946</v>
      </c>
      <c r="B64" s="622" t="s">
        <v>41</v>
      </c>
      <c r="D64" s="1824" t="s">
        <v>194</v>
      </c>
      <c r="E64" s="1"/>
      <c r="F64" s="622">
        <v>304.02</v>
      </c>
      <c r="G64" s="622" t="s">
        <v>36</v>
      </c>
      <c r="L64" s="626">
        <v>25</v>
      </c>
      <c r="M64" s="626" t="s">
        <v>32</v>
      </c>
      <c r="N64" s="203"/>
      <c r="O64" s="627" t="str">
        <f t="array" ref="O64">IFERROR(IF($O$21="Metro",INDEX($F$23:$F$748,SMALL(IF((County=$G$23:$G$748),MATCH(ROW($G$23:$G$748),ROW($G$23:$G$748)),""),ROWS($A$23:A64))),INDEX($I$23:$I$52,SMALL(IF((County=$J$23:$J$52),MATCH(ROW($J$23:$J$52),ROW($J$23:$J$52)),""),ROWS($A$23:A64)))),"")</f>
        <v/>
      </c>
      <c r="Q64" s="627" t="str">
        <f t="array" ref="Q64">IFERROR(IF($Q$21="Yes",INDEX($L$23:$L$2323,SMALL(IF((County=$M$23:$M$2323),MATCH(ROW($M$23:$M$2323),ROW($M$23:$M$2323)),""),ROWS($A$23:A64))),""),"")</f>
        <v/>
      </c>
      <c r="S64" s="623">
        <v>32714</v>
      </c>
      <c r="T64" s="622" t="s">
        <v>97</v>
      </c>
      <c r="V64" s="622">
        <v>4.0199999999999996</v>
      </c>
      <c r="W64" s="625" t="s">
        <v>76</v>
      </c>
      <c r="AB64" s="626">
        <v>2.11</v>
      </c>
      <c r="AC64" s="626" t="s">
        <v>78</v>
      </c>
      <c r="AE64" s="1802">
        <v>33351</v>
      </c>
      <c r="AF64" s="622" t="s">
        <v>36</v>
      </c>
      <c r="AI64" s="1376"/>
      <c r="AJ64" s="622">
        <v>303.01</v>
      </c>
      <c r="AK64" s="622" t="s">
        <v>36</v>
      </c>
      <c r="AP64" s="1837"/>
      <c r="AQ64" s="1837"/>
      <c r="AS64" s="627" t="str">
        <f t="array" ref="AS64">IFERROR(IF($O$21="Metro",INDEX($AJ$23:$AJ$748,SMALL(IF((County=$AK$23:$AK$748),MATCH(ROW($AK$23:$AK$748),ROW($AK$23:$AK$748)),""),ROWS($A$23:$A64))),INDEX($AM$23:$AM$58,SMALL(IF((County=$AN$23:$AN$58),MATCH(ROW($AN$23:$AN$58),ROW($AN$23:$AN$58)),""),ROWS($A$23:$A64)))),"")</f>
        <v/>
      </c>
      <c r="AU64" s="627" t="str">
        <f t="array" ref="AU64">IFERROR(IF($Q$21="Yes",INDEX($AP$23:$AP$2323,SMALL(IF((County=$AQ$23:$AQ$2323),MATCH(ROW($AQ$23:$AQ$2323),ROW($AQ$23:$AQ$2323)),""),ROWS($A$23:$A64))),""),"")</f>
        <v/>
      </c>
      <c r="AW64" s="1802">
        <v>32712</v>
      </c>
      <c r="AX64" s="622" t="s">
        <v>85</v>
      </c>
      <c r="AZ64" s="622">
        <v>3.05</v>
      </c>
      <c r="BA64" s="625" t="s">
        <v>75</v>
      </c>
      <c r="BF64" s="1837"/>
      <c r="BG64" s="1837"/>
      <c r="BI64" s="1218" t="s">
        <v>83</v>
      </c>
      <c r="BJ64" s="1218" t="s">
        <v>1436</v>
      </c>
      <c r="BK64" s="1218" t="s">
        <v>1437</v>
      </c>
      <c r="BL64" s="1218">
        <v>30.739277000000001</v>
      </c>
      <c r="BM64" s="1218">
        <v>-86.556075000000007</v>
      </c>
      <c r="BN64" s="1222" t="s">
        <v>1358</v>
      </c>
      <c r="BO64" s="1224" t="s">
        <v>610</v>
      </c>
      <c r="BP64" s="1219" t="str">
        <f t="shared" si="5"/>
        <v>Okaloosa - Arbours at Crestview</v>
      </c>
      <c r="BQ64" s="1219" t="str">
        <f t="shared" si="6"/>
        <v>Family</v>
      </c>
      <c r="BR64" s="1219" t="str">
        <f t="shared" si="7"/>
        <v>(30.739277, -86.556075)</v>
      </c>
      <c r="BS64" s="1221" t="str">
        <f t="shared" si="8"/>
        <v>&gt;30</v>
      </c>
    </row>
    <row r="65" spans="1:71" ht="14.5" customHeight="1">
      <c r="A65" s="1802">
        <v>33947</v>
      </c>
      <c r="B65" s="622" t="s">
        <v>41</v>
      </c>
      <c r="D65" s="1825" t="s">
        <v>190</v>
      </c>
      <c r="E65" s="1"/>
      <c r="F65" s="622">
        <v>305</v>
      </c>
      <c r="G65" s="622" t="s">
        <v>36</v>
      </c>
      <c r="L65" s="626">
        <v>26.01</v>
      </c>
      <c r="M65" s="626" t="s">
        <v>32</v>
      </c>
      <c r="N65" s="203"/>
      <c r="O65" s="627" t="str">
        <f t="array" ref="O65">IFERROR(IF($O$21="Metro",INDEX($F$23:$F$748,SMALL(IF((County=$G$23:$G$748),MATCH(ROW($G$23:$G$748),ROW($G$23:$G$748)),""),ROWS($A$23:A65))),INDEX($I$23:$I$52,SMALL(IF((County=$J$23:$J$52),MATCH(ROW($J$23:$J$52),ROW($J$23:$J$52)),""),ROWS($A$23:A65)))),"")</f>
        <v/>
      </c>
      <c r="Q65" s="627" t="str">
        <f t="array" ref="Q65">IFERROR(IF($Q$21="Yes",INDEX($L$23:$L$2323,SMALL(IF((County=$M$23:$M$2323),MATCH(ROW($M$23:$M$2323),ROW($M$23:$M$2323)),""),ROWS($A$23:A65))),""),"")</f>
        <v/>
      </c>
      <c r="S65" s="623">
        <v>32725</v>
      </c>
      <c r="T65" s="622" t="s">
        <v>102</v>
      </c>
      <c r="V65" s="622">
        <v>4.0199999999999996</v>
      </c>
      <c r="W65" s="625" t="s">
        <v>78</v>
      </c>
      <c r="AB65" s="626">
        <v>2.11</v>
      </c>
      <c r="AC65" s="626" t="s">
        <v>87</v>
      </c>
      <c r="AE65" s="1802">
        <v>33442</v>
      </c>
      <c r="AF65" s="622" t="s">
        <v>36</v>
      </c>
      <c r="AI65" s="1376"/>
      <c r="AJ65" s="622">
        <v>303.02</v>
      </c>
      <c r="AK65" s="622" t="s">
        <v>36</v>
      </c>
      <c r="AP65" s="1837"/>
      <c r="AQ65" s="1837"/>
      <c r="AS65" s="627" t="str">
        <f t="array" ref="AS65">IFERROR(IF($O$21="Metro",INDEX($AJ$23:$AJ$748,SMALL(IF((County=$AK$23:$AK$748),MATCH(ROW($AK$23:$AK$748),ROW($AK$23:$AK$748)),""),ROWS($A$23:$A65))),INDEX($AM$23:$AM$58,SMALL(IF((County=$AN$23:$AN$58),MATCH(ROW($AN$23:$AN$58),ROW($AN$23:$AN$58)),""),ROWS($A$23:$A65)))),"")</f>
        <v/>
      </c>
      <c r="AU65" s="627" t="str">
        <f t="array" ref="AU65">IFERROR(IF($Q$21="Yes",INDEX($AP$23:$AP$2323,SMALL(IF((County=$AQ$23:$AQ$2323),MATCH(ROW($AQ$23:$AQ$2323),ROW($AQ$23:$AQ$2323)),""),ROWS($A$23:$A65))),""),"")</f>
        <v/>
      </c>
      <c r="AW65" s="1802">
        <v>32714</v>
      </c>
      <c r="AX65" s="622" t="s">
        <v>97</v>
      </c>
      <c r="AZ65" s="622">
        <v>3.06</v>
      </c>
      <c r="BA65" s="625" t="s">
        <v>70</v>
      </c>
      <c r="BF65" s="1837"/>
      <c r="BG65" s="1837"/>
      <c r="BI65" s="1218" t="s">
        <v>83</v>
      </c>
      <c r="BJ65" s="1218" t="s">
        <v>1438</v>
      </c>
      <c r="BK65" s="1218" t="s">
        <v>1439</v>
      </c>
      <c r="BL65" s="1219">
        <v>30.742882999999999</v>
      </c>
      <c r="BM65" s="1219">
        <v>-86.556235999999998</v>
      </c>
      <c r="BN65" s="1222" t="s">
        <v>1355</v>
      </c>
      <c r="BO65" s="1222" t="s">
        <v>610</v>
      </c>
      <c r="BP65" s="1219" t="str">
        <f t="shared" si="5"/>
        <v>Okaloosa - Princeton Grove</v>
      </c>
      <c r="BQ65" s="1219" t="str">
        <f t="shared" si="6"/>
        <v>Elderly, Non-ALF</v>
      </c>
      <c r="BR65" s="1219" t="str">
        <f t="shared" si="7"/>
        <v>(30.742883, -86.556236)</v>
      </c>
      <c r="BS65" s="1221" t="str">
        <f t="shared" si="8"/>
        <v>&gt;30</v>
      </c>
    </row>
    <row r="66" spans="1:71" ht="14.5" customHeight="1">
      <c r="A66" s="1802">
        <v>33954</v>
      </c>
      <c r="B66" s="622" t="s">
        <v>41</v>
      </c>
      <c r="D66" s="1825" t="s">
        <v>196</v>
      </c>
      <c r="E66" s="1"/>
      <c r="F66" s="622">
        <v>308.01</v>
      </c>
      <c r="G66" s="622" t="s">
        <v>36</v>
      </c>
      <c r="L66" s="626">
        <v>26.04</v>
      </c>
      <c r="M66" s="626" t="s">
        <v>32</v>
      </c>
      <c r="N66" s="203"/>
      <c r="O66" s="627" t="str">
        <f t="array" ref="O66">IFERROR(IF($O$21="Metro",INDEX($F$23:$F$748,SMALL(IF((County=$G$23:$G$748),MATCH(ROW($G$23:$G$748),ROW($G$23:$G$748)),""),ROWS($A$23:A66))),INDEX($I$23:$I$52,SMALL(IF((County=$J$23:$J$52),MATCH(ROW($J$23:$J$52),ROW($J$23:$J$52)),""),ROWS($A$23:A66)))),"")</f>
        <v/>
      </c>
      <c r="Q66" s="627" t="str">
        <f t="array" ref="Q66">IFERROR(IF($Q$21="Yes",INDEX($L$23:$L$2323,SMALL(IF((County=$M$23:$M$2323),MATCH(ROW($M$23:$M$2323),ROW($M$23:$M$2323)),""),ROWS($A$23:A66))),""),"")</f>
        <v/>
      </c>
      <c r="S66" s="623">
        <v>32732</v>
      </c>
      <c r="T66" s="622" t="s">
        <v>97</v>
      </c>
      <c r="V66" s="622">
        <v>4.03</v>
      </c>
      <c r="W66" s="625" t="s">
        <v>78</v>
      </c>
      <c r="AB66" s="626">
        <v>2.13</v>
      </c>
      <c r="AC66" s="626" t="s">
        <v>78</v>
      </c>
      <c r="AE66" s="1802">
        <v>33946</v>
      </c>
      <c r="AF66" s="622" t="s">
        <v>41</v>
      </c>
      <c r="AI66" s="1376"/>
      <c r="AJ66" s="622">
        <v>304.02</v>
      </c>
      <c r="AK66" s="622" t="s">
        <v>36</v>
      </c>
      <c r="AP66" s="1837"/>
      <c r="AQ66" s="1837"/>
      <c r="AS66" s="627" t="str">
        <f t="array" ref="AS66">IFERROR(IF($O$21="Metro",INDEX($AJ$23:$AJ$748,SMALL(IF((County=$AK$23:$AK$748),MATCH(ROW($AK$23:$AK$748),ROW($AK$23:$AK$748)),""),ROWS($A$23:$A66))),INDEX($AM$23:$AM$58,SMALL(IF((County=$AN$23:$AN$58),MATCH(ROW($AN$23:$AN$58),ROW($AN$23:$AN$58)),""),ROWS($A$23:$A66)))),"")</f>
        <v/>
      </c>
      <c r="AU66" s="627" t="str">
        <f t="array" ref="AU66">IFERROR(IF($Q$21="Yes",INDEX($AP$23:$AP$2323,SMALL(IF((County=$AQ$23:$AQ$2323),MATCH(ROW($AQ$23:$AQ$2323),ROW($AQ$23:$AQ$2323)),""),ROWS($A$23:$A66))),""),"")</f>
        <v/>
      </c>
      <c r="AW66" s="1802">
        <v>32725</v>
      </c>
      <c r="AX66" s="622" t="s">
        <v>102</v>
      </c>
      <c r="AZ66" s="622">
        <v>3.06</v>
      </c>
      <c r="BA66" s="622" t="s">
        <v>78</v>
      </c>
      <c r="BF66" s="1837"/>
      <c r="BG66" s="1837"/>
      <c r="BI66" s="1218" t="s">
        <v>83</v>
      </c>
      <c r="BJ66" s="1218" t="s">
        <v>1440</v>
      </c>
      <c r="BK66" s="1218" t="s">
        <v>1441</v>
      </c>
      <c r="BL66" s="1227">
        <v>30.427481</v>
      </c>
      <c r="BM66" s="1226">
        <v>-86.652214000000001</v>
      </c>
      <c r="BN66" s="1222" t="s">
        <v>1355</v>
      </c>
      <c r="BO66" s="1221" t="s">
        <v>610</v>
      </c>
      <c r="BP66" s="1219" t="str">
        <f t="shared" si="5"/>
        <v>Okaloosa - Shoreline Villas</v>
      </c>
      <c r="BQ66" s="1219" t="str">
        <f t="shared" si="6"/>
        <v>Elderly, Non-ALF</v>
      </c>
      <c r="BR66" s="1219" t="str">
        <f t="shared" si="7"/>
        <v>(30.427481, -86.652214)</v>
      </c>
      <c r="BS66" s="1221" t="str">
        <f t="shared" si="8"/>
        <v>&gt;30</v>
      </c>
    </row>
    <row r="67" spans="1:71" ht="14.5" customHeight="1">
      <c r="A67" s="1802">
        <v>33955</v>
      </c>
      <c r="B67" s="622" t="s">
        <v>41</v>
      </c>
      <c r="D67" s="1825" t="s">
        <v>197</v>
      </c>
      <c r="E67" s="1"/>
      <c r="F67" s="622">
        <v>408.01</v>
      </c>
      <c r="G67" s="622" t="s">
        <v>36</v>
      </c>
      <c r="L67" s="626">
        <v>26.06</v>
      </c>
      <c r="M67" s="626" t="s">
        <v>32</v>
      </c>
      <c r="N67" s="203"/>
      <c r="O67" s="627" t="str">
        <f t="array" ref="O67">IFERROR(IF($O$21="Metro",INDEX($F$23:$F$748,SMALL(IF((County=$G$23:$G$748),MATCH(ROW($G$23:$G$748),ROW($G$23:$G$748)),""),ROWS($A$23:A67))),INDEX($I$23:$I$52,SMALL(IF((County=$J$23:$J$52),MATCH(ROW($J$23:$J$52),ROW($J$23:$J$52)),""),ROWS($A$23:A67)))),"")</f>
        <v/>
      </c>
      <c r="Q67" s="627" t="str">
        <f t="array" ref="Q67">IFERROR(IF($Q$21="Yes",INDEX($L$23:$L$2323,SMALL(IF((County=$M$23:$M$2323),MATCH(ROW($M$23:$M$2323),ROW($M$23:$M$2323)),""),ROWS($A$23:A67))),""),"")</f>
        <v/>
      </c>
      <c r="S67" s="623">
        <v>32735</v>
      </c>
      <c r="T67" s="622" t="s">
        <v>69</v>
      </c>
      <c r="V67" s="622">
        <v>4.0599999999999996</v>
      </c>
      <c r="W67" s="625" t="s">
        <v>96</v>
      </c>
      <c r="AB67" s="626">
        <v>2.14</v>
      </c>
      <c r="AC67" s="626" t="s">
        <v>78</v>
      </c>
      <c r="AE67" s="1802">
        <v>33947</v>
      </c>
      <c r="AF67" s="622" t="s">
        <v>41</v>
      </c>
      <c r="AI67" s="1376"/>
      <c r="AJ67" s="622">
        <v>305</v>
      </c>
      <c r="AK67" s="622" t="s">
        <v>36</v>
      </c>
      <c r="AP67" s="1837"/>
      <c r="AQ67" s="1837"/>
      <c r="AS67" s="627" t="str">
        <f t="array" ref="AS67">IFERROR(IF($O$21="Metro",INDEX($AJ$23:$AJ$748,SMALL(IF((County=$AK$23:$AK$748),MATCH(ROW($AK$23:$AK$748),ROW($AK$23:$AK$748)),""),ROWS($A$23:$A67))),INDEX($AM$23:$AM$58,SMALL(IF((County=$AN$23:$AN$58),MATCH(ROW($AN$23:$AN$58),ROW($AN$23:$AN$58)),""),ROWS($A$23:$A67)))),"")</f>
        <v/>
      </c>
      <c r="AU67" s="627" t="str">
        <f t="array" ref="AU67">IFERROR(IF($Q$21="Yes",INDEX($AP$23:$AP$2323,SMALL(IF((County=$AQ$23:$AQ$2323),MATCH(ROW($AQ$23:$AQ$2323),ROW($AQ$23:$AQ$2323)),""),ROWS($A$23:$A67))),""),"")</f>
        <v/>
      </c>
      <c r="AW67" s="1802">
        <v>32732</v>
      </c>
      <c r="AX67" s="622" t="s">
        <v>97</v>
      </c>
      <c r="AZ67" s="622">
        <v>3.07</v>
      </c>
      <c r="BA67" s="625" t="s">
        <v>75</v>
      </c>
      <c r="BF67" s="1837"/>
      <c r="BG67" s="1837"/>
      <c r="BI67" s="1223" t="s">
        <v>86</v>
      </c>
      <c r="BJ67" s="1223" t="s">
        <v>1442</v>
      </c>
      <c r="BK67" s="1218" t="s">
        <v>1443</v>
      </c>
      <c r="BL67" s="1218">
        <v>28.265356000000001</v>
      </c>
      <c r="BM67" s="1238">
        <v>-81.485287</v>
      </c>
      <c r="BN67" s="1222" t="s">
        <v>1358</v>
      </c>
      <c r="BO67" s="1224" t="s">
        <v>610</v>
      </c>
      <c r="BP67" s="1219" t="str">
        <f t="shared" si="5"/>
        <v>Osceola - Falcon Trace II</v>
      </c>
      <c r="BQ67" s="1219" t="str">
        <f t="shared" si="6"/>
        <v>Family</v>
      </c>
      <c r="BR67" s="1219" t="str">
        <f t="shared" si="7"/>
        <v>(28.265356, -81.485287)</v>
      </c>
      <c r="BS67" s="1221" t="str">
        <f t="shared" si="8"/>
        <v>&gt;30</v>
      </c>
    </row>
    <row r="68" spans="1:71" ht="14.5" customHeight="1">
      <c r="A68" s="1802">
        <v>33981</v>
      </c>
      <c r="B68" s="622" t="s">
        <v>41</v>
      </c>
      <c r="E68" s="1"/>
      <c r="F68" s="622">
        <v>409.01</v>
      </c>
      <c r="G68" s="622" t="s">
        <v>36</v>
      </c>
      <c r="L68" s="626">
        <v>26.07</v>
      </c>
      <c r="M68" s="626" t="s">
        <v>32</v>
      </c>
      <c r="N68" s="203"/>
      <c r="O68" s="627" t="str">
        <f t="array" ref="O68">IFERROR(IF($O$21="Metro",INDEX($F$23:$F$748,SMALL(IF((County=$G$23:$G$748),MATCH(ROW($G$23:$G$748),ROW($G$23:$G$748)),""),ROWS($A$23:A68))),INDEX($I$23:$I$52,SMALL(IF((County=$J$23:$J$52),MATCH(ROW($J$23:$J$52),ROW($J$23:$J$52)),""),ROWS($A$23:A68)))),"")</f>
        <v/>
      </c>
      <c r="Q68" s="627" t="str">
        <f t="array" ref="Q68">IFERROR(IF($Q$21="Yes",INDEX($L$23:$L$2323,SMALL(IF((County=$M$23:$M$2323),MATCH(ROW($M$23:$M$2323),ROW($M$23:$M$2323)),""),ROWS($A$23:A68))),""),"")</f>
        <v/>
      </c>
      <c r="S68" s="623">
        <v>32746</v>
      </c>
      <c r="T68" s="622" t="s">
        <v>97</v>
      </c>
      <c r="V68" s="622">
        <v>4.08</v>
      </c>
      <c r="W68" s="625" t="s">
        <v>78</v>
      </c>
      <c r="AB68" s="626">
        <v>2.14</v>
      </c>
      <c r="AC68" s="626" t="s">
        <v>87</v>
      </c>
      <c r="AE68" s="1802">
        <v>33953</v>
      </c>
      <c r="AF68" s="622" t="s">
        <v>41</v>
      </c>
      <c r="AI68" s="1376"/>
      <c r="AJ68" s="622">
        <v>308.02999999999997</v>
      </c>
      <c r="AK68" s="622" t="s">
        <v>36</v>
      </c>
      <c r="AP68" s="1837"/>
      <c r="AQ68" s="1837"/>
      <c r="AS68" s="627" t="str">
        <f t="array" ref="AS68">IFERROR(IF($O$21="Metro",INDEX($AJ$23:$AJ$748,SMALL(IF((County=$AK$23:$AK$748),MATCH(ROW($AK$23:$AK$748),ROW($AK$23:$AK$748)),""),ROWS($A$23:$A68))),INDEX($AM$23:$AM$58,SMALL(IF((County=$AN$23:$AN$58),MATCH(ROW($AN$23:$AN$58),ROW($AN$23:$AN$58)),""),ROWS($A$23:$A68)))),"")</f>
        <v/>
      </c>
      <c r="AU68" s="627" t="str">
        <f t="array" ref="AU68">IFERROR(IF($Q$21="Yes",INDEX($AP$23:$AP$2323,SMALL(IF((County=$AQ$23:$AQ$2323),MATCH(ROW($AQ$23:$AQ$2323),ROW($AQ$23:$AQ$2323)),""),ROWS($A$23:$A68))),""),"")</f>
        <v/>
      </c>
      <c r="AW68" s="1802">
        <v>32735</v>
      </c>
      <c r="AX68" s="622" t="s">
        <v>69</v>
      </c>
      <c r="AZ68" s="622">
        <v>3.09</v>
      </c>
      <c r="BA68" s="625" t="s">
        <v>75</v>
      </c>
      <c r="BF68" s="1837"/>
      <c r="BG68" s="1837"/>
      <c r="BI68" s="1218" t="s">
        <v>86</v>
      </c>
      <c r="BJ68" s="1218" t="s">
        <v>1444</v>
      </c>
      <c r="BK68" s="1218" t="s">
        <v>1445</v>
      </c>
      <c r="BL68" s="1218">
        <v>28.229972</v>
      </c>
      <c r="BM68" s="1218">
        <v>-81.307528000000005</v>
      </c>
      <c r="BN68" s="1220" t="s">
        <v>1355</v>
      </c>
      <c r="BO68" s="1222" t="s">
        <v>610</v>
      </c>
      <c r="BP68" s="1219" t="str">
        <f t="shared" si="5"/>
        <v>Osceola - Madison Grove</v>
      </c>
      <c r="BQ68" s="1219" t="str">
        <f t="shared" si="6"/>
        <v>Elderly, Non-ALF</v>
      </c>
      <c r="BR68" s="1219" t="str">
        <f t="shared" si="7"/>
        <v>(28.229972, -81.307528)</v>
      </c>
      <c r="BS68" s="1221" t="str">
        <f t="shared" si="8"/>
        <v>&gt;30</v>
      </c>
    </row>
    <row r="69" spans="1:71" ht="14.5" customHeight="1">
      <c r="A69" s="1802">
        <v>34429</v>
      </c>
      <c r="B69" s="622" t="s">
        <v>42</v>
      </c>
      <c r="E69" s="1"/>
      <c r="F69" s="622">
        <v>409.02</v>
      </c>
      <c r="G69" s="622" t="s">
        <v>36</v>
      </c>
      <c r="L69" s="626">
        <v>26.08</v>
      </c>
      <c r="M69" s="626" t="s">
        <v>32</v>
      </c>
      <c r="N69" s="203"/>
      <c r="O69" s="627" t="str">
        <f t="array" ref="O69">IFERROR(IF($O$21="Metro",INDEX($F$23:$F$748,SMALL(IF((County=$G$23:$G$748),MATCH(ROW($G$23:$G$748),ROW($G$23:$G$748)),""),ROWS($A$23:A69))),INDEX($I$23:$I$52,SMALL(IF((County=$J$23:$J$52),MATCH(ROW($J$23:$J$52),ROW($J$23:$J$52)),""),ROWS($A$23:A69)))),"")</f>
        <v/>
      </c>
      <c r="Q69" s="627" t="str">
        <f t="array" ref="Q69">IFERROR(IF($Q$21="Yes",INDEX($L$23:$L$2323,SMALL(IF((County=$M$23:$M$2323),MATCH(ROW($M$23:$M$2323),ROW($M$23:$M$2323)),""),ROWS($A$23:A69))),""),"")</f>
        <v/>
      </c>
      <c r="S69" s="623">
        <v>32750</v>
      </c>
      <c r="T69" s="622" t="s">
        <v>97</v>
      </c>
      <c r="V69" s="622">
        <v>4.1100000000000003</v>
      </c>
      <c r="W69" s="625" t="s">
        <v>78</v>
      </c>
      <c r="AB69" s="626">
        <v>2.15</v>
      </c>
      <c r="AC69" s="626" t="s">
        <v>87</v>
      </c>
      <c r="AE69" s="1802">
        <v>33954</v>
      </c>
      <c r="AF69" s="622" t="s">
        <v>41</v>
      </c>
      <c r="AI69" s="1376"/>
      <c r="AJ69" s="622">
        <v>308.04000000000002</v>
      </c>
      <c r="AK69" s="622" t="s">
        <v>36</v>
      </c>
      <c r="AP69" s="1837"/>
      <c r="AQ69" s="1837"/>
      <c r="AS69" s="627" t="str">
        <f t="array" ref="AS69">IFERROR(IF($O$21="Metro",INDEX($AJ$23:$AJ$748,SMALL(IF((County=$AK$23:$AK$748),MATCH(ROW($AK$23:$AK$748),ROW($AK$23:$AK$748)),""),ROWS($A$23:$A69))),INDEX($AM$23:$AM$58,SMALL(IF((County=$AN$23:$AN$58),MATCH(ROW($AN$23:$AN$58),ROW($AN$23:$AN$58)),""),ROWS($A$23:$A69)))),"")</f>
        <v/>
      </c>
      <c r="AU69" s="627" t="str">
        <f t="array" ref="AU69">IFERROR(IF($Q$21="Yes",INDEX($AP$23:$AP$2323,SMALL(IF((County=$AQ$23:$AQ$2323),MATCH(ROW($AQ$23:$AQ$2323),ROW($AQ$23:$AQ$2323)),""),ROWS($A$23:$A69))),""),"")</f>
        <v/>
      </c>
      <c r="AW69" s="1802">
        <v>32746</v>
      </c>
      <c r="AX69" s="622" t="s">
        <v>97</v>
      </c>
      <c r="AZ69" s="622">
        <v>3.09</v>
      </c>
      <c r="BA69" s="622" t="s">
        <v>78</v>
      </c>
      <c r="BF69" s="1837"/>
      <c r="BG69" s="1837"/>
      <c r="BI69" s="1218" t="s">
        <v>86</v>
      </c>
      <c r="BJ69" s="1237" t="s">
        <v>1446</v>
      </c>
      <c r="BK69" s="1237" t="s">
        <v>1447</v>
      </c>
      <c r="BL69" s="1228">
        <v>28.308364999999998</v>
      </c>
      <c r="BM69" s="1226">
        <v>-81.448998000000003</v>
      </c>
      <c r="BN69" s="1220" t="s">
        <v>1358</v>
      </c>
      <c r="BO69" s="1221" t="s">
        <v>610</v>
      </c>
      <c r="BP69" s="1219" t="str">
        <f t="shared" si="5"/>
        <v>Osceola - Pinnacle at the Wesleyan</v>
      </c>
      <c r="BQ69" s="1219" t="str">
        <f t="shared" si="6"/>
        <v>Family</v>
      </c>
      <c r="BR69" s="1219" t="str">
        <f t="shared" si="7"/>
        <v>(28.308365, -81.448998)</v>
      </c>
      <c r="BS69" s="1221" t="str">
        <f t="shared" si="8"/>
        <v>&gt;30</v>
      </c>
    </row>
    <row r="70" spans="1:71" ht="14.5" customHeight="1">
      <c r="A70" s="1802">
        <v>34434</v>
      </c>
      <c r="B70" s="622" t="s">
        <v>42</v>
      </c>
      <c r="E70" s="1"/>
      <c r="F70" s="622">
        <v>410</v>
      </c>
      <c r="G70" s="622" t="s">
        <v>36</v>
      </c>
      <c r="L70" s="626">
        <v>27.01</v>
      </c>
      <c r="M70" s="626" t="s">
        <v>32</v>
      </c>
      <c r="N70" s="203"/>
      <c r="O70" s="627" t="str">
        <f t="array" ref="O70">IFERROR(IF($O$21="Metro",INDEX($F$23:$F$748,SMALL(IF((County=$G$23:$G$748),MATCH(ROW($G$23:$G$748),ROW($G$23:$G$748)),""),ROWS($A$23:A70))),INDEX($I$23:$I$52,SMALL(IF((County=$J$23:$J$52),MATCH(ROW($J$23:$J$52),ROW($J$23:$J$52)),""),ROWS($A$23:A70)))),"")</f>
        <v/>
      </c>
      <c r="Q70" s="627" t="str">
        <f t="array" ref="Q70">IFERROR(IF($Q$21="Yes",INDEX($L$23:$L$2323,SMALL(IF((County=$M$23:$M$2323),MATCH(ROW($M$23:$M$2323),ROW($M$23:$M$2323)),""),ROWS($A$23:A70))),""),"")</f>
        <v/>
      </c>
      <c r="S70" s="623">
        <v>32751</v>
      </c>
      <c r="T70" s="622" t="s">
        <v>85</v>
      </c>
      <c r="V70" s="622">
        <v>4.12</v>
      </c>
      <c r="W70" s="625" t="s">
        <v>78</v>
      </c>
      <c r="AB70" s="626">
        <v>3</v>
      </c>
      <c r="AC70" s="626" t="s">
        <v>34</v>
      </c>
      <c r="AE70" s="1802">
        <v>33955</v>
      </c>
      <c r="AF70" s="622" t="s">
        <v>41</v>
      </c>
      <c r="AI70" s="1376"/>
      <c r="AJ70" s="622">
        <v>310.01</v>
      </c>
      <c r="AK70" s="622" t="s">
        <v>36</v>
      </c>
      <c r="AP70" s="1837"/>
      <c r="AQ70" s="1837"/>
      <c r="AS70" s="627" t="str">
        <f t="array" ref="AS70">IFERROR(IF($O$21="Metro",INDEX($AJ$23:$AJ$748,SMALL(IF((County=$AK$23:$AK$748),MATCH(ROW($AK$23:$AK$748),ROW($AK$23:$AK$748)),""),ROWS($A$23:$A70))),INDEX($AM$23:$AM$58,SMALL(IF((County=$AN$23:$AN$58),MATCH(ROW($AN$23:$AN$58),ROW($AN$23:$AN$58)),""),ROWS($A$23:$A70)))),"")</f>
        <v/>
      </c>
      <c r="AU70" s="627" t="str">
        <f t="array" ref="AU70">IFERROR(IF($Q$21="Yes",INDEX($AP$23:$AP$2323,SMALL(IF((County=$AQ$23:$AQ$2323),MATCH(ROW($AQ$23:$AQ$2323),ROW($AQ$23:$AQ$2323)),""),ROWS($A$23:$A70))),""),"")</f>
        <v/>
      </c>
      <c r="AW70" s="1802">
        <v>32750</v>
      </c>
      <c r="AX70" s="622" t="s">
        <v>97</v>
      </c>
      <c r="AZ70" s="622">
        <v>3.1</v>
      </c>
      <c r="BA70" s="625" t="s">
        <v>75</v>
      </c>
      <c r="BF70" s="1837"/>
      <c r="BG70" s="1837"/>
      <c r="BI70" s="1218" t="s">
        <v>86</v>
      </c>
      <c r="BJ70" s="1218" t="s">
        <v>1448</v>
      </c>
      <c r="BK70" s="1218" t="s">
        <v>1449</v>
      </c>
      <c r="BL70" s="1227">
        <v>28.310184</v>
      </c>
      <c r="BM70" s="1226">
        <v>-81.454538999999997</v>
      </c>
      <c r="BN70" s="1222" t="s">
        <v>1358</v>
      </c>
      <c r="BO70" s="1221" t="s">
        <v>610</v>
      </c>
      <c r="BP70" s="1219" t="str">
        <f t="shared" si="5"/>
        <v>Osceola - Rosewood Pointe</v>
      </c>
      <c r="BQ70" s="1219" t="str">
        <f t="shared" si="6"/>
        <v>Family</v>
      </c>
      <c r="BR70" s="1219" t="str">
        <f t="shared" si="7"/>
        <v>(28.310184, -81.454539)</v>
      </c>
      <c r="BS70" s="1221" t="str">
        <f t="shared" si="8"/>
        <v>&gt;30</v>
      </c>
    </row>
    <row r="71" spans="1:71" ht="14.5" customHeight="1">
      <c r="A71" s="1802">
        <v>34446</v>
      </c>
      <c r="B71" s="622" t="s">
        <v>42</v>
      </c>
      <c r="E71" s="1"/>
      <c r="F71" s="622">
        <v>412</v>
      </c>
      <c r="G71" s="622" t="s">
        <v>36</v>
      </c>
      <c r="L71" s="626">
        <v>27.02</v>
      </c>
      <c r="M71" s="626" t="s">
        <v>32</v>
      </c>
      <c r="N71" s="203"/>
      <c r="O71" s="627" t="str">
        <f t="array" ref="O71">IFERROR(IF($O$21="Metro",INDEX($F$23:$F$748,SMALL(IF((County=$G$23:$G$748),MATCH(ROW($G$23:$G$748),ROW($G$23:$G$748)),""),ROWS($A$23:A71))),INDEX($I$23:$I$52,SMALL(IF((County=$J$23:$J$52),MATCH(ROW($J$23:$J$52),ROW($J$23:$J$52)),""),ROWS($A$23:A71)))),"")</f>
        <v/>
      </c>
      <c r="Q71" s="627" t="str">
        <f t="array" ref="Q71">IFERROR(IF($Q$21="Yes",INDEX($L$23:$L$2323,SMALL(IF((County=$M$23:$M$2323),MATCH(ROW($M$23:$M$2323),ROW($M$23:$M$2323)),""),ROWS($A$23:A71))),""),"")</f>
        <v/>
      </c>
      <c r="S71" s="623">
        <v>32765</v>
      </c>
      <c r="T71" s="622" t="s">
        <v>97</v>
      </c>
      <c r="V71" s="622">
        <v>4.1399999999999997</v>
      </c>
      <c r="W71" s="625" t="s">
        <v>78</v>
      </c>
      <c r="AB71" s="626">
        <v>3.01</v>
      </c>
      <c r="AC71" s="626" t="s">
        <v>44</v>
      </c>
      <c r="AE71" s="1802">
        <v>33981</v>
      </c>
      <c r="AF71" s="622" t="s">
        <v>41</v>
      </c>
      <c r="AI71" s="1376"/>
      <c r="AJ71" s="622">
        <v>409.01</v>
      </c>
      <c r="AK71" s="622" t="s">
        <v>36</v>
      </c>
      <c r="AP71" s="1837"/>
      <c r="AQ71" s="1837"/>
      <c r="AS71" s="627" t="str">
        <f t="array" ref="AS71">IFERROR(IF($O$21="Metro",INDEX($AJ$23:$AJ$748,SMALL(IF((County=$AK$23:$AK$748),MATCH(ROW($AK$23:$AK$748),ROW($AK$23:$AK$748)),""),ROWS($A$23:$A71))),INDEX($AM$23:$AM$58,SMALL(IF((County=$AN$23:$AN$58),MATCH(ROW($AN$23:$AN$58),ROW($AN$23:$AN$58)),""),ROWS($A$23:$A71)))),"")</f>
        <v/>
      </c>
      <c r="AU71" s="627" t="str">
        <f t="array" ref="AU71">IFERROR(IF($Q$21="Yes",INDEX($AP$23:$AP$2323,SMALL(IF((County=$AQ$23:$AQ$2323),MATCH(ROW($AQ$23:$AQ$2323),ROW($AQ$23:$AQ$2323)),""),ROWS($A$23:$A71))),""),"")</f>
        <v/>
      </c>
      <c r="AW71" s="1802">
        <v>32751</v>
      </c>
      <c r="AX71" s="622" t="s">
        <v>85</v>
      </c>
      <c r="AZ71" s="622">
        <v>3.1</v>
      </c>
      <c r="BA71" s="622" t="s">
        <v>78</v>
      </c>
      <c r="BF71" s="1837"/>
      <c r="BG71" s="1837"/>
      <c r="BI71" s="1218" t="s">
        <v>86</v>
      </c>
      <c r="BJ71" s="1218" t="s">
        <v>1450</v>
      </c>
      <c r="BK71" s="1218" t="s">
        <v>1451</v>
      </c>
      <c r="BL71" s="1219">
        <v>28.310379000000001</v>
      </c>
      <c r="BM71" s="1219">
        <v>-81.460538</v>
      </c>
      <c r="BN71" s="1232" t="s">
        <v>1358</v>
      </c>
      <c r="BO71" s="1221" t="s">
        <v>610</v>
      </c>
      <c r="BP71" s="1219" t="str">
        <f t="shared" si="5"/>
        <v xml:space="preserve">Osceola - The Salix on Vine </v>
      </c>
      <c r="BQ71" s="1219" t="str">
        <f t="shared" si="6"/>
        <v>Family</v>
      </c>
      <c r="BR71" s="1219" t="str">
        <f t="shared" si="7"/>
        <v>(28.310379, -81.460538)</v>
      </c>
      <c r="BS71" s="1221" t="str">
        <f t="shared" si="8"/>
        <v>&gt;30</v>
      </c>
    </row>
    <row r="72" spans="1:71" ht="14.5" customHeight="1">
      <c r="A72" s="1802">
        <v>34453</v>
      </c>
      <c r="B72" s="622" t="s">
        <v>42</v>
      </c>
      <c r="E72" s="1"/>
      <c r="F72" s="622">
        <v>413</v>
      </c>
      <c r="G72" s="622" t="s">
        <v>36</v>
      </c>
      <c r="L72" s="626">
        <v>27.03</v>
      </c>
      <c r="M72" s="626" t="s">
        <v>32</v>
      </c>
      <c r="N72" s="203"/>
      <c r="O72" s="627" t="str">
        <f t="array" ref="O72">IFERROR(IF($O$21="Metro",INDEX($F$23:$F$748,SMALL(IF((County=$G$23:$G$748),MATCH(ROW($G$23:$G$748),ROW($G$23:$G$748)),""),ROWS($A$23:A72))),INDEX($I$23:$I$52,SMALL(IF((County=$J$23:$J$52),MATCH(ROW($J$23:$J$52),ROW($J$23:$J$52)),""),ROWS($A$23:A72)))),"")</f>
        <v/>
      </c>
      <c r="Q72" s="627" t="str">
        <f t="array" ref="Q72">IFERROR(IF($Q$21="Yes",INDEX($L$23:$L$2323,SMALL(IF((County=$M$23:$M$2323),MATCH(ROW($M$23:$M$2323),ROW($M$23:$M$2323)),""),ROWS($A$23:A72))),""),"")</f>
        <v/>
      </c>
      <c r="S72" s="623">
        <v>32766</v>
      </c>
      <c r="T72" s="622" t="s">
        <v>97</v>
      </c>
      <c r="V72" s="622">
        <v>5</v>
      </c>
      <c r="W72" s="625" t="s">
        <v>71</v>
      </c>
      <c r="AB72" s="626">
        <v>3.01</v>
      </c>
      <c r="AC72" s="626" t="s">
        <v>71</v>
      </c>
      <c r="AE72" s="1802">
        <v>34429</v>
      </c>
      <c r="AF72" s="622" t="s">
        <v>42</v>
      </c>
      <c r="AI72" s="1376"/>
      <c r="AJ72" s="622">
        <v>409.02</v>
      </c>
      <c r="AK72" s="622" t="s">
        <v>36</v>
      </c>
      <c r="AP72" s="1837"/>
      <c r="AQ72" s="1837"/>
      <c r="AS72" s="627" t="str">
        <f t="array" ref="AS72">IFERROR(IF($O$21="Metro",INDEX($AJ$23:$AJ$748,SMALL(IF((County=$AK$23:$AK$748),MATCH(ROW($AK$23:$AK$748),ROW($AK$23:$AK$748)),""),ROWS($A$23:$A72))),INDEX($AM$23:$AM$58,SMALL(IF((County=$AN$23:$AN$58),MATCH(ROW($AN$23:$AN$58),ROW($AN$23:$AN$58)),""),ROWS($A$23:$A72)))),"")</f>
        <v/>
      </c>
      <c r="AU72" s="627" t="str">
        <f t="array" ref="AU72">IFERROR(IF($Q$21="Yes",INDEX($AP$23:$AP$2323,SMALL(IF((County=$AQ$23:$AQ$2323),MATCH(ROW($AQ$23:$AQ$2323),ROW($AQ$23:$AQ$2323)),""),ROWS($A$23:$A72))),""),"")</f>
        <v/>
      </c>
      <c r="AW72" s="1802">
        <v>32765</v>
      </c>
      <c r="AX72" s="622" t="s">
        <v>97</v>
      </c>
      <c r="AZ72" s="622">
        <v>3.11</v>
      </c>
      <c r="BA72" s="625" t="s">
        <v>75</v>
      </c>
      <c r="BF72" s="1837"/>
      <c r="BG72" s="1837"/>
      <c r="BI72" s="1219" t="s">
        <v>88</v>
      </c>
      <c r="BJ72" s="1219" t="s">
        <v>1452</v>
      </c>
      <c r="BK72" s="1219" t="s">
        <v>1453</v>
      </c>
      <c r="BL72" s="1219">
        <v>28.253896999999998</v>
      </c>
      <c r="BM72" s="1219">
        <v>-82.730421000000007</v>
      </c>
      <c r="BN72" s="1221" t="s">
        <v>1358</v>
      </c>
      <c r="BO72" s="1221" t="s">
        <v>610</v>
      </c>
      <c r="BP72" s="1219" t="str">
        <f t="shared" si="5"/>
        <v>Pasco - Oaks at Green Key Apartments</v>
      </c>
      <c r="BQ72" s="1219" t="str">
        <f t="shared" si="6"/>
        <v>Family</v>
      </c>
      <c r="BR72" s="1219" t="str">
        <f t="shared" si="7"/>
        <v>(28.253897, -82.730421)</v>
      </c>
      <c r="BS72" s="1221" t="str">
        <f t="shared" si="8"/>
        <v>&gt;30</v>
      </c>
    </row>
    <row r="73" spans="1:71" ht="14.5" customHeight="1">
      <c r="A73" s="623">
        <v>32003</v>
      </c>
      <c r="B73" s="624" t="s">
        <v>43</v>
      </c>
      <c r="E73" s="1"/>
      <c r="F73" s="622">
        <v>414</v>
      </c>
      <c r="G73" s="622" t="s">
        <v>36</v>
      </c>
      <c r="L73" s="626">
        <v>27.04</v>
      </c>
      <c r="M73" s="626" t="s">
        <v>32</v>
      </c>
      <c r="N73" s="203"/>
      <c r="O73" s="627" t="str">
        <f t="array" ref="O73">IFERROR(IF($O$21="Metro",INDEX($F$23:$F$748,SMALL(IF((County=$G$23:$G$748),MATCH(ROW($G$23:$G$748),ROW($G$23:$G$748)),""),ROWS($A$23:A73))),INDEX($I$23:$I$52,SMALL(IF((County=$J$23:$J$52),MATCH(ROW($J$23:$J$52),ROW($J$23:$J$52)),""),ROWS($A$23:A73)))),"")</f>
        <v/>
      </c>
      <c r="Q73" s="627" t="str">
        <f t="array" ref="Q73">IFERROR(IF($Q$21="Yes",INDEX($L$23:$L$2323,SMALL(IF((County=$M$23:$M$2323),MATCH(ROW($M$23:$M$2323),ROW($M$23:$M$2323)),""),ROWS($A$23:A73))),""),"")</f>
        <v/>
      </c>
      <c r="S73" s="623">
        <v>32776</v>
      </c>
      <c r="T73" s="622" t="s">
        <v>69</v>
      </c>
      <c r="V73" s="622">
        <v>5.01</v>
      </c>
      <c r="W73" s="625" t="s">
        <v>78</v>
      </c>
      <c r="AB73" s="626">
        <v>3.01</v>
      </c>
      <c r="AC73" s="626" t="s">
        <v>76</v>
      </c>
      <c r="AE73" s="623">
        <v>34434</v>
      </c>
      <c r="AF73" s="624" t="s">
        <v>42</v>
      </c>
      <c r="AI73" s="1376"/>
      <c r="AJ73" s="622">
        <v>410</v>
      </c>
      <c r="AK73" s="622" t="s">
        <v>36</v>
      </c>
      <c r="AP73" s="1837"/>
      <c r="AQ73" s="1837"/>
      <c r="AS73" s="627" t="str">
        <f t="array" ref="AS73">IFERROR(IF($O$21="Metro",INDEX($AJ$23:$AJ$748,SMALL(IF((County=$AK$23:$AK$748),MATCH(ROW($AK$23:$AK$748),ROW($AK$23:$AK$748)),""),ROWS($A$23:$A73))),INDEX($AM$23:$AM$58,SMALL(IF((County=$AN$23:$AN$58),MATCH(ROW($AN$23:$AN$58),ROW($AN$23:$AN$58)),""),ROWS($A$23:$A73)))),"")</f>
        <v/>
      </c>
      <c r="AU73" s="627" t="str">
        <f t="array" ref="AU73">IFERROR(IF($Q$21="Yes",INDEX($AP$23:$AP$2323,SMALL(IF((County=$AQ$23:$AQ$2323),MATCH(ROW($AQ$23:$AQ$2323),ROW($AQ$23:$AQ$2323)),""),ROWS($A$23:$A73))),""),"")</f>
        <v/>
      </c>
      <c r="AW73" s="1802">
        <v>32766</v>
      </c>
      <c r="AX73" s="622" t="s">
        <v>97</v>
      </c>
      <c r="AZ73" s="622">
        <v>3.13</v>
      </c>
      <c r="BA73" s="625" t="s">
        <v>75</v>
      </c>
      <c r="BF73" s="1837"/>
      <c r="BG73" s="1837"/>
      <c r="BI73" s="1218" t="s">
        <v>88</v>
      </c>
      <c r="BJ73" s="1218" t="s">
        <v>1454</v>
      </c>
      <c r="BK73" s="1218" t="s">
        <v>1455</v>
      </c>
      <c r="BL73" s="1226">
        <v>28.215907000000001</v>
      </c>
      <c r="BM73" s="1229">
        <v>-82.679582999999994</v>
      </c>
      <c r="BN73" s="1222" t="s">
        <v>1358</v>
      </c>
      <c r="BO73" s="1221" t="s">
        <v>610</v>
      </c>
      <c r="BP73" s="1219" t="str">
        <f t="shared" si="5"/>
        <v>Pasco - Tanager Square</v>
      </c>
      <c r="BQ73" s="1219" t="str">
        <f t="shared" si="6"/>
        <v>Family</v>
      </c>
      <c r="BR73" s="1219" t="str">
        <f t="shared" si="7"/>
        <v>(28.215907, -82.679583)</v>
      </c>
      <c r="BS73" s="1221" t="str">
        <f t="shared" si="8"/>
        <v>&gt;30</v>
      </c>
    </row>
    <row r="74" spans="1:71" ht="14.5" customHeight="1">
      <c r="A74" s="1802">
        <v>34103</v>
      </c>
      <c r="B74" s="622" t="s">
        <v>44</v>
      </c>
      <c r="E74" s="1"/>
      <c r="F74" s="622">
        <v>415</v>
      </c>
      <c r="G74" s="622" t="s">
        <v>36</v>
      </c>
      <c r="L74" s="626">
        <v>27.05</v>
      </c>
      <c r="M74" s="626" t="s">
        <v>32</v>
      </c>
      <c r="N74" s="203"/>
      <c r="O74" s="627" t="str">
        <f t="array" ref="O74">IFERROR(IF($O$21="Metro",INDEX($F$23:$F$748,SMALL(IF((County=$G$23:$G$748),MATCH(ROW($G$23:$G$748),ROW($G$23:$G$748)),""),ROWS($A$23:A74))),INDEX($I$23:$I$52,SMALL(IF((County=$J$23:$J$52),MATCH(ROW($J$23:$J$52),ROW($J$23:$J$52)),""),ROWS($A$23:A74)))),"")</f>
        <v/>
      </c>
      <c r="Q74" s="627" t="str">
        <f t="array" ref="Q74">IFERROR(IF($Q$21="Yes",INDEX($L$23:$L$2323,SMALL(IF((County=$M$23:$M$2323),MATCH(ROW($M$23:$M$2323),ROW($M$23:$M$2323)),""),ROWS($A$23:A74))),""),"")</f>
        <v/>
      </c>
      <c r="S74" s="623">
        <v>32779</v>
      </c>
      <c r="T74" s="622" t="s">
        <v>97</v>
      </c>
      <c r="V74" s="622">
        <v>5.0199999999999996</v>
      </c>
      <c r="W74" s="625" t="s">
        <v>70</v>
      </c>
      <c r="AB74" s="626">
        <v>3.01</v>
      </c>
      <c r="AC74" s="626" t="s">
        <v>87</v>
      </c>
      <c r="AE74" s="1802">
        <v>34446</v>
      </c>
      <c r="AF74" s="622" t="s">
        <v>42</v>
      </c>
      <c r="AI74" s="1376"/>
      <c r="AJ74" s="622">
        <v>412</v>
      </c>
      <c r="AK74" s="622" t="s">
        <v>36</v>
      </c>
      <c r="AP74" s="1837"/>
      <c r="AQ74" s="1837"/>
      <c r="AS74" s="627" t="str">
        <f t="array" ref="AS74">IFERROR(IF($O$21="Metro",INDEX($AJ$23:$AJ$748,SMALL(IF((County=$AK$23:$AK$748),MATCH(ROW($AK$23:$AK$748),ROW($AK$23:$AK$748)),""),ROWS($A$23:$A74))),INDEX($AM$23:$AM$58,SMALL(IF((County=$AN$23:$AN$58),MATCH(ROW($AN$23:$AN$58),ROW($AN$23:$AN$58)),""),ROWS($A$23:$A74)))),"")</f>
        <v/>
      </c>
      <c r="AU74" s="627" t="str">
        <f t="array" ref="AU74">IFERROR(IF($Q$21="Yes",INDEX($AP$23:$AP$2323,SMALL(IF((County=$AQ$23:$AQ$2323),MATCH(ROW($AQ$23:$AQ$2323),ROW($AQ$23:$AQ$2323)),""),ROWS($A$23:$A74))),""),"")</f>
        <v/>
      </c>
      <c r="AW74" s="1802">
        <v>32776</v>
      </c>
      <c r="AX74" s="622" t="s">
        <v>69</v>
      </c>
      <c r="AZ74" s="622">
        <v>3.14</v>
      </c>
      <c r="BA74" s="625" t="s">
        <v>75</v>
      </c>
      <c r="BF74" s="1837"/>
      <c r="BG74" s="1837"/>
      <c r="BI74" s="1218" t="s">
        <v>91</v>
      </c>
      <c r="BJ74" s="1237" t="s">
        <v>1456</v>
      </c>
      <c r="BK74" s="1237" t="s">
        <v>1457</v>
      </c>
      <c r="BL74" s="1228">
        <v>28.042382</v>
      </c>
      <c r="BM74" s="1226">
        <v>-81.727389000000002</v>
      </c>
      <c r="BN74" s="1220" t="s">
        <v>1358</v>
      </c>
      <c r="BO74" s="1221" t="s">
        <v>610</v>
      </c>
      <c r="BP74" s="1219" t="str">
        <f t="shared" si="5"/>
        <v>Polk - Florence Place</v>
      </c>
      <c r="BQ74" s="1219" t="str">
        <f t="shared" si="6"/>
        <v>Family</v>
      </c>
      <c r="BR74" s="1219" t="str">
        <f t="shared" si="7"/>
        <v>(28.042382, -81.727389)</v>
      </c>
      <c r="BS74" s="1221" t="str">
        <f t="shared" si="8"/>
        <v>&gt;30</v>
      </c>
    </row>
    <row r="75" spans="1:71" ht="14.5" customHeight="1">
      <c r="A75" s="1802">
        <v>34105</v>
      </c>
      <c r="B75" s="622" t="s">
        <v>44</v>
      </c>
      <c r="E75" s="1"/>
      <c r="F75" s="622">
        <v>416</v>
      </c>
      <c r="G75" s="622" t="s">
        <v>36</v>
      </c>
      <c r="L75" s="626">
        <v>2</v>
      </c>
      <c r="M75" s="626" t="s">
        <v>34</v>
      </c>
      <c r="N75" s="203"/>
      <c r="O75" s="627" t="str">
        <f t="array" ref="O75">IFERROR(IF($O$21="Metro",INDEX($F$23:$F$748,SMALL(IF((County=$G$23:$G$748),MATCH(ROW($G$23:$G$748),ROW($G$23:$G$748)),""),ROWS($A$23:A75))),INDEX($I$23:$I$52,SMALL(IF((County=$J$23:$J$52),MATCH(ROW($J$23:$J$52),ROW($J$23:$J$52)),""),ROWS($A$23:A75)))),"")</f>
        <v/>
      </c>
      <c r="Q75" s="627" t="str">
        <f t="array" ref="Q75">IFERROR(IF($Q$21="Yes",INDEX($L$23:$L$2323,SMALL(IF((County=$M$23:$M$2323),MATCH(ROW($M$23:$M$2323),ROW($M$23:$M$2323)),""),ROWS($A$23:A75))),""),"")</f>
        <v/>
      </c>
      <c r="S75" s="623">
        <v>32789</v>
      </c>
      <c r="T75" s="622" t="s">
        <v>85</v>
      </c>
      <c r="V75" s="622">
        <v>5.0199999999999996</v>
      </c>
      <c r="W75" s="625" t="s">
        <v>76</v>
      </c>
      <c r="AB75" s="626">
        <v>3.02</v>
      </c>
      <c r="AC75" s="626" t="s">
        <v>44</v>
      </c>
      <c r="AE75" s="1802">
        <v>32003</v>
      </c>
      <c r="AF75" s="622" t="s">
        <v>43</v>
      </c>
      <c r="AI75" s="1376"/>
      <c r="AJ75" s="622">
        <v>413</v>
      </c>
      <c r="AK75" s="622" t="s">
        <v>36</v>
      </c>
      <c r="AP75" s="1837"/>
      <c r="AQ75" s="1837"/>
      <c r="AS75" s="627" t="str">
        <f t="array" ref="AS75">IFERROR(IF($O$21="Metro",INDEX($AJ$23:$AJ$748,SMALL(IF((County=$AK$23:$AK$748),MATCH(ROW($AK$23:$AK$748),ROW($AK$23:$AK$748)),""),ROWS($A$23:$A75))),INDEX($AM$23:$AM$58,SMALL(IF((County=$AN$23:$AN$58),MATCH(ROW($AN$23:$AN$58),ROW($AN$23:$AN$58)),""),ROWS($A$23:$A75)))),"")</f>
        <v/>
      </c>
      <c r="AU75" s="627" t="str">
        <f t="array" ref="AU75">IFERROR(IF($Q$21="Yes",INDEX($AP$23:$AP$2323,SMALL(IF((County=$AQ$23:$AQ$2323),MATCH(ROW($AQ$23:$AQ$2323),ROW($AQ$23:$AQ$2323)),""),ROWS($A$23:$A75))),""),"")</f>
        <v/>
      </c>
      <c r="AW75" s="1802">
        <v>32779</v>
      </c>
      <c r="AX75" s="622" t="s">
        <v>97</v>
      </c>
      <c r="AZ75" s="622">
        <v>4</v>
      </c>
      <c r="BA75" s="625" t="s">
        <v>51</v>
      </c>
      <c r="BF75" s="1837"/>
      <c r="BG75" s="1837"/>
      <c r="BI75" s="1223" t="s">
        <v>91</v>
      </c>
      <c r="BJ75" s="1223" t="s">
        <v>1458</v>
      </c>
      <c r="BK75" s="1218" t="s">
        <v>1459</v>
      </c>
      <c r="BL75" s="1218">
        <v>27.933171999999999</v>
      </c>
      <c r="BM75" s="1218">
        <v>-81.965697000000006</v>
      </c>
      <c r="BN75" s="1222" t="s">
        <v>1358</v>
      </c>
      <c r="BO75" s="1224" t="s">
        <v>610</v>
      </c>
      <c r="BP75" s="1219" t="str">
        <f t="shared" si="5"/>
        <v>Polk - Park Ridge, f/k/a Oak Park Villas</v>
      </c>
      <c r="BQ75" s="1219" t="str">
        <f t="shared" si="6"/>
        <v>Family</v>
      </c>
      <c r="BR75" s="1219" t="str">
        <f t="shared" si="7"/>
        <v>(27.933172, -81.965697)</v>
      </c>
      <c r="BS75" s="1221" t="str">
        <f t="shared" si="8"/>
        <v>&gt;30</v>
      </c>
    </row>
    <row r="76" spans="1:71" ht="14.5" customHeight="1">
      <c r="A76" s="1802">
        <v>34108</v>
      </c>
      <c r="B76" s="622" t="s">
        <v>44</v>
      </c>
      <c r="E76" s="1"/>
      <c r="F76" s="622">
        <v>417</v>
      </c>
      <c r="G76" s="622" t="s">
        <v>36</v>
      </c>
      <c r="L76" s="626">
        <v>3</v>
      </c>
      <c r="M76" s="626" t="s">
        <v>34</v>
      </c>
      <c r="N76" s="203"/>
      <c r="O76" s="627" t="str">
        <f t="array" ref="O76">IFERROR(IF($O$21="Metro",INDEX($F$23:$F$748,SMALL(IF((County=$G$23:$G$748),MATCH(ROW($G$23:$G$748),ROW($G$23:$G$748)),""),ROWS($A$23:A76))),INDEX($I$23:$I$52,SMALL(IF((County=$J$23:$J$52),MATCH(ROW($J$23:$J$52),ROW($J$23:$J$52)),""),ROWS($A$23:A76)))),"")</f>
        <v/>
      </c>
      <c r="Q76" s="627" t="str">
        <f t="array" ref="Q76">IFERROR(IF($Q$21="Yes",INDEX($L$23:$L$2323,SMALL(IF((County=$M$23:$M$2323),MATCH(ROW($M$23:$M$2323),ROW($M$23:$M$2323)),""),ROWS($A$23:A76))),""),"")</f>
        <v/>
      </c>
      <c r="S76" s="623">
        <v>32792</v>
      </c>
      <c r="T76" s="622" t="s">
        <v>85</v>
      </c>
      <c r="V76" s="622">
        <v>5.03</v>
      </c>
      <c r="W76" s="625" t="s">
        <v>78</v>
      </c>
      <c r="AB76" s="626">
        <v>3.02</v>
      </c>
      <c r="AC76" s="626" t="s">
        <v>71</v>
      </c>
      <c r="AE76" s="1802">
        <v>32079</v>
      </c>
      <c r="AF76" s="622" t="s">
        <v>43</v>
      </c>
      <c r="AI76" s="1376"/>
      <c r="AJ76" s="622">
        <v>414</v>
      </c>
      <c r="AK76" s="622" t="s">
        <v>36</v>
      </c>
      <c r="AP76" s="1837"/>
      <c r="AQ76" s="1837"/>
      <c r="AS76" s="627" t="str">
        <f t="array" ref="AS76">IFERROR(IF($O$21="Metro",INDEX($AJ$23:$AJ$748,SMALL(IF((County=$AK$23:$AK$748),MATCH(ROW($AK$23:$AK$748),ROW($AK$23:$AK$748)),""),ROWS($A$23:$A76))),INDEX($AM$23:$AM$58,SMALL(IF((County=$AN$23:$AN$58),MATCH(ROW($AN$23:$AN$58),ROW($AN$23:$AN$58)),""),ROWS($A$23:$A76)))),"")</f>
        <v/>
      </c>
      <c r="AU76" s="627" t="str">
        <f t="array" ref="AU76">IFERROR(IF($Q$21="Yes",INDEX($AP$23:$AP$2323,SMALL(IF((County=$AQ$23:$AQ$2323),MATCH(ROW($AQ$23:$AQ$2323),ROW($AQ$23:$AQ$2323)),""),ROWS($A$23:$A76))),""),"")</f>
        <v/>
      </c>
      <c r="AW76" s="1802">
        <v>32789</v>
      </c>
      <c r="AX76" s="622" t="s">
        <v>85</v>
      </c>
      <c r="AZ76" s="622">
        <v>4</v>
      </c>
      <c r="BA76" s="625" t="s">
        <v>71</v>
      </c>
      <c r="BF76" s="1837"/>
      <c r="BG76" s="1837"/>
      <c r="BI76" s="1218" t="s">
        <v>91</v>
      </c>
      <c r="BJ76" s="1218" t="s">
        <v>1460</v>
      </c>
      <c r="BK76" s="1218" t="s">
        <v>1461</v>
      </c>
      <c r="BL76" s="1218">
        <v>28.080269999999999</v>
      </c>
      <c r="BM76" s="1218">
        <v>-81.988981999999993</v>
      </c>
      <c r="BN76" s="1222" t="s">
        <v>1358</v>
      </c>
      <c r="BO76" s="1222" t="s">
        <v>610</v>
      </c>
      <c r="BP76" s="1219" t="str">
        <f t="shared" si="5"/>
        <v>Polk - Swan Landing</v>
      </c>
      <c r="BQ76" s="1219" t="str">
        <f t="shared" si="6"/>
        <v>Family</v>
      </c>
      <c r="BR76" s="1219" t="str">
        <f t="shared" si="7"/>
        <v>(28.08027, -81.988982)</v>
      </c>
      <c r="BS76" s="1221" t="str">
        <f t="shared" si="8"/>
        <v>&gt;30</v>
      </c>
    </row>
    <row r="77" spans="1:71" ht="14.5" customHeight="1">
      <c r="A77" s="1802">
        <v>34110</v>
      </c>
      <c r="B77" s="622" t="s">
        <v>44</v>
      </c>
      <c r="E77" s="1"/>
      <c r="F77" s="622">
        <v>428</v>
      </c>
      <c r="G77" s="622" t="s">
        <v>36</v>
      </c>
      <c r="L77" s="626">
        <v>602</v>
      </c>
      <c r="M77" s="626" t="s">
        <v>35</v>
      </c>
      <c r="N77" s="203"/>
      <c r="O77" s="627" t="str">
        <f t="array" ref="O77">IFERROR(IF($O$21="Metro",INDEX($F$23:$F$748,SMALL(IF((County=$G$23:$G$748),MATCH(ROW($G$23:$G$748),ROW($G$23:$G$748)),""),ROWS($A$23:A77))),INDEX($I$23:$I$52,SMALL(IF((County=$J$23:$J$52),MATCH(ROW($J$23:$J$52),ROW($J$23:$J$52)),""),ROWS($A$23:A77)))),"")</f>
        <v/>
      </c>
      <c r="Q77" s="627" t="str">
        <f t="array" ref="Q77">IFERROR(IF($Q$21="Yes",INDEX($L$23:$L$2323,SMALL(IF((County=$M$23:$M$2323),MATCH(ROW($M$23:$M$2323),ROW($M$23:$M$2323)),""),ROWS($A$23:A77))),""),"")</f>
        <v/>
      </c>
      <c r="S77" s="623">
        <v>32801</v>
      </c>
      <c r="T77" s="622" t="s">
        <v>85</v>
      </c>
      <c r="V77" s="622">
        <v>5.04</v>
      </c>
      <c r="W77" s="625" t="s">
        <v>70</v>
      </c>
      <c r="AB77" s="626">
        <v>3.03</v>
      </c>
      <c r="AC77" s="626" t="s">
        <v>87</v>
      </c>
      <c r="AE77" s="1802">
        <v>34103</v>
      </c>
      <c r="AF77" s="622" t="s">
        <v>44</v>
      </c>
      <c r="AI77" s="1376"/>
      <c r="AJ77" s="622">
        <v>415</v>
      </c>
      <c r="AK77" s="622" t="s">
        <v>36</v>
      </c>
      <c r="AP77" s="1837"/>
      <c r="AQ77" s="1837"/>
      <c r="AS77" s="627" t="str">
        <f t="array" ref="AS77">IFERROR(IF($O$21="Metro",INDEX($AJ$23:$AJ$748,SMALL(IF((County=$AK$23:$AK$748),MATCH(ROW($AK$23:$AK$748),ROW($AK$23:$AK$748)),""),ROWS($A$23:$A77))),INDEX($AM$23:$AM$58,SMALL(IF((County=$AN$23:$AN$58),MATCH(ROW($AN$23:$AN$58),ROW($AN$23:$AN$58)),""),ROWS($A$23:$A77)))),"")</f>
        <v/>
      </c>
      <c r="AU77" s="627" t="str">
        <f t="array" ref="AU77">IFERROR(IF($Q$21="Yes",INDEX($AP$23:$AP$2323,SMALL(IF((County=$AQ$23:$AQ$2323),MATCH(ROW($AQ$23:$AQ$2323),ROW($AQ$23:$AQ$2323)),""),ROWS($A$23:$A77))),""),"")</f>
        <v/>
      </c>
      <c r="AW77" s="1802">
        <v>32792</v>
      </c>
      <c r="AX77" s="622" t="s">
        <v>85</v>
      </c>
      <c r="AZ77" s="622">
        <v>4.01</v>
      </c>
      <c r="BA77" s="625" t="s">
        <v>76</v>
      </c>
      <c r="BF77" s="1837"/>
      <c r="BG77" s="1837"/>
      <c r="BI77" s="1218" t="s">
        <v>1462</v>
      </c>
      <c r="BJ77" s="1218" t="s">
        <v>1463</v>
      </c>
      <c r="BK77" s="1218" t="s">
        <v>1558</v>
      </c>
      <c r="BL77" s="1219">
        <v>29.891359999999999</v>
      </c>
      <c r="BM77" s="1219">
        <v>-81.344566</v>
      </c>
      <c r="BN77" s="1220" t="s">
        <v>1358</v>
      </c>
      <c r="BO77" s="1221" t="s">
        <v>610</v>
      </c>
      <c r="BP77" s="1219" t="str">
        <f t="shared" si="5"/>
        <v>Saint Johns - Villages of New Augustine - sites 1-3</v>
      </c>
      <c r="BQ77" s="1219" t="str">
        <f t="shared" si="6"/>
        <v>Family</v>
      </c>
      <c r="BR77" s="1219" t="str">
        <f t="shared" si="7"/>
        <v>(29.89136, -81.344566)</v>
      </c>
      <c r="BS77" s="1221" t="str">
        <f t="shared" si="8"/>
        <v>&gt;30</v>
      </c>
    </row>
    <row r="78" spans="1:71" ht="14.5" customHeight="1">
      <c r="A78" s="1802">
        <v>34117</v>
      </c>
      <c r="B78" s="622" t="s">
        <v>44</v>
      </c>
      <c r="E78" s="1"/>
      <c r="F78" s="622">
        <v>433.02</v>
      </c>
      <c r="G78" s="622" t="s">
        <v>36</v>
      </c>
      <c r="L78" s="626">
        <v>611</v>
      </c>
      <c r="M78" s="626" t="s">
        <v>35</v>
      </c>
      <c r="N78" s="203"/>
      <c r="O78" s="627" t="str">
        <f t="array" ref="O78">IFERROR(IF($O$21="Metro",INDEX($F$23:$F$748,SMALL(IF((County=$G$23:$G$748),MATCH(ROW($G$23:$G$748),ROW($G$23:$G$748)),""),ROWS($A$23:A78))),INDEX($I$23:$I$52,SMALL(IF((County=$J$23:$J$52),MATCH(ROW($J$23:$J$52),ROW($J$23:$J$52)),""),ROWS($A$23:A78)))),"")</f>
        <v/>
      </c>
      <c r="Q78" s="627" t="str">
        <f t="array" ref="Q78">IFERROR(IF($Q$21="Yes",INDEX($L$23:$L$2323,SMALL(IF((County=$M$23:$M$2323),MATCH(ROW($M$23:$M$2323),ROW($M$23:$M$2323)),""),ROWS($A$23:A78))),""),"")</f>
        <v/>
      </c>
      <c r="S78" s="623">
        <v>32803</v>
      </c>
      <c r="T78" s="622" t="s">
        <v>85</v>
      </c>
      <c r="V78" s="622">
        <v>5.04</v>
      </c>
      <c r="W78" s="625" t="s">
        <v>78</v>
      </c>
      <c r="AB78" s="626">
        <v>3.04</v>
      </c>
      <c r="AC78" s="626" t="s">
        <v>87</v>
      </c>
      <c r="AE78" s="1802">
        <v>34105</v>
      </c>
      <c r="AF78" s="622" t="s">
        <v>44</v>
      </c>
      <c r="AI78" s="1376"/>
      <c r="AJ78" s="622">
        <v>416.01</v>
      </c>
      <c r="AK78" s="622" t="s">
        <v>36</v>
      </c>
      <c r="AP78" s="1837"/>
      <c r="AQ78" s="1837"/>
      <c r="AS78" s="627" t="str">
        <f t="array" ref="AS78">IFERROR(IF($O$21="Metro",INDEX($AJ$23:$AJ$748,SMALL(IF((County=$AK$23:$AK$748),MATCH(ROW($AK$23:$AK$748),ROW($AK$23:$AK$748)),""),ROWS($A$23:$A78))),INDEX($AM$23:$AM$58,SMALL(IF((County=$AN$23:$AN$58),MATCH(ROW($AN$23:$AN$58),ROW($AN$23:$AN$58)),""),ROWS($A$23:$A78)))),"")</f>
        <v/>
      </c>
      <c r="AU78" s="627" t="str">
        <f t="array" ref="AU78">IFERROR(IF($Q$21="Yes",INDEX($AP$23:$AP$2323,SMALL(IF((County=$AQ$23:$AQ$2323),MATCH(ROW($AQ$23:$AQ$2323),ROW($AQ$23:$AQ$2323)),""),ROWS($A$23:$A78))),""),"")</f>
        <v/>
      </c>
      <c r="AW78" s="1802">
        <v>32801</v>
      </c>
      <c r="AX78" s="622" t="s">
        <v>85</v>
      </c>
      <c r="AZ78" s="622">
        <v>4.0199999999999996</v>
      </c>
      <c r="BA78" s="625" t="s">
        <v>63</v>
      </c>
      <c r="BF78" s="1837"/>
      <c r="BG78" s="1837"/>
      <c r="BI78" s="1218" t="s">
        <v>1464</v>
      </c>
      <c r="BJ78" s="1218" t="s">
        <v>1465</v>
      </c>
      <c r="BK78" s="1218" t="s">
        <v>1466</v>
      </c>
      <c r="BL78" s="1219">
        <v>27.423636999999999</v>
      </c>
      <c r="BM78" s="1219">
        <v>-80.377465999999998</v>
      </c>
      <c r="BN78" s="1222" t="s">
        <v>1358</v>
      </c>
      <c r="BO78" s="1222" t="s">
        <v>610</v>
      </c>
      <c r="BP78" s="1219" t="str">
        <f t="shared" si="5"/>
        <v>Saint Lucie - Blue Sky Landing II</v>
      </c>
      <c r="BQ78" s="1219" t="str">
        <f t="shared" si="6"/>
        <v>Family</v>
      </c>
      <c r="BR78" s="1219" t="str">
        <f t="shared" si="7"/>
        <v>(27.423637, -80.377466)</v>
      </c>
      <c r="BS78" s="1221" t="str">
        <f t="shared" si="8"/>
        <v>&gt;30</v>
      </c>
    </row>
    <row r="79" spans="1:71" ht="14.5" customHeight="1">
      <c r="A79" s="1802">
        <v>34119</v>
      </c>
      <c r="B79" s="622" t="s">
        <v>44</v>
      </c>
      <c r="E79" s="1"/>
      <c r="F79" s="622">
        <v>502.08</v>
      </c>
      <c r="G79" s="622" t="s">
        <v>36</v>
      </c>
      <c r="L79" s="626">
        <v>612.01</v>
      </c>
      <c r="M79" s="626" t="s">
        <v>35</v>
      </c>
      <c r="N79" s="203"/>
      <c r="O79" s="627" t="str">
        <f t="array" ref="O79">IFERROR(IF($O$21="Metro",INDEX($F$23:$F$748,SMALL(IF((County=$G$23:$G$748),MATCH(ROW($G$23:$G$748),ROW($G$23:$G$748)),""),ROWS($A$23:A79))),INDEX($I$23:$I$52,SMALL(IF((County=$J$23:$J$52),MATCH(ROW($J$23:$J$52),ROW($J$23:$J$52)),""),ROWS($A$23:A79)))),"")</f>
        <v/>
      </c>
      <c r="Q79" s="627" t="str">
        <f t="array" ref="Q79">IFERROR(IF($Q$21="Yes",INDEX($L$23:$L$2323,SMALL(IF((County=$M$23:$M$2323),MATCH(ROW($M$23:$M$2323),ROW($M$23:$M$2323)),""),ROWS($A$23:A79))),""),"")</f>
        <v/>
      </c>
      <c r="S79" s="623">
        <v>32804</v>
      </c>
      <c r="T79" s="622" t="s">
        <v>85</v>
      </c>
      <c r="V79" s="622">
        <v>5.05</v>
      </c>
      <c r="W79" s="625" t="s">
        <v>78</v>
      </c>
      <c r="AB79" s="626">
        <v>3.07</v>
      </c>
      <c r="AC79" s="626" t="s">
        <v>78</v>
      </c>
      <c r="AE79" s="1802">
        <v>34108</v>
      </c>
      <c r="AF79" s="622" t="s">
        <v>44</v>
      </c>
      <c r="AI79" s="1376"/>
      <c r="AJ79" s="622">
        <v>416.02</v>
      </c>
      <c r="AK79" s="622" t="s">
        <v>36</v>
      </c>
      <c r="AP79" s="1837"/>
      <c r="AQ79" s="1837"/>
      <c r="AS79" s="627" t="str">
        <f t="array" ref="AS79">IFERROR(IF($O$21="Metro",INDEX($AJ$23:$AJ$748,SMALL(IF((County=$AK$23:$AK$748),MATCH(ROW($AK$23:$AK$748),ROW($AK$23:$AK$748)),""),ROWS($A$23:$A79))),INDEX($AM$23:$AM$58,SMALL(IF((County=$AN$23:$AN$58),MATCH(ROW($AN$23:$AN$58),ROW($AN$23:$AN$58)),""),ROWS($A$23:$A79)))),"")</f>
        <v/>
      </c>
      <c r="AU79" s="627" t="str">
        <f t="array" ref="AU79">IFERROR(IF($Q$21="Yes",INDEX($AP$23:$AP$2323,SMALL(IF((County=$AQ$23:$AQ$2323),MATCH(ROW($AQ$23:$AQ$2323),ROW($AQ$23:$AQ$2323)),""),ROWS($A$23:$A79))),""),"")</f>
        <v/>
      </c>
      <c r="AW79" s="1802">
        <v>32803</v>
      </c>
      <c r="AX79" s="622" t="s">
        <v>85</v>
      </c>
      <c r="AZ79" s="622">
        <v>4.0199999999999996</v>
      </c>
      <c r="BA79" s="625" t="s">
        <v>76</v>
      </c>
      <c r="BF79" s="1837"/>
      <c r="BG79" s="1837"/>
      <c r="BI79" s="1218" t="s">
        <v>95</v>
      </c>
      <c r="BJ79" s="1218" t="s">
        <v>1467</v>
      </c>
      <c r="BK79" s="1218" t="s">
        <v>1468</v>
      </c>
      <c r="BL79" s="1225">
        <v>30.615003000000002</v>
      </c>
      <c r="BM79" s="1226">
        <v>-87.058691999999994</v>
      </c>
      <c r="BN79" s="1222" t="s">
        <v>1358</v>
      </c>
      <c r="BO79" s="1221" t="s">
        <v>610</v>
      </c>
      <c r="BP79" s="1219" t="str">
        <f t="shared" si="5"/>
        <v>Santa Rosa - Tranquility at Milton</v>
      </c>
      <c r="BQ79" s="1219" t="str">
        <f t="shared" si="6"/>
        <v>Family</v>
      </c>
      <c r="BR79" s="1219" t="str">
        <f t="shared" si="7"/>
        <v>(30.615003, -87.058692)</v>
      </c>
      <c r="BS79" s="1221" t="str">
        <f t="shared" si="8"/>
        <v>&gt;30</v>
      </c>
    </row>
    <row r="80" spans="1:71" ht="14.5" customHeight="1">
      <c r="A80" s="1802">
        <v>34120</v>
      </c>
      <c r="B80" s="622" t="s">
        <v>44</v>
      </c>
      <c r="E80" s="1"/>
      <c r="F80" s="622">
        <v>503.07</v>
      </c>
      <c r="G80" s="622" t="s">
        <v>36</v>
      </c>
      <c r="L80" s="626">
        <v>612.02</v>
      </c>
      <c r="M80" s="626" t="s">
        <v>35</v>
      </c>
      <c r="N80" s="203"/>
      <c r="O80" s="627" t="str">
        <f t="array" ref="O80">IFERROR(IF($O$21="Metro",INDEX($F$23:$F$748,SMALL(IF((County=$G$23:$G$748),MATCH(ROW($G$23:$G$748),ROW($G$23:$G$748)),""),ROWS($A$23:A80))),INDEX($I$23:$I$52,SMALL(IF((County=$J$23:$J$52),MATCH(ROW($J$23:$J$52),ROW($J$23:$J$52)),""),ROWS($A$23:A80)))),"")</f>
        <v/>
      </c>
      <c r="Q80" s="627" t="str">
        <f t="array" ref="Q80">IFERROR(IF($Q$21="Yes",INDEX($L$23:$L$2323,SMALL(IF((County=$M$23:$M$2323),MATCH(ROW($M$23:$M$2323),ROW($M$23:$M$2323)),""),ROWS($A$23:A80))),""),"")</f>
        <v/>
      </c>
      <c r="S80" s="623">
        <v>32812</v>
      </c>
      <c r="T80" s="622" t="s">
        <v>85</v>
      </c>
      <c r="V80" s="622">
        <v>6</v>
      </c>
      <c r="W80" s="622" t="s">
        <v>49</v>
      </c>
      <c r="AB80" s="626">
        <v>4</v>
      </c>
      <c r="AC80" s="626" t="s">
        <v>77</v>
      </c>
      <c r="AE80" s="1802">
        <v>34109</v>
      </c>
      <c r="AF80" s="622" t="s">
        <v>44</v>
      </c>
      <c r="AI80" s="1376"/>
      <c r="AJ80" s="622">
        <v>417</v>
      </c>
      <c r="AK80" s="622" t="s">
        <v>36</v>
      </c>
      <c r="AP80" s="1837"/>
      <c r="AQ80" s="1837"/>
      <c r="AS80" s="627" t="str">
        <f t="array" ref="AS80">IFERROR(IF($O$21="Metro",INDEX($AJ$23:$AJ$748,SMALL(IF((County=$AK$23:$AK$748),MATCH(ROW($AK$23:$AK$748),ROW($AK$23:$AK$748)),""),ROWS($A$23:$A80))),INDEX($AM$23:$AM$58,SMALL(IF((County=$AN$23:$AN$58),MATCH(ROW($AN$23:$AN$58),ROW($AN$23:$AN$58)),""),ROWS($A$23:$A80)))),"")</f>
        <v/>
      </c>
      <c r="AU80" s="627" t="str">
        <f t="array" ref="AU80">IFERROR(IF($Q$21="Yes",INDEX($AP$23:$AP$2323,SMALL(IF((County=$AQ$23:$AQ$2323),MATCH(ROW($AQ$23:$AQ$2323),ROW($AQ$23:$AQ$2323)),""),ROWS($A$23:$A80))),""),"")</f>
        <v/>
      </c>
      <c r="AW80" s="1802">
        <v>32804</v>
      </c>
      <c r="AX80" s="622" t="s">
        <v>85</v>
      </c>
      <c r="AZ80" s="622">
        <v>4.0199999999999996</v>
      </c>
      <c r="BA80" s="622" t="s">
        <v>78</v>
      </c>
      <c r="BF80" s="1837"/>
      <c r="BG80" s="1837"/>
      <c r="BI80" s="1218" t="s">
        <v>96</v>
      </c>
      <c r="BJ80" s="1218" t="s">
        <v>1469</v>
      </c>
      <c r="BK80" s="1218" t="s">
        <v>1470</v>
      </c>
      <c r="BL80" s="1225">
        <v>27.065443999999999</v>
      </c>
      <c r="BM80" s="1226">
        <v>-82.159955999999994</v>
      </c>
      <c r="BN80" s="1222" t="s">
        <v>1355</v>
      </c>
      <c r="BO80" s="1221" t="s">
        <v>610</v>
      </c>
      <c r="BP80" s="1219" t="str">
        <f t="shared" si="5"/>
        <v>Sarasota - Arbor Park</v>
      </c>
      <c r="BQ80" s="1219" t="str">
        <f t="shared" si="6"/>
        <v>Elderly, Non-ALF</v>
      </c>
      <c r="BR80" s="1219" t="str">
        <f t="shared" si="7"/>
        <v>(27.065444, -82.159956)</v>
      </c>
      <c r="BS80" s="1221" t="str">
        <f t="shared" si="8"/>
        <v>&gt;30</v>
      </c>
    </row>
    <row r="81" spans="1:71" ht="14.5" customHeight="1">
      <c r="A81" s="1802">
        <v>34140</v>
      </c>
      <c r="B81" s="622" t="s">
        <v>44</v>
      </c>
      <c r="E81" s="1"/>
      <c r="F81" s="622">
        <v>503.08</v>
      </c>
      <c r="G81" s="622" t="s">
        <v>36</v>
      </c>
      <c r="L81" s="626">
        <v>621.03</v>
      </c>
      <c r="M81" s="626" t="s">
        <v>35</v>
      </c>
      <c r="N81" s="203"/>
      <c r="O81" s="627" t="str">
        <f t="array" ref="O81">IFERROR(IF($O$21="Metro",INDEX($F$23:$F$748,SMALL(IF((County=$G$23:$G$748),MATCH(ROW($G$23:$G$748),ROW($G$23:$G$748)),""),ROWS($A$23:A81))),INDEX($I$23:$I$52,SMALL(IF((County=$J$23:$J$52),MATCH(ROW($J$23:$J$52),ROW($J$23:$J$52)),""),ROWS($A$23:A81)))),"")</f>
        <v/>
      </c>
      <c r="Q81" s="627" t="str">
        <f t="array" ref="Q81">IFERROR(IF($Q$21="Yes",INDEX($L$23:$L$2323,SMALL(IF((County=$M$23:$M$2323),MATCH(ROW($M$23:$M$2323),ROW($M$23:$M$2323)),""),ROWS($A$23:A81))),""),"")</f>
        <v/>
      </c>
      <c r="S81" s="623">
        <v>32814</v>
      </c>
      <c r="T81" s="622" t="s">
        <v>85</v>
      </c>
      <c r="V81" s="622">
        <v>6</v>
      </c>
      <c r="W81" s="625" t="s">
        <v>51</v>
      </c>
      <c r="AB81" s="626">
        <v>4.01</v>
      </c>
      <c r="AC81" s="626" t="s">
        <v>44</v>
      </c>
      <c r="AE81" s="1802">
        <v>34110</v>
      </c>
      <c r="AF81" s="622" t="s">
        <v>44</v>
      </c>
      <c r="AI81" s="1376"/>
      <c r="AJ81" s="622">
        <v>427</v>
      </c>
      <c r="AK81" s="622" t="s">
        <v>36</v>
      </c>
      <c r="AP81" s="1837"/>
      <c r="AQ81" s="1837"/>
      <c r="AS81" s="627" t="str">
        <f t="array" ref="AS81">IFERROR(IF($O$21="Metro",INDEX($AJ$23:$AJ$748,SMALL(IF((County=$AK$23:$AK$748),MATCH(ROW($AK$23:$AK$748),ROW($AK$23:$AK$748)),""),ROWS($A$23:$A81))),INDEX($AM$23:$AM$58,SMALL(IF((County=$AN$23:$AN$58),MATCH(ROW($AN$23:$AN$58),ROW($AN$23:$AN$58)),""),ROWS($A$23:$A81)))),"")</f>
        <v/>
      </c>
      <c r="AU81" s="627" t="str">
        <f t="array" ref="AU81">IFERROR(IF($Q$21="Yes",INDEX($AP$23:$AP$2323,SMALL(IF((County=$AQ$23:$AQ$2323),MATCH(ROW($AQ$23:$AQ$2323),ROW($AQ$23:$AQ$2323)),""),ROWS($A$23:$A81))),""),"")</f>
        <v/>
      </c>
      <c r="AW81" s="1802">
        <v>32806</v>
      </c>
      <c r="AX81" s="622" t="s">
        <v>85</v>
      </c>
      <c r="AZ81" s="622">
        <v>4.08</v>
      </c>
      <c r="BA81" s="622" t="s">
        <v>78</v>
      </c>
      <c r="BF81" s="1837"/>
      <c r="BG81" s="1837"/>
      <c r="BI81" s="1218" t="s">
        <v>96</v>
      </c>
      <c r="BJ81" s="1218" t="s">
        <v>1471</v>
      </c>
      <c r="BK81" s="1218" t="s">
        <v>1472</v>
      </c>
      <c r="BL81" s="1219">
        <v>27.355917000000002</v>
      </c>
      <c r="BM81" s="1219">
        <v>-82.537166999999997</v>
      </c>
      <c r="BN81" s="1222" t="s">
        <v>1358</v>
      </c>
      <c r="BO81" s="1221" t="s">
        <v>610</v>
      </c>
      <c r="BP81" s="1219" t="str">
        <f t="shared" si="5"/>
        <v>Sarasota - Cypress Square fka Amaryllis Park Place II</v>
      </c>
      <c r="BQ81" s="1219" t="str">
        <f t="shared" si="6"/>
        <v>Family</v>
      </c>
      <c r="BR81" s="1219" t="str">
        <f t="shared" si="7"/>
        <v>(27.355917, -82.537167)</v>
      </c>
      <c r="BS81" s="1221" t="str">
        <f t="shared" si="8"/>
        <v>&gt;30</v>
      </c>
    </row>
    <row r="82" spans="1:71" ht="14.5" customHeight="1">
      <c r="A82" s="1802">
        <v>34145</v>
      </c>
      <c r="B82" s="622" t="s">
        <v>44</v>
      </c>
      <c r="E82" s="1"/>
      <c r="F82" s="622">
        <v>503.09</v>
      </c>
      <c r="G82" s="622" t="s">
        <v>36</v>
      </c>
      <c r="L82" s="626">
        <v>621.08000000000004</v>
      </c>
      <c r="M82" s="626" t="s">
        <v>35</v>
      </c>
      <c r="N82" s="203"/>
      <c r="O82" s="627" t="str">
        <f t="array" ref="O82">IFERROR(IF($O$21="Metro",INDEX($F$23:$F$748,SMALL(IF((County=$G$23:$G$748),MATCH(ROW($G$23:$G$748),ROW($G$23:$G$748)),""),ROWS($A$23:A82))),INDEX($I$23:$I$52,SMALL(IF((County=$J$23:$J$52),MATCH(ROW($J$23:$J$52),ROW($J$23:$J$52)),""),ROWS($A$23:A82)))),"")</f>
        <v/>
      </c>
      <c r="Q82" s="627" t="str">
        <f t="array" ref="Q82">IFERROR(IF($Q$21="Yes",INDEX($L$23:$L$2323,SMALL(IF((County=$M$23:$M$2323),MATCH(ROW($M$23:$M$2323),ROW($M$23:$M$2323)),""),ROWS($A$23:A82))),""),"")</f>
        <v/>
      </c>
      <c r="S82" s="623">
        <v>32817</v>
      </c>
      <c r="T82" s="622" t="s">
        <v>85</v>
      </c>
      <c r="V82" s="622">
        <v>6</v>
      </c>
      <c r="W82" s="625" t="s">
        <v>70</v>
      </c>
      <c r="AB82" s="626">
        <v>4.01</v>
      </c>
      <c r="AC82" s="626" t="s">
        <v>60</v>
      </c>
      <c r="AE82" s="1802">
        <v>34117</v>
      </c>
      <c r="AF82" s="622" t="s">
        <v>44</v>
      </c>
      <c r="AI82" s="1376"/>
      <c r="AJ82" s="622">
        <v>428.01</v>
      </c>
      <c r="AK82" s="622" t="s">
        <v>36</v>
      </c>
      <c r="AP82" s="1837"/>
      <c r="AQ82" s="1837"/>
      <c r="AS82" s="627" t="str">
        <f t="array" ref="AS82">IFERROR(IF($O$21="Metro",INDEX($AJ$23:$AJ$748,SMALL(IF((County=$AK$23:$AK$748),MATCH(ROW($AK$23:$AK$748),ROW($AK$23:$AK$748)),""),ROWS($A$23:$A82))),INDEX($AM$23:$AM$58,SMALL(IF((County=$AN$23:$AN$58),MATCH(ROW($AN$23:$AN$58),ROW($AN$23:$AN$58)),""),ROWS($A$23:$A82)))),"")</f>
        <v/>
      </c>
      <c r="AU82" s="627" t="str">
        <f t="array" ref="AU82">IFERROR(IF($Q$21="Yes",INDEX($AP$23:$AP$2323,SMALL(IF((County=$AQ$23:$AQ$2323),MATCH(ROW($AQ$23:$AQ$2323),ROW($AQ$23:$AQ$2323)),""),ROWS($A$23:$A82))),""),"")</f>
        <v/>
      </c>
      <c r="AW82" s="1802">
        <v>32811</v>
      </c>
      <c r="AX82" s="622" t="s">
        <v>85</v>
      </c>
      <c r="AZ82" s="622">
        <v>4.1100000000000003</v>
      </c>
      <c r="BA82" s="622" t="s">
        <v>78</v>
      </c>
      <c r="BF82" s="1837"/>
      <c r="BG82" s="1837"/>
      <c r="BI82" s="1218" t="s">
        <v>97</v>
      </c>
      <c r="BJ82" s="1218" t="s">
        <v>1473</v>
      </c>
      <c r="BK82" s="1218" t="s">
        <v>1474</v>
      </c>
      <c r="BL82" s="1218">
        <v>28.668277</v>
      </c>
      <c r="BM82" s="1218">
        <v>-81.357022000000001</v>
      </c>
      <c r="BN82" s="1222" t="s">
        <v>1358</v>
      </c>
      <c r="BO82" s="1222" t="s">
        <v>610</v>
      </c>
      <c r="BP82" s="1219" t="str">
        <f t="shared" si="5"/>
        <v>Seminole - Banyan East Town Apartments</v>
      </c>
      <c r="BQ82" s="1219" t="str">
        <f t="shared" si="6"/>
        <v>Family</v>
      </c>
      <c r="BR82" s="1219" t="str">
        <f t="shared" si="7"/>
        <v>(28.668277, -81.357022)</v>
      </c>
      <c r="BS82" s="1221" t="str">
        <f t="shared" si="8"/>
        <v>&gt;30</v>
      </c>
    </row>
    <row r="83" spans="1:71" ht="14.5" customHeight="1">
      <c r="A83" s="1802">
        <v>32212</v>
      </c>
      <c r="B83" s="622" t="s">
        <v>49</v>
      </c>
      <c r="E83" s="1"/>
      <c r="F83" s="622">
        <v>503.11</v>
      </c>
      <c r="G83" s="622" t="s">
        <v>36</v>
      </c>
      <c r="L83" s="626">
        <v>621.09</v>
      </c>
      <c r="M83" s="626" t="s">
        <v>35</v>
      </c>
      <c r="N83" s="203"/>
      <c r="O83" s="627" t="str">
        <f t="array" ref="O83">IFERROR(IF($O$21="Metro",INDEX($F$23:$F$748,SMALL(IF((County=$G$23:$G$748),MATCH(ROW($G$23:$G$748),ROW($G$23:$G$748)),""),ROWS($A$23:A83))),INDEX($I$23:$I$52,SMALL(IF((County=$J$23:$J$52),MATCH(ROW($J$23:$J$52),ROW($J$23:$J$52)),""),ROWS($A$23:A83)))),"")</f>
        <v/>
      </c>
      <c r="Q83" s="627" t="str">
        <f t="array" ref="Q83">IFERROR(IF($Q$21="Yes",INDEX($L$23:$L$2323,SMALL(IF((County=$M$23:$M$2323),MATCH(ROW($M$23:$M$2323),ROW($M$23:$M$2323)),""),ROWS($A$23:A83))),""),"")</f>
        <v/>
      </c>
      <c r="S83" s="623">
        <v>32819</v>
      </c>
      <c r="T83" s="622" t="s">
        <v>85</v>
      </c>
      <c r="V83" s="622">
        <v>6</v>
      </c>
      <c r="W83" s="625" t="s">
        <v>71</v>
      </c>
      <c r="AB83" s="626">
        <v>4.0199999999999996</v>
      </c>
      <c r="AC83" s="626" t="s">
        <v>44</v>
      </c>
      <c r="AE83" s="1802">
        <v>34119</v>
      </c>
      <c r="AF83" s="622" t="s">
        <v>44</v>
      </c>
      <c r="AI83" s="1376"/>
      <c r="AJ83" s="622">
        <v>428.02</v>
      </c>
      <c r="AK83" s="622" t="s">
        <v>36</v>
      </c>
      <c r="AP83" s="1837"/>
      <c r="AQ83" s="1837"/>
      <c r="AS83" s="627" t="str">
        <f t="array" ref="AS83">IFERROR(IF($O$21="Metro",INDEX($AJ$23:$AJ$748,SMALL(IF((County=$AK$23:$AK$748),MATCH(ROW($AK$23:$AK$748),ROW($AK$23:$AK$748)),""),ROWS($A$23:$A83))),INDEX($AM$23:$AM$58,SMALL(IF((County=$AN$23:$AN$58),MATCH(ROW($AN$23:$AN$58),ROW($AN$23:$AN$58)),""),ROWS($A$23:$A83)))),"")</f>
        <v/>
      </c>
      <c r="AU83" s="627" t="str">
        <f t="array" ref="AU83">IFERROR(IF($Q$21="Yes",INDEX($AP$23:$AP$2323,SMALL(IF((County=$AQ$23:$AQ$2323),MATCH(ROW($AQ$23:$AQ$2323),ROW($AQ$23:$AQ$2323)),""),ROWS($A$23:$A83))),""),"")</f>
        <v/>
      </c>
      <c r="AW83" s="1802">
        <v>32812</v>
      </c>
      <c r="AX83" s="622" t="s">
        <v>85</v>
      </c>
      <c r="AZ83" s="622">
        <v>4.1399999999999997</v>
      </c>
      <c r="BA83" s="622" t="s">
        <v>78</v>
      </c>
      <c r="BF83" s="1837"/>
      <c r="BG83" s="1837"/>
      <c r="BI83" s="1218" t="s">
        <v>97</v>
      </c>
      <c r="BJ83" s="1218" t="s">
        <v>1475</v>
      </c>
      <c r="BK83" s="1218" t="s">
        <v>1476</v>
      </c>
      <c r="BL83" s="1219">
        <v>28.813414000000002</v>
      </c>
      <c r="BM83" s="1219">
        <v>-81.292023</v>
      </c>
      <c r="BN83" s="1220" t="s">
        <v>1355</v>
      </c>
      <c r="BO83" s="1221" t="s">
        <v>610</v>
      </c>
      <c r="BP83" s="1219" t="str">
        <f t="shared" si="5"/>
        <v>Seminole - Monroe Place</v>
      </c>
      <c r="BQ83" s="1219" t="str">
        <f t="shared" si="6"/>
        <v>Elderly, Non-ALF</v>
      </c>
      <c r="BR83" s="1219" t="str">
        <f t="shared" si="7"/>
        <v>(28.813414, -81.292023)</v>
      </c>
      <c r="BS83" s="1221" t="str">
        <f t="shared" si="8"/>
        <v>&gt;30</v>
      </c>
    </row>
    <row r="84" spans="1:71" ht="14.5" customHeight="1">
      <c r="A84" s="1802">
        <v>32222</v>
      </c>
      <c r="B84" s="622" t="s">
        <v>49</v>
      </c>
      <c r="E84" s="1"/>
      <c r="F84" s="622">
        <v>507.02</v>
      </c>
      <c r="G84" s="622" t="s">
        <v>36</v>
      </c>
      <c r="L84" s="626">
        <v>628</v>
      </c>
      <c r="M84" s="626" t="s">
        <v>35</v>
      </c>
      <c r="N84" s="203"/>
      <c r="O84" s="627" t="str">
        <f t="array" ref="O84">IFERROR(IF($O$21="Metro",INDEX($F$23:$F$748,SMALL(IF((County=$G$23:$G$748),MATCH(ROW($G$23:$G$748),ROW($G$23:$G$748)),""),ROWS($A$23:A84))),INDEX($I$23:$I$52,SMALL(IF((County=$J$23:$J$52),MATCH(ROW($J$23:$J$52),ROW($J$23:$J$52)),""),ROWS($A$23:A84)))),"")</f>
        <v/>
      </c>
      <c r="Q84" s="627" t="str">
        <f t="array" ref="Q84">IFERROR(IF($Q$21="Yes",INDEX($L$23:$L$2323,SMALL(IF((County=$M$23:$M$2323),MATCH(ROW($M$23:$M$2323),ROW($M$23:$M$2323)),""),ROWS($A$23:A84))),""),"")</f>
        <v/>
      </c>
      <c r="S84" s="623">
        <v>32820</v>
      </c>
      <c r="T84" s="622" t="s">
        <v>85</v>
      </c>
      <c r="V84" s="622">
        <v>6.01</v>
      </c>
      <c r="W84" s="625" t="s">
        <v>63</v>
      </c>
      <c r="AB84" s="626">
        <v>4.0199999999999996</v>
      </c>
      <c r="AC84" s="626" t="s">
        <v>60</v>
      </c>
      <c r="AE84" s="1802">
        <v>34120</v>
      </c>
      <c r="AF84" s="622" t="s">
        <v>44</v>
      </c>
      <c r="AI84" s="1376"/>
      <c r="AJ84" s="622">
        <v>502.08</v>
      </c>
      <c r="AK84" s="622" t="s">
        <v>36</v>
      </c>
      <c r="AP84" s="1837"/>
      <c r="AQ84" s="1837"/>
      <c r="AS84" s="627" t="str">
        <f t="array" ref="AS84">IFERROR(IF($O$21="Metro",INDEX($AJ$23:$AJ$748,SMALL(IF((County=$AK$23:$AK$748),MATCH(ROW($AK$23:$AK$748),ROW($AK$23:$AK$748)),""),ROWS($A$23:$A84))),INDEX($AM$23:$AM$58,SMALL(IF((County=$AN$23:$AN$58),MATCH(ROW($AN$23:$AN$58),ROW($AN$23:$AN$58)),""),ROWS($A$23:$A84)))),"")</f>
        <v/>
      </c>
      <c r="AU84" s="627" t="str">
        <f t="array" ref="AU84">IFERROR(IF($Q$21="Yes",INDEX($AP$23:$AP$2323,SMALL(IF((County=$AQ$23:$AQ$2323),MATCH(ROW($AQ$23:$AQ$2323),ROW($AQ$23:$AQ$2323)),""),ROWS($A$23:$A84))),""),"")</f>
        <v/>
      </c>
      <c r="AW84" s="1802">
        <v>32814</v>
      </c>
      <c r="AX84" s="622" t="s">
        <v>85</v>
      </c>
      <c r="AZ84" s="622">
        <v>4.1500000000000004</v>
      </c>
      <c r="BA84" s="625" t="s">
        <v>78</v>
      </c>
      <c r="BF84" s="1837"/>
      <c r="BG84" s="1837"/>
      <c r="BI84" s="1218" t="s">
        <v>97</v>
      </c>
      <c r="BJ84" s="1237" t="s">
        <v>1477</v>
      </c>
      <c r="BK84" s="1237" t="s">
        <v>1478</v>
      </c>
      <c r="BL84" s="1228">
        <v>28.809564999999999</v>
      </c>
      <c r="BM84" s="1226">
        <v>-81.281761000000003</v>
      </c>
      <c r="BN84" s="1220" t="s">
        <v>1358</v>
      </c>
      <c r="BO84" s="1221" t="s">
        <v>610</v>
      </c>
      <c r="BP84" s="1219" t="str">
        <f t="shared" si="5"/>
        <v>Seminole - Somerset Landings</v>
      </c>
      <c r="BQ84" s="1219" t="str">
        <f t="shared" si="6"/>
        <v>Family</v>
      </c>
      <c r="BR84" s="1219" t="str">
        <f t="shared" si="7"/>
        <v>(28.809565, -81.281761)</v>
      </c>
      <c r="BS84" s="1221" t="str">
        <f t="shared" si="8"/>
        <v>&gt;30</v>
      </c>
    </row>
    <row r="85" spans="1:71" ht="14.5" customHeight="1">
      <c r="A85" s="1802">
        <v>32224</v>
      </c>
      <c r="B85" s="622" t="s">
        <v>49</v>
      </c>
      <c r="E85" s="1"/>
      <c r="F85" s="622">
        <v>508</v>
      </c>
      <c r="G85" s="622" t="s">
        <v>36</v>
      </c>
      <c r="L85" s="626">
        <v>630</v>
      </c>
      <c r="M85" s="626" t="s">
        <v>35</v>
      </c>
      <c r="N85" s="203"/>
      <c r="O85" s="627" t="str">
        <f t="array" ref="O85">IFERROR(IF($O$21="Metro",INDEX($F$23:$F$748,SMALL(IF((County=$G$23:$G$748),MATCH(ROW($G$23:$G$748),ROW($G$23:$G$748)),""),ROWS($A$23:A85))),INDEX($I$23:$I$52,SMALL(IF((County=$J$23:$J$52),MATCH(ROW($J$23:$J$52),ROW($J$23:$J$52)),""),ROWS($A$23:A85)))),"")</f>
        <v/>
      </c>
      <c r="Q85" s="627" t="str">
        <f t="array" ref="Q85">IFERROR(IF($Q$21="Yes",INDEX($L$23:$L$2323,SMALL(IF((County=$M$23:$M$2323),MATCH(ROW($M$23:$M$2323),ROW($M$23:$M$2323)),""),ROWS($A$23:A85))),""),"")</f>
        <v/>
      </c>
      <c r="S85" s="623">
        <v>32821</v>
      </c>
      <c r="T85" s="622" t="s">
        <v>85</v>
      </c>
      <c r="V85" s="622">
        <v>6.01</v>
      </c>
      <c r="W85" s="625" t="s">
        <v>78</v>
      </c>
      <c r="AB85" s="626">
        <v>4.03</v>
      </c>
      <c r="AC85" s="626" t="s">
        <v>75</v>
      </c>
      <c r="AE85" s="1802">
        <v>34140</v>
      </c>
      <c r="AF85" s="622" t="s">
        <v>44</v>
      </c>
      <c r="AI85" s="1376"/>
      <c r="AJ85" s="622">
        <v>503.08</v>
      </c>
      <c r="AK85" s="622" t="s">
        <v>36</v>
      </c>
      <c r="AP85" s="1837"/>
      <c r="AQ85" s="1837"/>
      <c r="AS85" s="627" t="str">
        <f t="array" ref="AS85">IFERROR(IF($O$21="Metro",INDEX($AJ$23:$AJ$748,SMALL(IF((County=$AK$23:$AK$748),MATCH(ROW($AK$23:$AK$748),ROW($AK$23:$AK$748)),""),ROWS($A$23:$A85))),INDEX($AM$23:$AM$58,SMALL(IF((County=$AN$23:$AN$58),MATCH(ROW($AN$23:$AN$58),ROW($AN$23:$AN$58)),""),ROWS($A$23:$A85)))),"")</f>
        <v/>
      </c>
      <c r="AU85" s="627" t="str">
        <f t="array" ref="AU85">IFERROR(IF($Q$21="Yes",INDEX($AP$23:$AP$2323,SMALL(IF((County=$AQ$23:$AQ$2323),MATCH(ROW($AQ$23:$AQ$2323),ROW($AQ$23:$AQ$2323)),""),ROWS($A$23:$A85))),""),"")</f>
        <v/>
      </c>
      <c r="AW85" s="1802">
        <v>32817</v>
      </c>
      <c r="AX85" s="622" t="s">
        <v>85</v>
      </c>
      <c r="AZ85" s="622">
        <v>4.16</v>
      </c>
      <c r="BA85" s="625" t="s">
        <v>78</v>
      </c>
      <c r="BF85" s="1837"/>
      <c r="BG85" s="1837"/>
      <c r="BI85" s="1218" t="s">
        <v>102</v>
      </c>
      <c r="BJ85" s="1218" t="s">
        <v>1479</v>
      </c>
      <c r="BK85" s="1218" t="s">
        <v>1480</v>
      </c>
      <c r="BL85" s="1219">
        <v>28.916706000000001</v>
      </c>
      <c r="BM85" s="1219">
        <v>-81.275324999999995</v>
      </c>
      <c r="BN85" s="1220" t="s">
        <v>1355</v>
      </c>
      <c r="BO85" s="1221" t="s">
        <v>610</v>
      </c>
      <c r="BP85" s="1219" t="str">
        <f t="shared" si="5"/>
        <v>Volusia - Bristol Manor</v>
      </c>
      <c r="BQ85" s="1219" t="str">
        <f t="shared" si="6"/>
        <v>Elderly, Non-ALF</v>
      </c>
      <c r="BR85" s="1219" t="str">
        <f t="shared" si="7"/>
        <v>(28.916706, -81.275325)</v>
      </c>
      <c r="BS85" s="1221" t="str">
        <f t="shared" si="8"/>
        <v>&gt;30</v>
      </c>
    </row>
    <row r="86" spans="1:71" ht="14.5" customHeight="1">
      <c r="A86" s="1802">
        <v>32226</v>
      </c>
      <c r="B86" s="622" t="s">
        <v>49</v>
      </c>
      <c r="E86" s="1"/>
      <c r="F86" s="622">
        <v>602.03</v>
      </c>
      <c r="G86" s="622" t="s">
        <v>36</v>
      </c>
      <c r="L86" s="626">
        <v>631.02</v>
      </c>
      <c r="M86" s="626" t="s">
        <v>35</v>
      </c>
      <c r="N86" s="203"/>
      <c r="O86" s="627" t="str">
        <f t="array" ref="O86">IFERROR(IF($O$21="Metro",INDEX($F$23:$F$748,SMALL(IF((County=$G$23:$G$748),MATCH(ROW($G$23:$G$748),ROW($G$23:$G$748)),""),ROWS($A$23:A86))),INDEX($I$23:$I$52,SMALL(IF((County=$J$23:$J$52),MATCH(ROW($J$23:$J$52),ROW($J$23:$J$52)),""),ROWS($A$23:A86)))),"")</f>
        <v/>
      </c>
      <c r="Q86" s="627" t="str">
        <f t="array" ref="Q86">IFERROR(IF($Q$21="Yes",INDEX($L$23:$L$2323,SMALL(IF((County=$M$23:$M$2323),MATCH(ROW($M$23:$M$2323),ROW($M$23:$M$2323)),""),ROWS($A$23:A86))),""),"")</f>
        <v/>
      </c>
      <c r="S86" s="623">
        <v>32824</v>
      </c>
      <c r="T86" s="622" t="s">
        <v>85</v>
      </c>
      <c r="V86" s="622">
        <v>6.02</v>
      </c>
      <c r="W86" s="625" t="s">
        <v>63</v>
      </c>
      <c r="AB86" s="626">
        <v>4.04</v>
      </c>
      <c r="AC86" s="626" t="s">
        <v>96</v>
      </c>
      <c r="AE86" s="1802">
        <v>34145</v>
      </c>
      <c r="AF86" s="622" t="s">
        <v>44</v>
      </c>
      <c r="AI86" s="1376"/>
      <c r="AJ86" s="622">
        <v>503.09</v>
      </c>
      <c r="AK86" s="622" t="s">
        <v>36</v>
      </c>
      <c r="AP86" s="1837"/>
      <c r="AQ86" s="1837"/>
      <c r="AS86" s="627" t="str">
        <f t="array" ref="AS86">IFERROR(IF($O$21="Metro",INDEX($AJ$23:$AJ$748,SMALL(IF((County=$AK$23:$AK$748),MATCH(ROW($AK$23:$AK$748),ROW($AK$23:$AK$748)),""),ROWS($A$23:$A86))),INDEX($AM$23:$AM$58,SMALL(IF((County=$AN$23:$AN$58),MATCH(ROW($AN$23:$AN$58),ROW($AN$23:$AN$58)),""),ROWS($A$23:$A86)))),"")</f>
        <v/>
      </c>
      <c r="AU86" s="627" t="str">
        <f t="array" ref="AU86">IFERROR(IF($Q$21="Yes",INDEX($AP$23:$AP$2323,SMALL(IF((County=$AQ$23:$AQ$2323),MATCH(ROW($AQ$23:$AQ$2323),ROW($AQ$23:$AQ$2323)),""),ROWS($A$23:$A86))),""),"")</f>
        <v/>
      </c>
      <c r="AW86" s="1802">
        <v>32819</v>
      </c>
      <c r="AX86" s="622" t="s">
        <v>85</v>
      </c>
      <c r="AZ86" s="622">
        <v>4.17</v>
      </c>
      <c r="BA86" s="625" t="s">
        <v>78</v>
      </c>
      <c r="BF86" s="1837"/>
      <c r="BG86" s="1837"/>
      <c r="BI86" s="1218" t="s">
        <v>102</v>
      </c>
      <c r="BJ86" s="1218" t="s">
        <v>1481</v>
      </c>
      <c r="BK86" s="1218" t="s">
        <v>1559</v>
      </c>
      <c r="BL86" s="1219">
        <v>29.028727799999999</v>
      </c>
      <c r="BM86" s="1219">
        <v>-80.937791700000005</v>
      </c>
      <c r="BN86" s="1220" t="s">
        <v>1355</v>
      </c>
      <c r="BO86" s="1221" t="s">
        <v>610</v>
      </c>
      <c r="BP86" s="1219" t="str">
        <f t="shared" si="5"/>
        <v>Volusia - Greenlawn Manor, f/k/a Westside Phase I - sites 1-3</v>
      </c>
      <c r="BQ86" s="1219" t="str">
        <f t="shared" si="6"/>
        <v>Elderly, Non-ALF</v>
      </c>
      <c r="BR86" s="1219" t="str">
        <f t="shared" si="7"/>
        <v>(29.0287278, -80.9377917)</v>
      </c>
      <c r="BS86" s="1221" t="str">
        <f t="shared" si="8"/>
        <v>&gt;30</v>
      </c>
    </row>
    <row r="87" spans="1:71" ht="14.5" customHeight="1">
      <c r="A87" s="1802">
        <v>32227</v>
      </c>
      <c r="B87" s="622" t="s">
        <v>49</v>
      </c>
      <c r="E87" s="1"/>
      <c r="F87" s="622">
        <v>603.02</v>
      </c>
      <c r="G87" s="622" t="s">
        <v>36</v>
      </c>
      <c r="L87" s="626">
        <v>631.04</v>
      </c>
      <c r="M87" s="626" t="s">
        <v>35</v>
      </c>
      <c r="N87" s="203"/>
      <c r="O87" s="627" t="str">
        <f t="array" ref="O87">IFERROR(IF($O$21="Metro",INDEX($F$23:$F$748,SMALL(IF((County=$G$23:$G$748),MATCH(ROW($G$23:$G$748),ROW($G$23:$G$748)),""),ROWS($A$23:A87))),INDEX($I$23:$I$52,SMALL(IF((County=$J$23:$J$52),MATCH(ROW($J$23:$J$52),ROW($J$23:$J$52)),""),ROWS($A$23:A87)))),"")</f>
        <v/>
      </c>
      <c r="Q87" s="627" t="str">
        <f t="array" ref="Q87">IFERROR(IF($Q$21="Yes",INDEX($L$23:$L$2323,SMALL(IF((County=$M$23:$M$2323),MATCH(ROW($M$23:$M$2323),ROW($M$23:$M$2323)),""),ROWS($A$23:A87))),""),"")</f>
        <v/>
      </c>
      <c r="S87" s="623">
        <v>32827</v>
      </c>
      <c r="T87" s="622" t="s">
        <v>85</v>
      </c>
      <c r="V87" s="622">
        <v>6.02</v>
      </c>
      <c r="W87" s="625" t="s">
        <v>78</v>
      </c>
      <c r="AB87" s="626">
        <v>4.05</v>
      </c>
      <c r="AC87" s="626" t="s">
        <v>75</v>
      </c>
      <c r="AE87" s="1802">
        <v>32212</v>
      </c>
      <c r="AF87" s="622" t="s">
        <v>49</v>
      </c>
      <c r="AI87" s="1376"/>
      <c r="AJ87" s="622">
        <v>503.11</v>
      </c>
      <c r="AK87" s="622" t="s">
        <v>36</v>
      </c>
      <c r="AP87" s="1837"/>
      <c r="AQ87" s="1837"/>
      <c r="AS87" s="627" t="str">
        <f t="array" ref="AS87">IFERROR(IF($O$21="Metro",INDEX($AJ$23:$AJ$748,SMALL(IF((County=$AK$23:$AK$748),MATCH(ROW($AK$23:$AK$748),ROW($AK$23:$AK$748)),""),ROWS($A$23:$A87))),INDEX($AM$23:$AM$58,SMALL(IF((County=$AN$23:$AN$58),MATCH(ROW($AN$23:$AN$58),ROW($AN$23:$AN$58)),""),ROWS($A$23:$A87)))),"")</f>
        <v/>
      </c>
      <c r="AU87" s="627" t="str">
        <f t="array" ref="AU87">IFERROR(IF($Q$21="Yes",INDEX($AP$23:$AP$2323,SMALL(IF((County=$AQ$23:$AQ$2323),MATCH(ROW($AQ$23:$AQ$2323),ROW($AQ$23:$AQ$2323)),""),ROWS($A$23:$A87))),""),"")</f>
        <v/>
      </c>
      <c r="AW87" s="1802">
        <v>32820</v>
      </c>
      <c r="AX87" s="622" t="s">
        <v>85</v>
      </c>
      <c r="AZ87" s="622">
        <v>4.18</v>
      </c>
      <c r="BA87" s="625" t="s">
        <v>78</v>
      </c>
      <c r="BF87" s="1837"/>
      <c r="BG87" s="1837"/>
      <c r="BI87" s="1218" t="s">
        <v>103</v>
      </c>
      <c r="BJ87" s="1218" t="s">
        <v>1482</v>
      </c>
      <c r="BK87" s="1218" t="s">
        <v>1483</v>
      </c>
      <c r="BL87" s="1229">
        <v>30.173933999999999</v>
      </c>
      <c r="BM87" s="1229">
        <v>-84.379789000000002</v>
      </c>
      <c r="BN87" s="1222" t="s">
        <v>1358</v>
      </c>
      <c r="BO87" s="1221" t="s">
        <v>611</v>
      </c>
      <c r="BP87" s="1219" t="str">
        <f t="shared" si="5"/>
        <v>Wakulla - Greyes Place Phase II</v>
      </c>
      <c r="BQ87" s="1219" t="str">
        <f t="shared" si="6"/>
        <v>Family</v>
      </c>
      <c r="BR87" s="1219" t="str">
        <f t="shared" si="7"/>
        <v>(30.173934, -84.379789)</v>
      </c>
      <c r="BS87" s="1221" t="str">
        <f t="shared" si="8"/>
        <v>&lt;31</v>
      </c>
    </row>
    <row r="88" spans="1:71" ht="14.5" customHeight="1">
      <c r="A88" s="1802">
        <v>32228</v>
      </c>
      <c r="B88" s="622" t="s">
        <v>49</v>
      </c>
      <c r="E88" s="1"/>
      <c r="F88" s="622">
        <v>603.03</v>
      </c>
      <c r="G88" s="622" t="s">
        <v>36</v>
      </c>
      <c r="L88" s="626">
        <v>631.04999999999995</v>
      </c>
      <c r="M88" s="626" t="s">
        <v>35</v>
      </c>
      <c r="N88" s="203"/>
      <c r="O88" s="627" t="str">
        <f t="array" ref="O88">IFERROR(IF($O$21="Metro",INDEX($F$23:$F$748,SMALL(IF((County=$G$23:$G$748),MATCH(ROW($G$23:$G$748),ROW($G$23:$G$748)),""),ROWS($A$23:A88))),INDEX($I$23:$I$52,SMALL(IF((County=$J$23:$J$52),MATCH(ROW($J$23:$J$52),ROW($J$23:$J$52)),""),ROWS($A$23:A88)))),"")</f>
        <v/>
      </c>
      <c r="Q88" s="627" t="str">
        <f t="array" ref="Q88">IFERROR(IF($Q$21="Yes",INDEX($L$23:$L$2323,SMALL(IF((County=$M$23:$M$2323),MATCH(ROW($M$23:$M$2323),ROW($M$23:$M$2323)),""),ROWS($A$23:A88))),""),"")</f>
        <v/>
      </c>
      <c r="S88" s="623">
        <v>32828</v>
      </c>
      <c r="T88" s="622" t="s">
        <v>85</v>
      </c>
      <c r="V88" s="622">
        <v>6.03</v>
      </c>
      <c r="W88" s="625" t="s">
        <v>78</v>
      </c>
      <c r="AB88" s="626">
        <v>4.05</v>
      </c>
      <c r="AC88" s="626" t="s">
        <v>87</v>
      </c>
      <c r="AE88" s="1802">
        <v>32224</v>
      </c>
      <c r="AF88" s="622" t="s">
        <v>49</v>
      </c>
      <c r="AI88" s="1376"/>
      <c r="AJ88" s="622">
        <v>503.12</v>
      </c>
      <c r="AK88" s="622" t="s">
        <v>36</v>
      </c>
      <c r="AP88" s="1837"/>
      <c r="AQ88" s="1837"/>
      <c r="AS88" s="627" t="str">
        <f t="array" ref="AS88">IFERROR(IF($O$21="Metro",INDEX($AJ$23:$AJ$748,SMALL(IF((County=$AK$23:$AK$748),MATCH(ROW($AK$23:$AK$748),ROW($AK$23:$AK$748)),""),ROWS($A$23:$A88))),INDEX($AM$23:$AM$58,SMALL(IF((County=$AN$23:$AN$58),MATCH(ROW($AN$23:$AN$58),ROW($AN$23:$AN$58)),""),ROWS($A$23:$A88)))),"")</f>
        <v/>
      </c>
      <c r="AU88" s="627" t="str">
        <f t="array" ref="AU88">IFERROR(IF($Q$21="Yes",INDEX($AP$23:$AP$2323,SMALL(IF((County=$AQ$23:$AQ$2323),MATCH(ROW($AQ$23:$AQ$2323),ROW($AQ$23:$AQ$2323)),""),ROWS($A$23:$A88))),""),"")</f>
        <v/>
      </c>
      <c r="AW88" s="1802">
        <v>32821</v>
      </c>
      <c r="AX88" s="622" t="s">
        <v>85</v>
      </c>
      <c r="AZ88" s="622">
        <v>5.01</v>
      </c>
      <c r="BA88" s="625" t="s">
        <v>71</v>
      </c>
      <c r="BF88" s="1837"/>
      <c r="BG88" s="1837"/>
      <c r="BI88" s="1218" t="s">
        <v>104</v>
      </c>
      <c r="BJ88" s="1218" t="s">
        <v>1484</v>
      </c>
      <c r="BK88" s="1218" t="s">
        <v>1485</v>
      </c>
      <c r="BL88" s="1227">
        <v>30.506656</v>
      </c>
      <c r="BM88" s="1226">
        <v>-86.137401999999994</v>
      </c>
      <c r="BN88" s="1222" t="s">
        <v>1358</v>
      </c>
      <c r="BO88" s="1221" t="s">
        <v>610</v>
      </c>
      <c r="BP88" s="1219" t="str">
        <f t="shared" si="5"/>
        <v>Walton - Rosemary Place</v>
      </c>
      <c r="BQ88" s="1219" t="str">
        <f t="shared" si="6"/>
        <v>Family</v>
      </c>
      <c r="BR88" s="1219" t="str">
        <f t="shared" si="7"/>
        <v>(30.506656, -86.137402)</v>
      </c>
      <c r="BS88" s="1221" t="str">
        <f t="shared" si="8"/>
        <v>&gt;30</v>
      </c>
    </row>
    <row r="89" spans="1:71" ht="14.5" customHeight="1">
      <c r="A89" s="1802">
        <v>32256</v>
      </c>
      <c r="B89" s="622" t="s">
        <v>49</v>
      </c>
      <c r="E89" s="1"/>
      <c r="F89" s="622">
        <v>603.04</v>
      </c>
      <c r="G89" s="622" t="s">
        <v>36</v>
      </c>
      <c r="L89" s="626">
        <v>631.05999999999995</v>
      </c>
      <c r="M89" s="626" t="s">
        <v>35</v>
      </c>
      <c r="N89" s="203"/>
      <c r="O89" s="627" t="str">
        <f t="array" ref="O89">IFERROR(IF($O$21="Metro",INDEX($F$23:$F$748,SMALL(IF((County=$G$23:$G$748),MATCH(ROW($G$23:$G$748),ROW($G$23:$G$748)),""),ROWS($A$23:A89))),INDEX($I$23:$I$52,SMALL(IF((County=$J$23:$J$52),MATCH(ROW($J$23:$J$52),ROW($J$23:$J$52)),""),ROWS($A$23:A89)))),"")</f>
        <v/>
      </c>
      <c r="Q89" s="627" t="str">
        <f t="array" ref="Q89">IFERROR(IF($Q$21="Yes",INDEX($L$23:$L$2323,SMALL(IF((County=$M$23:$M$2323),MATCH(ROW($M$23:$M$2323),ROW($M$23:$M$2323)),""),ROWS($A$23:A89))),""),"")</f>
        <v/>
      </c>
      <c r="S89" s="623">
        <v>32829</v>
      </c>
      <c r="T89" s="622" t="s">
        <v>85</v>
      </c>
      <c r="V89" s="622">
        <v>6.04</v>
      </c>
      <c r="W89" s="625" t="s">
        <v>75</v>
      </c>
      <c r="AB89" s="626">
        <v>4.05</v>
      </c>
      <c r="AC89" s="626" t="s">
        <v>96</v>
      </c>
      <c r="AE89" s="1802">
        <v>32225</v>
      </c>
      <c r="AF89" s="622" t="s">
        <v>49</v>
      </c>
      <c r="AI89" s="1376"/>
      <c r="AJ89" s="622">
        <v>503.13</v>
      </c>
      <c r="AK89" s="622" t="s">
        <v>36</v>
      </c>
      <c r="AP89" s="1837"/>
      <c r="AQ89" s="1837"/>
      <c r="AS89" s="627" t="str">
        <f t="array" ref="AS89">IFERROR(IF($O$21="Metro",INDEX($AJ$23:$AJ$748,SMALL(IF((County=$AK$23:$AK$748),MATCH(ROW($AK$23:$AK$748),ROW($AK$23:$AK$748)),""),ROWS($A$23:$A89))),INDEX($AM$23:$AM$58,SMALL(IF((County=$AN$23:$AN$58),MATCH(ROW($AN$23:$AN$58),ROW($AN$23:$AN$58)),""),ROWS($A$23:$A89)))),"")</f>
        <v/>
      </c>
      <c r="AU89" s="627" t="str">
        <f t="array" ref="AU89">IFERROR(IF($Q$21="Yes",INDEX($AP$23:$AP$2323,SMALL(IF((County=$AQ$23:$AQ$2323),MATCH(ROW($AQ$23:$AQ$2323),ROW($AQ$23:$AQ$2323)),""),ROWS($A$23:$A89))),""),"")</f>
        <v/>
      </c>
      <c r="AW89" s="1802">
        <v>32822</v>
      </c>
      <c r="AX89" s="622" t="s">
        <v>85</v>
      </c>
      <c r="AZ89" s="622">
        <v>5.0199999999999996</v>
      </c>
      <c r="BA89" s="625" t="s">
        <v>70</v>
      </c>
      <c r="BF89" s="1837"/>
      <c r="BG89" s="1837"/>
    </row>
    <row r="90" spans="1:71" ht="14.5" customHeight="1">
      <c r="A90" s="1802">
        <v>32258</v>
      </c>
      <c r="B90" s="622" t="s">
        <v>49</v>
      </c>
      <c r="E90" s="1"/>
      <c r="F90" s="622">
        <v>604.01</v>
      </c>
      <c r="G90" s="622" t="s">
        <v>36</v>
      </c>
      <c r="L90" s="626">
        <v>631.07000000000005</v>
      </c>
      <c r="M90" s="626" t="s">
        <v>35</v>
      </c>
      <c r="N90" s="203"/>
      <c r="O90" s="627" t="str">
        <f t="array" ref="O90">IFERROR(IF($O$21="Metro",INDEX($F$23:$F$748,SMALL(IF((County=$G$23:$G$748),MATCH(ROW($G$23:$G$748),ROW($G$23:$G$748)),""),ROWS($A$23:A90))),INDEX($I$23:$I$52,SMALL(IF((County=$J$23:$J$52),MATCH(ROW($J$23:$J$52),ROW($J$23:$J$52)),""),ROWS($A$23:A90)))),"")</f>
        <v/>
      </c>
      <c r="Q90" s="627" t="str">
        <f t="array" ref="Q90">IFERROR(IF($Q$21="Yes",INDEX($L$23:$L$2323,SMALL(IF((County=$M$23:$M$2323),MATCH(ROW($M$23:$M$2323),ROW($M$23:$M$2323)),""),ROWS($A$23:A90))),""),"")</f>
        <v/>
      </c>
      <c r="S90" s="623">
        <v>32831</v>
      </c>
      <c r="T90" s="622" t="s">
        <v>85</v>
      </c>
      <c r="V90" s="622">
        <v>6.04</v>
      </c>
      <c r="W90" s="625" t="s">
        <v>76</v>
      </c>
      <c r="AB90" s="626">
        <v>4.0599999999999996</v>
      </c>
      <c r="AC90" s="626" t="s">
        <v>87</v>
      </c>
      <c r="AE90" s="1802">
        <v>32226</v>
      </c>
      <c r="AF90" s="622" t="s">
        <v>49</v>
      </c>
      <c r="AI90" s="1376"/>
      <c r="AJ90" s="622">
        <v>503.14</v>
      </c>
      <c r="AK90" s="622" t="s">
        <v>36</v>
      </c>
      <c r="AP90" s="1837"/>
      <c r="AQ90" s="1837"/>
      <c r="AS90" s="627" t="str">
        <f t="array" ref="AS90">IFERROR(IF($O$21="Metro",INDEX($AJ$23:$AJ$748,SMALL(IF((County=$AK$23:$AK$748),MATCH(ROW($AK$23:$AK$748),ROW($AK$23:$AK$748)),""),ROWS($A$23:$A90))),INDEX($AM$23:$AM$58,SMALL(IF((County=$AN$23:$AN$58),MATCH(ROW($AN$23:$AN$58),ROW($AN$23:$AN$58)),""),ROWS($A$23:$A90)))),"")</f>
        <v/>
      </c>
      <c r="AU90" s="627" t="str">
        <f t="array" ref="AU90">IFERROR(IF($Q$21="Yes",INDEX($AP$23:$AP$2323,SMALL(IF((County=$AQ$23:$AQ$2323),MATCH(ROW($AQ$23:$AQ$2323),ROW($AQ$23:$AQ$2323)),""),ROWS($A$23:$A90))),""),"")</f>
        <v/>
      </c>
      <c r="AW90" s="1802">
        <v>32824</v>
      </c>
      <c r="AX90" s="622" t="s">
        <v>85</v>
      </c>
      <c r="AZ90" s="622">
        <v>5.0199999999999996</v>
      </c>
      <c r="BA90" s="625" t="s">
        <v>71</v>
      </c>
      <c r="BF90" s="1837"/>
      <c r="BG90" s="1837"/>
    </row>
    <row r="91" spans="1:71" ht="14.5" customHeight="1">
      <c r="A91" s="1802">
        <v>32266</v>
      </c>
      <c r="B91" s="622" t="s">
        <v>49</v>
      </c>
      <c r="E91" s="1"/>
      <c r="F91" s="622">
        <v>611</v>
      </c>
      <c r="G91" s="622" t="s">
        <v>36</v>
      </c>
      <c r="L91" s="626">
        <v>641.02</v>
      </c>
      <c r="M91" s="626" t="s">
        <v>35</v>
      </c>
      <c r="N91" s="203"/>
      <c r="O91" s="627" t="str">
        <f t="array" ref="O91">IFERROR(IF($O$21="Metro",INDEX($F$23:$F$748,SMALL(IF((County=$G$23:$G$748),MATCH(ROW($G$23:$G$748),ROW($G$23:$G$748)),""),ROWS($A$23:A91))),INDEX($I$23:$I$52,SMALL(IF((County=$J$23:$J$52),MATCH(ROW($J$23:$J$52),ROW($J$23:$J$52)),""),ROWS($A$23:A91)))),"")</f>
        <v/>
      </c>
      <c r="Q91" s="627" t="str">
        <f t="array" ref="Q91">IFERROR(IF($Q$21="Yes",INDEX($L$23:$L$2323,SMALL(IF((County=$M$23:$M$2323),MATCH(ROW($M$23:$M$2323),ROW($M$23:$M$2323)),""),ROWS($A$23:A91))),""),"")</f>
        <v/>
      </c>
      <c r="S91" s="623">
        <v>32832</v>
      </c>
      <c r="T91" s="622" t="s">
        <v>85</v>
      </c>
      <c r="V91" s="622">
        <v>6.05</v>
      </c>
      <c r="W91" s="625" t="s">
        <v>76</v>
      </c>
      <c r="AB91" s="626">
        <v>4.07</v>
      </c>
      <c r="AC91" s="626" t="s">
        <v>75</v>
      </c>
      <c r="AE91" s="1802">
        <v>32227</v>
      </c>
      <c r="AF91" s="622" t="s">
        <v>49</v>
      </c>
      <c r="AI91" s="1376"/>
      <c r="AJ91" s="622">
        <v>507.02</v>
      </c>
      <c r="AK91" s="622" t="s">
        <v>36</v>
      </c>
      <c r="AP91" s="1837"/>
      <c r="AQ91" s="1837"/>
      <c r="AS91" s="627" t="str">
        <f t="array" ref="AS91">IFERROR(IF($O$21="Metro",INDEX($AJ$23:$AJ$748,SMALL(IF((County=$AK$23:$AK$748),MATCH(ROW($AK$23:$AK$748),ROW($AK$23:$AK$748)),""),ROWS($A$23:$A91))),INDEX($AM$23:$AM$58,SMALL(IF((County=$AN$23:$AN$58),MATCH(ROW($AN$23:$AN$58),ROW($AN$23:$AN$58)),""),ROWS($A$23:$A91)))),"")</f>
        <v/>
      </c>
      <c r="AU91" s="627" t="str">
        <f t="array" ref="AU91">IFERROR(IF($Q$21="Yes",INDEX($AP$23:$AP$2323,SMALL(IF((County=$AQ$23:$AQ$2323),MATCH(ROW($AQ$23:$AQ$2323),ROW($AQ$23:$AQ$2323)),""),ROWS($A$23:$A91))),""),"")</f>
        <v/>
      </c>
      <c r="AW91" s="1802">
        <v>32827</v>
      </c>
      <c r="AX91" s="622" t="s">
        <v>85</v>
      </c>
      <c r="AZ91" s="622">
        <v>5.03</v>
      </c>
      <c r="BA91" s="622" t="s">
        <v>96</v>
      </c>
      <c r="BF91" s="1837"/>
      <c r="BG91" s="1837"/>
      <c r="BM91" s="1834" t="s">
        <v>2</v>
      </c>
      <c r="BN91" s="1834" t="s">
        <v>606</v>
      </c>
      <c r="BP91" s="1797" t="s">
        <v>2</v>
      </c>
    </row>
    <row r="92" spans="1:71" ht="14.5" customHeight="1">
      <c r="A92" s="1802">
        <v>32508</v>
      </c>
      <c r="B92" s="622" t="s">
        <v>51</v>
      </c>
      <c r="E92" s="1"/>
      <c r="F92" s="622">
        <v>805</v>
      </c>
      <c r="G92" s="622" t="s">
        <v>36</v>
      </c>
      <c r="L92" s="626">
        <v>641.23</v>
      </c>
      <c r="M92" s="626" t="s">
        <v>35</v>
      </c>
      <c r="N92" s="203"/>
      <c r="O92" s="627" t="str">
        <f t="array" ref="O92">IFERROR(IF($O$21="Metro",INDEX($F$23:$F$748,SMALL(IF((County=$G$23:$G$748),MATCH(ROW($G$23:$G$748),ROW($G$23:$G$748)),""),ROWS($A$23:A92))),INDEX($I$23:$I$52,SMALL(IF((County=$J$23:$J$52),MATCH(ROW($J$23:$J$52),ROW($J$23:$J$52)),""),ROWS($A$23:A92)))),"")</f>
        <v/>
      </c>
      <c r="Q92" s="627" t="str">
        <f t="array" ref="Q92">IFERROR(IF($Q$21="Yes",INDEX($L$23:$L$2323,SMALL(IF((County=$M$23:$M$2323),MATCH(ROW($M$23:$M$2323),ROW($M$23:$M$2323)),""),ROWS($A$23:A92))),""),"")</f>
        <v/>
      </c>
      <c r="S92" s="623">
        <v>32833</v>
      </c>
      <c r="T92" s="622" t="s">
        <v>85</v>
      </c>
      <c r="V92" s="622">
        <v>6.05</v>
      </c>
      <c r="W92" s="625" t="s">
        <v>78</v>
      </c>
      <c r="AB92" s="626">
        <v>4.07</v>
      </c>
      <c r="AC92" s="626" t="s">
        <v>87</v>
      </c>
      <c r="AE92" s="1802">
        <v>32228</v>
      </c>
      <c r="AF92" s="622" t="s">
        <v>49</v>
      </c>
      <c r="AI92" s="1376"/>
      <c r="AJ92" s="622">
        <v>508</v>
      </c>
      <c r="AK92" s="622" t="s">
        <v>36</v>
      </c>
      <c r="AP92" s="1837"/>
      <c r="AQ92" s="1837"/>
      <c r="AS92" s="627" t="str">
        <f t="array" ref="AS92">IFERROR(IF($O$21="Metro",INDEX($AJ$23:$AJ$748,SMALL(IF((County=$AK$23:$AK$748),MATCH(ROW($AK$23:$AK$748),ROW($AK$23:$AK$748)),""),ROWS($A$23:$A92))),INDEX($AM$23:$AM$58,SMALL(IF((County=$AN$23:$AN$58),MATCH(ROW($AN$23:$AN$58),ROW($AN$23:$AN$58)),""),ROWS($A$23:$A92)))),"")</f>
        <v/>
      </c>
      <c r="AU92" s="627" t="str">
        <f t="array" ref="AU92">IFERROR(IF($Q$21="Yes",INDEX($AP$23:$AP$2323,SMALL(IF((County=$AQ$23:$AQ$2323),MATCH(ROW($AQ$23:$AQ$2323),ROW($AQ$23:$AQ$2323)),""),ROWS($A$23:$A92))),""),"")</f>
        <v/>
      </c>
      <c r="AW92" s="1802">
        <v>32828</v>
      </c>
      <c r="AX92" s="622" t="s">
        <v>85</v>
      </c>
      <c r="AZ92" s="622">
        <v>5.04</v>
      </c>
      <c r="BA92" s="625" t="s">
        <v>70</v>
      </c>
      <c r="BF92" s="1837"/>
      <c r="BG92" s="1837"/>
      <c r="BM92" s="1835" t="s">
        <v>1980</v>
      </c>
      <c r="BN92" s="1835" t="s">
        <v>1981</v>
      </c>
      <c r="BP92" s="1219" t="str">
        <f t="shared" ref="BP92:BP101" si="9">BM92&amp;" - "&amp;BN92</f>
        <v>Cutler Ridge - Tier 1</v>
      </c>
    </row>
    <row r="93" spans="1:71" ht="14.5" customHeight="1">
      <c r="A93" s="1802">
        <v>32456</v>
      </c>
      <c r="B93" s="622" t="s">
        <v>57</v>
      </c>
      <c r="E93" s="1"/>
      <c r="F93" s="622">
        <v>903.01</v>
      </c>
      <c r="G93" s="622" t="s">
        <v>36</v>
      </c>
      <c r="L93" s="626">
        <v>641.25</v>
      </c>
      <c r="M93" s="626" t="s">
        <v>35</v>
      </c>
      <c r="N93" s="203"/>
      <c r="O93" s="627" t="str">
        <f t="array" ref="O93">IFERROR(IF($O$21="Metro",INDEX($F$23:$F$748,SMALL(IF((County=$G$23:$G$748),MATCH(ROW($G$23:$G$748),ROW($G$23:$G$748)),""),ROWS($A$23:A93))),INDEX($I$23:$I$52,SMALL(IF((County=$J$23:$J$52),MATCH(ROW($J$23:$J$52),ROW($J$23:$J$52)),""),ROWS($A$23:A93)))),"")</f>
        <v/>
      </c>
      <c r="Q93" s="627" t="str">
        <f t="array" ref="Q93">IFERROR(IF($Q$21="Yes",INDEX($L$23:$L$2323,SMALL(IF((County=$M$23:$M$2323),MATCH(ROW($M$23:$M$2323),ROW($M$23:$M$2323)),""),ROWS($A$23:A93))),""),"")</f>
        <v/>
      </c>
      <c r="S93" s="623">
        <v>32835</v>
      </c>
      <c r="T93" s="622" t="s">
        <v>85</v>
      </c>
      <c r="V93" s="622">
        <v>6.08</v>
      </c>
      <c r="W93" s="625" t="s">
        <v>78</v>
      </c>
      <c r="AB93" s="626">
        <v>4.08</v>
      </c>
      <c r="AC93" s="626" t="s">
        <v>87</v>
      </c>
      <c r="AE93" s="1802">
        <v>32250</v>
      </c>
      <c r="AF93" s="622" t="s">
        <v>49</v>
      </c>
      <c r="AI93" s="1376"/>
      <c r="AJ93" s="622">
        <v>602.03</v>
      </c>
      <c r="AK93" s="622" t="s">
        <v>36</v>
      </c>
      <c r="AP93" s="1837"/>
      <c r="AQ93" s="1837"/>
      <c r="AS93" s="627" t="str">
        <f t="array" ref="AS93">IFERROR(IF($O$21="Metro",INDEX($AJ$23:$AJ$748,SMALL(IF((County=$AK$23:$AK$748),MATCH(ROW($AK$23:$AK$748),ROW($AK$23:$AK$748)),""),ROWS($A$23:$A93))),INDEX($AM$23:$AM$58,SMALL(IF((County=$AN$23:$AN$58),MATCH(ROW($AN$23:$AN$58),ROW($AN$23:$AN$58)),""),ROWS($A$23:$A93)))),"")</f>
        <v/>
      </c>
      <c r="AU93" s="627" t="str">
        <f t="array" ref="AU93">IFERROR(IF($Q$21="Yes",INDEX($AP$23:$AP$2323,SMALL(IF((County=$AQ$23:$AQ$2323),MATCH(ROW($AQ$23:$AQ$2323),ROW($AQ$23:$AQ$2323)),""),ROWS($A$23:$A93))),""),"")</f>
        <v/>
      </c>
      <c r="AW93" s="1802">
        <v>32829</v>
      </c>
      <c r="AX93" s="622" t="s">
        <v>85</v>
      </c>
      <c r="AZ93" s="622">
        <v>5.04</v>
      </c>
      <c r="BA93" s="625" t="s">
        <v>78</v>
      </c>
      <c r="BF93" s="1837"/>
      <c r="BG93" s="1837"/>
      <c r="BM93" s="1835" t="s">
        <v>1982</v>
      </c>
      <c r="BN93" s="1835" t="s">
        <v>1981</v>
      </c>
      <c r="BP93" s="1219" t="str">
        <f t="shared" si="9"/>
        <v>Downtown Kendall - Tier 1</v>
      </c>
    </row>
    <row r="94" spans="1:71" ht="14.5" customHeight="1">
      <c r="A94" s="1802">
        <v>34609</v>
      </c>
      <c r="B94" s="622" t="s">
        <v>61</v>
      </c>
      <c r="E94" s="1"/>
      <c r="F94" s="622">
        <v>904.03</v>
      </c>
      <c r="G94" s="622" t="s">
        <v>36</v>
      </c>
      <c r="L94" s="626">
        <v>641.26</v>
      </c>
      <c r="M94" s="626" t="s">
        <v>35</v>
      </c>
      <c r="N94" s="203"/>
      <c r="O94" s="627" t="str">
        <f t="array" ref="O94">IFERROR(IF($O$21="Metro",INDEX($F$23:$F$748,SMALL(IF((County=$G$23:$G$748),MATCH(ROW($G$23:$G$748),ROW($G$23:$G$748)),""),ROWS($A$23:A94))),INDEX($I$23:$I$52,SMALL(IF((County=$J$23:$J$52),MATCH(ROW($J$23:$J$52),ROW($J$23:$J$52)),""),ROWS($A$23:A94)))),"")</f>
        <v/>
      </c>
      <c r="Q94" s="627" t="str">
        <f t="array" ref="Q94">IFERROR(IF($Q$21="Yes",INDEX($L$23:$L$2323,SMALL(IF((County=$M$23:$M$2323),MATCH(ROW($M$23:$M$2323),ROW($M$23:$M$2323)),""),ROWS($A$23:A94))),""),"")</f>
        <v/>
      </c>
      <c r="S94" s="623">
        <v>32836</v>
      </c>
      <c r="T94" s="622" t="s">
        <v>85</v>
      </c>
      <c r="V94" s="622">
        <v>7</v>
      </c>
      <c r="W94" s="625" t="s">
        <v>44</v>
      </c>
      <c r="AB94" s="626">
        <v>4.09</v>
      </c>
      <c r="AC94" s="626" t="s">
        <v>78</v>
      </c>
      <c r="AE94" s="1802">
        <v>32256</v>
      </c>
      <c r="AF94" s="622" t="s">
        <v>49</v>
      </c>
      <c r="AI94" s="1376"/>
      <c r="AJ94" s="622">
        <v>603.02</v>
      </c>
      <c r="AK94" s="622" t="s">
        <v>36</v>
      </c>
      <c r="AP94" s="1837"/>
      <c r="AQ94" s="1837"/>
      <c r="AS94" s="627" t="str">
        <f t="array" ref="AS94">IFERROR(IF($O$21="Metro",INDEX($AJ$23:$AJ$748,SMALL(IF((County=$AK$23:$AK$748),MATCH(ROW($AK$23:$AK$748),ROW($AK$23:$AK$748)),""),ROWS($A$23:$A94))),INDEX($AM$23:$AM$58,SMALL(IF((County=$AN$23:$AN$58),MATCH(ROW($AN$23:$AN$58),ROW($AN$23:$AN$58)),""),ROWS($A$23:$A94)))),"")</f>
        <v/>
      </c>
      <c r="AU94" s="627" t="str">
        <f t="array" ref="AU94">IFERROR(IF($Q$21="Yes",INDEX($AP$23:$AP$2323,SMALL(IF((County=$AQ$23:$AQ$2323),MATCH(ROW($AQ$23:$AQ$2323),ROW($AQ$23:$AQ$2323)),""),ROWS($A$23:$A94))),""),"")</f>
        <v/>
      </c>
      <c r="AW94" s="1802">
        <v>32831</v>
      </c>
      <c r="AX94" s="622" t="s">
        <v>85</v>
      </c>
      <c r="AZ94" s="622">
        <v>5.05</v>
      </c>
      <c r="BA94" s="625" t="s">
        <v>78</v>
      </c>
      <c r="BF94" s="1837"/>
      <c r="BG94" s="1837"/>
      <c r="BM94" s="1835" t="s">
        <v>1983</v>
      </c>
      <c r="BN94" s="1835" t="s">
        <v>1984</v>
      </c>
      <c r="BP94" s="1219" t="str">
        <f t="shared" si="9"/>
        <v>Goulds - Tier 2</v>
      </c>
    </row>
    <row r="95" spans="1:71" ht="14.5" customHeight="1">
      <c r="A95" s="1802">
        <v>33872</v>
      </c>
      <c r="B95" s="622" t="s">
        <v>62</v>
      </c>
      <c r="E95" s="1"/>
      <c r="F95" s="622">
        <v>1004</v>
      </c>
      <c r="G95" s="622" t="s">
        <v>36</v>
      </c>
      <c r="L95" s="626">
        <v>641.27</v>
      </c>
      <c r="M95" s="626" t="s">
        <v>35</v>
      </c>
      <c r="N95" s="203"/>
      <c r="O95" s="627" t="str">
        <f t="array" ref="O95">IFERROR(IF($O$21="Metro",INDEX($F$23:$F$748,SMALL(IF((County=$G$23:$G$748),MATCH(ROW($G$23:$G$748),ROW($G$23:$G$748)),""),ROWS($A$23:A95))),INDEX($I$23:$I$52,SMALL(IF((County=$J$23:$J$52),MATCH(ROW($J$23:$J$52),ROW($J$23:$J$52)),""),ROWS($A$23:A95)))),"")</f>
        <v/>
      </c>
      <c r="Q95" s="627" t="str">
        <f t="array" ref="Q95">IFERROR(IF($Q$21="Yes",INDEX($L$23:$L$2323,SMALL(IF((County=$M$23:$M$2323),MATCH(ROW($M$23:$M$2323),ROW($M$23:$M$2323)),""),ROWS($A$23:A95))),""),"")</f>
        <v/>
      </c>
      <c r="S95" s="623">
        <v>32837</v>
      </c>
      <c r="T95" s="622" t="s">
        <v>85</v>
      </c>
      <c r="V95" s="622">
        <v>7</v>
      </c>
      <c r="W95" s="625" t="s">
        <v>63</v>
      </c>
      <c r="AB95" s="626">
        <v>4.0999999999999996</v>
      </c>
      <c r="AC95" s="626" t="s">
        <v>78</v>
      </c>
      <c r="AE95" s="1802">
        <v>32258</v>
      </c>
      <c r="AF95" s="622" t="s">
        <v>49</v>
      </c>
      <c r="AI95" s="1376"/>
      <c r="AJ95" s="622">
        <v>603.03</v>
      </c>
      <c r="AK95" s="622" t="s">
        <v>36</v>
      </c>
      <c r="AP95" s="1837"/>
      <c r="AQ95" s="1837"/>
      <c r="AS95" s="627" t="str">
        <f t="array" ref="AS95">IFERROR(IF($O$21="Metro",INDEX($AJ$23:$AJ$748,SMALL(IF((County=$AK$23:$AK$748),MATCH(ROW($AK$23:$AK$748),ROW($AK$23:$AK$748)),""),ROWS($A$23:$A95))),INDEX($AM$23:$AM$58,SMALL(IF((County=$AN$23:$AN$58),MATCH(ROW($AN$23:$AN$58),ROW($AN$23:$AN$58)),""),ROWS($A$23:$A95)))),"")</f>
        <v/>
      </c>
      <c r="AU95" s="627" t="str">
        <f t="array" ref="AU95">IFERROR(IF($Q$21="Yes",INDEX($AP$23:$AP$2323,SMALL(IF((County=$AQ$23:$AQ$2323),MATCH(ROW($AQ$23:$AQ$2323),ROW($AQ$23:$AQ$2323)),""),ROWS($A$23:$A95))),""),"")</f>
        <v/>
      </c>
      <c r="AW95" s="1802">
        <v>32832</v>
      </c>
      <c r="AX95" s="622" t="s">
        <v>85</v>
      </c>
      <c r="AZ95" s="622">
        <v>5.0599999999999996</v>
      </c>
      <c r="BA95" s="625" t="s">
        <v>78</v>
      </c>
      <c r="BF95" s="1837"/>
      <c r="BG95" s="1837"/>
      <c r="BM95" s="1835" t="s">
        <v>1985</v>
      </c>
      <c r="BN95" s="1835" t="s">
        <v>1984</v>
      </c>
      <c r="BP95" s="1219" t="str">
        <f t="shared" si="9"/>
        <v>Leisure City - Tier 2</v>
      </c>
    </row>
    <row r="96" spans="1:71" ht="14.5" customHeight="1">
      <c r="A96" s="1802">
        <v>33875</v>
      </c>
      <c r="B96" s="622" t="s">
        <v>62</v>
      </c>
      <c r="E96" s="1"/>
      <c r="F96" s="622">
        <v>1005.02</v>
      </c>
      <c r="G96" s="622" t="s">
        <v>36</v>
      </c>
      <c r="L96" s="626">
        <v>641.28</v>
      </c>
      <c r="M96" s="626" t="s">
        <v>35</v>
      </c>
      <c r="N96" s="203"/>
      <c r="O96" s="627" t="str">
        <f t="array" ref="O96">IFERROR(IF($O$21="Metro",INDEX($F$23:$F$748,SMALL(IF((County=$G$23:$G$748),MATCH(ROW($G$23:$G$748),ROW($G$23:$G$748)),""),ROWS($A$23:A96))),INDEX($I$23:$I$52,SMALL(IF((County=$J$23:$J$52),MATCH(ROW($J$23:$J$52),ROW($J$23:$J$52)),""),ROWS($A$23:A96)))),"")</f>
        <v/>
      </c>
      <c r="Q96" s="627" t="str">
        <f t="array" ref="Q96">IFERROR(IF($Q$21="Yes",INDEX($L$23:$L$2323,SMALL(IF((County=$M$23:$M$2323),MATCH(ROW($M$23:$M$2323),ROW($M$23:$M$2323)),""),ROWS($A$23:A96))),""),"")</f>
        <v/>
      </c>
      <c r="S96" s="623">
        <v>32903</v>
      </c>
      <c r="T96" s="622" t="s">
        <v>35</v>
      </c>
      <c r="V96" s="622">
        <v>7</v>
      </c>
      <c r="W96" s="625" t="s">
        <v>70</v>
      </c>
      <c r="AB96" s="626">
        <v>4.0999999999999996</v>
      </c>
      <c r="AC96" s="626" t="s">
        <v>87</v>
      </c>
      <c r="AE96" s="1802">
        <v>32266</v>
      </c>
      <c r="AF96" s="622" t="s">
        <v>49</v>
      </c>
      <c r="AI96" s="1376"/>
      <c r="AJ96" s="622">
        <v>603.04</v>
      </c>
      <c r="AK96" s="622" t="s">
        <v>36</v>
      </c>
      <c r="AP96" s="1837"/>
      <c r="AQ96" s="1837"/>
      <c r="AS96" s="627" t="str">
        <f t="array" ref="AS96">IFERROR(IF($O$21="Metro",INDEX($AJ$23:$AJ$748,SMALL(IF((County=$AK$23:$AK$748),MATCH(ROW($AK$23:$AK$748),ROW($AK$23:$AK$748)),""),ROWS($A$23:$A96))),INDEX($AM$23:$AM$58,SMALL(IF((County=$AN$23:$AN$58),MATCH(ROW($AN$23:$AN$58),ROW($AN$23:$AN$58)),""),ROWS($A$23:$A96)))),"")</f>
        <v/>
      </c>
      <c r="AU96" s="627" t="str">
        <f t="array" ref="AU96">IFERROR(IF($Q$21="Yes",INDEX($AP$23:$AP$2323,SMALL(IF((County=$AQ$23:$AQ$2323),MATCH(ROW($AQ$23:$AQ$2323),ROW($AQ$23:$AQ$2323)),""),ROWS($A$23:$A96))),""),"")</f>
        <v/>
      </c>
      <c r="AW96" s="1802">
        <v>32833</v>
      </c>
      <c r="AX96" s="622" t="s">
        <v>85</v>
      </c>
      <c r="AZ96" s="622">
        <v>5.07</v>
      </c>
      <c r="BA96" s="625" t="s">
        <v>78</v>
      </c>
      <c r="BF96" s="1837"/>
      <c r="BG96" s="1837"/>
      <c r="BM96" s="1835" t="s">
        <v>1986</v>
      </c>
      <c r="BN96" s="1835" t="s">
        <v>1984</v>
      </c>
      <c r="BP96" s="1219" t="str">
        <f t="shared" si="9"/>
        <v>Model City - Tier 2</v>
      </c>
    </row>
    <row r="97" spans="1:71" ht="14.5" customHeight="1">
      <c r="A97" s="1802">
        <v>33876</v>
      </c>
      <c r="B97" s="622" t="s">
        <v>62</v>
      </c>
      <c r="E97" s="1"/>
      <c r="F97" s="622">
        <v>1007</v>
      </c>
      <c r="G97" s="622" t="s">
        <v>36</v>
      </c>
      <c r="L97" s="626">
        <v>644</v>
      </c>
      <c r="M97" s="626" t="s">
        <v>35</v>
      </c>
      <c r="N97" s="203"/>
      <c r="O97" s="627" t="str">
        <f t="array" ref="O97">IFERROR(IF($O$21="Metro",INDEX($F$23:$F$748,SMALL(IF((County=$G$23:$G$748),MATCH(ROW($G$23:$G$748),ROW($G$23:$G$748)),""),ROWS($A$23:A97))),INDEX($I$23:$I$52,SMALL(IF((County=$J$23:$J$52),MATCH(ROW($J$23:$J$52),ROW($J$23:$J$52)),""),ROWS($A$23:A97)))),"")</f>
        <v/>
      </c>
      <c r="Q97" s="627" t="str">
        <f t="array" ref="Q97">IFERROR(IF($Q$21="Yes",INDEX($L$23:$L$2323,SMALL(IF((County=$M$23:$M$2323),MATCH(ROW($M$23:$M$2323),ROW($M$23:$M$2323)),""),ROWS($A$23:A97))),""),"")</f>
        <v/>
      </c>
      <c r="S97" s="623">
        <v>32904</v>
      </c>
      <c r="T97" s="622" t="s">
        <v>35</v>
      </c>
      <c r="V97" s="622">
        <v>7.04</v>
      </c>
      <c r="W97" s="625" t="s">
        <v>75</v>
      </c>
      <c r="AB97" s="626">
        <v>5</v>
      </c>
      <c r="AC97" s="626" t="s">
        <v>26</v>
      </c>
      <c r="AE97" s="1802">
        <v>32456</v>
      </c>
      <c r="AF97" s="622" t="s">
        <v>57</v>
      </c>
      <c r="AI97" s="1376"/>
      <c r="AJ97" s="622">
        <v>604.01</v>
      </c>
      <c r="AK97" s="622" t="s">
        <v>36</v>
      </c>
      <c r="AP97" s="1837"/>
      <c r="AQ97" s="1837"/>
      <c r="AS97" s="627" t="str">
        <f t="array" ref="AS97">IFERROR(IF($O$21="Metro",INDEX($AJ$23:$AJ$748,SMALL(IF((County=$AK$23:$AK$748),MATCH(ROW($AK$23:$AK$748),ROW($AK$23:$AK$748)),""),ROWS($A$23:$A97))),INDEX($AM$23:$AM$58,SMALL(IF((County=$AN$23:$AN$58),MATCH(ROW($AN$23:$AN$58),ROW($AN$23:$AN$58)),""),ROWS($A$23:$A97)))),"")</f>
        <v/>
      </c>
      <c r="AU97" s="627" t="str">
        <f t="array" ref="AU97">IFERROR(IF($Q$21="Yes",INDEX($AP$23:$AP$2323,SMALL(IF((County=$AQ$23:$AQ$2323),MATCH(ROW($AQ$23:$AQ$2323),ROW($AQ$23:$AQ$2323)),""),ROWS($A$23:$A97))),""),"")</f>
        <v/>
      </c>
      <c r="AW97" s="1802">
        <v>32835</v>
      </c>
      <c r="AX97" s="622" t="s">
        <v>85</v>
      </c>
      <c r="AZ97" s="622">
        <v>5.08</v>
      </c>
      <c r="BA97" s="625" t="s">
        <v>78</v>
      </c>
      <c r="BF97" s="1837"/>
      <c r="BG97" s="1837"/>
      <c r="BM97" s="1835" t="s">
        <v>1987</v>
      </c>
      <c r="BN97" s="1835" t="str">
        <f>"Tier "&amp;IF(OR(Demographic="Elderly Non-ALF",Demographic="Elderly ALF"),1,2)</f>
        <v>Tier 2</v>
      </c>
      <c r="BP97" s="1219" t="str">
        <f t="shared" si="9"/>
        <v>Naranja - Tier 2</v>
      </c>
    </row>
    <row r="98" spans="1:71" ht="14.5" customHeight="1">
      <c r="A98" s="1802">
        <v>33503</v>
      </c>
      <c r="B98" s="622" t="s">
        <v>63</v>
      </c>
      <c r="E98" s="1"/>
      <c r="F98" s="622">
        <v>1008.01</v>
      </c>
      <c r="G98" s="622" t="s">
        <v>36</v>
      </c>
      <c r="L98" s="626">
        <v>646.01</v>
      </c>
      <c r="M98" s="626" t="s">
        <v>35</v>
      </c>
      <c r="N98" s="203"/>
      <c r="O98" s="627" t="str">
        <f t="array" ref="O98">IFERROR(IF($O$21="Metro",INDEX($F$23:$F$748,SMALL(IF((County=$G$23:$G$748),MATCH(ROW($G$23:$G$748),ROW($G$23:$G$748)),""),ROWS($A$23:A98))),INDEX($I$23:$I$52,SMALL(IF((County=$J$23:$J$52),MATCH(ROW($J$23:$J$52),ROW($J$23:$J$52)),""),ROWS($A$23:A98)))),"")</f>
        <v/>
      </c>
      <c r="Q98" s="627" t="str">
        <f t="array" ref="Q98">IFERROR(IF($Q$21="Yes",INDEX($L$23:$L$2323,SMALL(IF((County=$M$23:$M$2323),MATCH(ROW($M$23:$M$2323),ROW($M$23:$M$2323)),""),ROWS($A$23:A98))),""),"")</f>
        <v/>
      </c>
      <c r="S98" s="623">
        <v>32908</v>
      </c>
      <c r="T98" s="622" t="s">
        <v>35</v>
      </c>
      <c r="V98" s="622">
        <v>7.05</v>
      </c>
      <c r="W98" s="625" t="s">
        <v>75</v>
      </c>
      <c r="AB98" s="626">
        <v>5</v>
      </c>
      <c r="AC98" s="626" t="s">
        <v>32</v>
      </c>
      <c r="AE98" s="1802">
        <v>33875</v>
      </c>
      <c r="AF98" s="622" t="s">
        <v>62</v>
      </c>
      <c r="AI98" s="1376"/>
      <c r="AJ98" s="622">
        <v>611</v>
      </c>
      <c r="AK98" s="622" t="s">
        <v>36</v>
      </c>
      <c r="AP98" s="1837"/>
      <c r="AQ98" s="1837"/>
      <c r="AS98" s="627" t="str">
        <f t="array" ref="AS98">IFERROR(IF($O$21="Metro",INDEX($AJ$23:$AJ$748,SMALL(IF((County=$AK$23:$AK$748),MATCH(ROW($AK$23:$AK$748),ROW($AK$23:$AK$748)),""),ROWS($A$23:$A98))),INDEX($AM$23:$AM$58,SMALL(IF((County=$AN$23:$AN$58),MATCH(ROW($AN$23:$AN$58),ROW($AN$23:$AN$58)),""),ROWS($A$23:$A98)))),"")</f>
        <v/>
      </c>
      <c r="AU98" s="627" t="str">
        <f t="array" ref="AU98">IFERROR(IF($Q$21="Yes",INDEX($AP$23:$AP$2323,SMALL(IF((County=$AQ$23:$AQ$2323),MATCH(ROW($AQ$23:$AQ$2323),ROW($AQ$23:$AQ$2323)),""),ROWS($A$23:$A98))),""),"")</f>
        <v/>
      </c>
      <c r="AW98" s="1802">
        <v>32836</v>
      </c>
      <c r="AX98" s="622" t="s">
        <v>85</v>
      </c>
      <c r="AZ98" s="622">
        <v>5.09</v>
      </c>
      <c r="BA98" s="625" t="s">
        <v>78</v>
      </c>
      <c r="BF98" s="1837"/>
      <c r="BG98" s="1837"/>
      <c r="BM98" s="1835" t="s">
        <v>1988</v>
      </c>
      <c r="BN98" s="1835" t="s">
        <v>1984</v>
      </c>
      <c r="BP98" s="1219" t="str">
        <f t="shared" si="9"/>
        <v>North Central - Tier 2</v>
      </c>
    </row>
    <row r="99" spans="1:71" ht="14.5" customHeight="1">
      <c r="A99" s="1802">
        <v>33510</v>
      </c>
      <c r="B99" s="622" t="s">
        <v>63</v>
      </c>
      <c r="E99" s="1"/>
      <c r="F99" s="622">
        <v>1103.3399999999999</v>
      </c>
      <c r="G99" s="622" t="s">
        <v>36</v>
      </c>
      <c r="L99" s="626">
        <v>648</v>
      </c>
      <c r="M99" s="626" t="s">
        <v>35</v>
      </c>
      <c r="N99" s="203"/>
      <c r="O99" s="627" t="str">
        <f t="array" ref="O99">IFERROR(IF($O$21="Metro",INDEX($F$23:$F$748,SMALL(IF((County=$G$23:$G$748),MATCH(ROW($G$23:$G$748),ROW($G$23:$G$748)),""),ROWS($A$23:A99))),INDEX($I$23:$I$52,SMALL(IF((County=$J$23:$J$52),MATCH(ROW($J$23:$J$52),ROW($J$23:$J$52)),""),ROWS($A$23:A99)))),"")</f>
        <v/>
      </c>
      <c r="Q99" s="627" t="str">
        <f t="array" ref="Q99">IFERROR(IF($Q$21="Yes",INDEX($L$23:$L$2323,SMALL(IF((County=$M$23:$M$2323),MATCH(ROW($M$23:$M$2323),ROW($M$23:$M$2323)),""),ROWS($A$23:A99))),""),"")</f>
        <v/>
      </c>
      <c r="S99" s="623">
        <v>32925</v>
      </c>
      <c r="T99" s="622" t="s">
        <v>35</v>
      </c>
      <c r="V99" s="622">
        <v>7.05</v>
      </c>
      <c r="W99" s="625" t="s">
        <v>78</v>
      </c>
      <c r="AB99" s="626">
        <v>5</v>
      </c>
      <c r="AC99" s="626" t="s">
        <v>44</v>
      </c>
      <c r="AE99" s="1802">
        <v>33876</v>
      </c>
      <c r="AF99" s="622" t="s">
        <v>62</v>
      </c>
      <c r="AI99" s="1376"/>
      <c r="AJ99" s="622">
        <v>805</v>
      </c>
      <c r="AK99" s="622" t="s">
        <v>36</v>
      </c>
      <c r="AP99" s="1837"/>
      <c r="AQ99" s="1837"/>
      <c r="AS99" s="627" t="str">
        <f t="array" ref="AS99">IFERROR(IF($O$21="Metro",INDEX($AJ$23:$AJ$748,SMALL(IF((County=$AK$23:$AK$748),MATCH(ROW($AK$23:$AK$748),ROW($AK$23:$AK$748)),""),ROWS($A$23:$A99))),INDEX($AM$23:$AM$58,SMALL(IF((County=$AN$23:$AN$58),MATCH(ROW($AN$23:$AN$58),ROW($AN$23:$AN$58)),""),ROWS($A$23:$A99)))),"")</f>
        <v/>
      </c>
      <c r="AU99" s="627" t="str">
        <f t="array" ref="AU99">IFERROR(IF($Q$21="Yes",INDEX($AP$23:$AP$2323,SMALL(IF((County=$AQ$23:$AQ$2323),MATCH(ROW($AQ$23:$AQ$2323),ROW($AQ$23:$AQ$2323)),""),ROWS($A$23:$A99))),""),"")</f>
        <v/>
      </c>
      <c r="AW99" s="1802">
        <v>32837</v>
      </c>
      <c r="AX99" s="622" t="s">
        <v>85</v>
      </c>
      <c r="AZ99" s="622">
        <v>6</v>
      </c>
      <c r="BA99" s="625" t="s">
        <v>26</v>
      </c>
      <c r="BF99" s="1837"/>
      <c r="BG99" s="1837"/>
      <c r="BM99" s="1835" t="s">
        <v>1989</v>
      </c>
      <c r="BN99" s="1835" t="s">
        <v>1984</v>
      </c>
      <c r="BP99" s="1219" t="str">
        <f t="shared" si="9"/>
        <v>Ojus - Tier 2</v>
      </c>
    </row>
    <row r="100" spans="1:71" ht="14.5" customHeight="1">
      <c r="A100" s="1802">
        <v>33511</v>
      </c>
      <c r="B100" s="622" t="s">
        <v>63</v>
      </c>
      <c r="E100" s="1"/>
      <c r="F100" s="622">
        <v>1103.3499999999999</v>
      </c>
      <c r="G100" s="622" t="s">
        <v>36</v>
      </c>
      <c r="L100" s="626">
        <v>649.01</v>
      </c>
      <c r="M100" s="626" t="s">
        <v>35</v>
      </c>
      <c r="N100" s="203"/>
      <c r="O100" s="627" t="str">
        <f t="array" ref="O100">IFERROR(IF($O$21="Metro",INDEX($F$23:$F$748,SMALL(IF((County=$G$23:$G$748),MATCH(ROW($G$23:$G$748),ROW($G$23:$G$748)),""),ROWS($A$23:A100))),INDEX($I$23:$I$52,SMALL(IF((County=$J$23:$J$52),MATCH(ROW($J$23:$J$52),ROW($J$23:$J$52)),""),ROWS($A$23:A100)))),"")</f>
        <v/>
      </c>
      <c r="Q100" s="627" t="str">
        <f t="array" ref="Q100">IFERROR(IF($Q$21="Yes",INDEX($L$23:$L$2323,SMALL(IF((County=$M$23:$M$2323),MATCH(ROW($M$23:$M$2323),ROW($M$23:$M$2323)),""),ROWS($A$23:A100))),""),"")</f>
        <v/>
      </c>
      <c r="S100" s="623">
        <v>32934</v>
      </c>
      <c r="T100" s="622" t="s">
        <v>35</v>
      </c>
      <c r="V100" s="622">
        <v>7.06</v>
      </c>
      <c r="W100" s="625" t="s">
        <v>78</v>
      </c>
      <c r="AB100" s="626">
        <v>5</v>
      </c>
      <c r="AC100" s="626" t="s">
        <v>51</v>
      </c>
      <c r="AE100" s="1802">
        <v>33503</v>
      </c>
      <c r="AF100" s="622" t="s">
        <v>63</v>
      </c>
      <c r="AI100" s="1376"/>
      <c r="AJ100" s="622">
        <v>903.01</v>
      </c>
      <c r="AK100" s="622" t="s">
        <v>36</v>
      </c>
      <c r="AP100" s="1837"/>
      <c r="AQ100" s="1837"/>
      <c r="AS100" s="627" t="str">
        <f t="array" ref="AS100">IFERROR(IF($O$21="Metro",INDEX($AJ$23:$AJ$748,SMALL(IF((County=$AK$23:$AK$748),MATCH(ROW($AK$23:$AK$748),ROW($AK$23:$AK$748)),""),ROWS($A$23:$A100))),INDEX($AM$23:$AM$58,SMALL(IF((County=$AN$23:$AN$58),MATCH(ROW($AN$23:$AN$58),ROW($AN$23:$AN$58)),""),ROWS($A$23:$A100)))),"")</f>
        <v/>
      </c>
      <c r="AU100" s="627" t="str">
        <f t="array" ref="AU100">IFERROR(IF($Q$21="Yes",INDEX($AP$23:$AP$2323,SMALL(IF((County=$AQ$23:$AQ$2323),MATCH(ROW($AQ$23:$AQ$2323),ROW($AQ$23:$AQ$2323)),""),ROWS($A$23:$A100))),""),"")</f>
        <v/>
      </c>
      <c r="AW100" s="1802">
        <v>32903</v>
      </c>
      <c r="AX100" s="622" t="s">
        <v>35</v>
      </c>
      <c r="AZ100" s="622">
        <v>6</v>
      </c>
      <c r="BA100" s="625" t="s">
        <v>49</v>
      </c>
      <c r="BF100" s="1837"/>
      <c r="BG100" s="1837"/>
      <c r="BM100" s="1835" t="s">
        <v>1990</v>
      </c>
      <c r="BN100" s="1835" t="s">
        <v>1984</v>
      </c>
      <c r="BP100" s="1219" t="str">
        <f t="shared" si="9"/>
        <v>Perrine - Tier 2</v>
      </c>
    </row>
    <row r="101" spans="1:71" ht="14.5" customHeight="1">
      <c r="A101" s="1802">
        <v>33547</v>
      </c>
      <c r="B101" s="622" t="s">
        <v>63</v>
      </c>
      <c r="E101" s="1"/>
      <c r="F101" s="622">
        <v>103.02</v>
      </c>
      <c r="G101" s="625" t="s">
        <v>41</v>
      </c>
      <c r="L101" s="626">
        <v>650.01</v>
      </c>
      <c r="M101" s="626" t="s">
        <v>35</v>
      </c>
      <c r="N101" s="203"/>
      <c r="O101" s="627" t="str">
        <f t="array" ref="O101">IFERROR(IF($O$21="Metro",INDEX($F$23:$F$748,SMALL(IF((County=$G$23:$G$748),MATCH(ROW($G$23:$G$748),ROW($G$23:$G$748)),""),ROWS($A$23:A101))),INDEX($I$23:$I$52,SMALL(IF((County=$J$23:$J$52),MATCH(ROW($J$23:$J$52),ROW($J$23:$J$52)),""),ROWS($A$23:A101)))),"")</f>
        <v/>
      </c>
      <c r="Q101" s="627" t="str">
        <f t="array" ref="Q101">IFERROR(IF($Q$21="Yes",INDEX($L$23:$L$2323,SMALL(IF((County=$M$23:$M$2323),MATCH(ROW($M$23:$M$2323),ROW($M$23:$M$2323)),""),ROWS($A$23:A101))),""),"")</f>
        <v/>
      </c>
      <c r="S101" s="623">
        <v>32937</v>
      </c>
      <c r="T101" s="622" t="s">
        <v>35</v>
      </c>
      <c r="V101" s="622">
        <v>7.08</v>
      </c>
      <c r="W101" s="625" t="s">
        <v>78</v>
      </c>
      <c r="AB101" s="626">
        <v>5</v>
      </c>
      <c r="AC101" s="626" t="s">
        <v>63</v>
      </c>
      <c r="AE101" s="1802">
        <v>33511</v>
      </c>
      <c r="AF101" s="622" t="s">
        <v>63</v>
      </c>
      <c r="AI101" s="1376"/>
      <c r="AJ101" s="622">
        <v>904.03</v>
      </c>
      <c r="AK101" s="625" t="s">
        <v>36</v>
      </c>
      <c r="AP101" s="1837"/>
      <c r="AQ101" s="1837"/>
      <c r="AS101" s="627" t="str">
        <f t="array" ref="AS101">IFERROR(IF($O$21="Metro",INDEX($AJ$23:$AJ$748,SMALL(IF((County=$AK$23:$AK$748),MATCH(ROW($AK$23:$AK$748),ROW($AK$23:$AK$748)),""),ROWS($A$23:$A101))),INDEX($AM$23:$AM$58,SMALL(IF((County=$AN$23:$AN$58),MATCH(ROW($AN$23:$AN$58),ROW($AN$23:$AN$58)),""),ROWS($A$23:$A101)))),"")</f>
        <v/>
      </c>
      <c r="AU101" s="627" t="str">
        <f t="array" ref="AU101">IFERROR(IF($Q$21="Yes",INDEX($AP$23:$AP$2323,SMALL(IF((County=$AQ$23:$AQ$2323),MATCH(ROW($AQ$23:$AQ$2323),ROW($AQ$23:$AQ$2323)),""),ROWS($A$23:$A101))),""),"")</f>
        <v/>
      </c>
      <c r="AW101" s="1802">
        <v>32904</v>
      </c>
      <c r="AX101" s="622" t="s">
        <v>35</v>
      </c>
      <c r="AZ101" s="622">
        <v>6</v>
      </c>
      <c r="BA101" s="625" t="s">
        <v>70</v>
      </c>
      <c r="BF101" s="1837"/>
      <c r="BG101" s="1837"/>
      <c r="BM101" s="1835" t="s">
        <v>1991</v>
      </c>
      <c r="BN101" s="1835" t="s">
        <v>1981</v>
      </c>
      <c r="BP101" s="1219" t="str">
        <f t="shared" si="9"/>
        <v>Princeton - Tier 1</v>
      </c>
    </row>
    <row r="102" spans="1:71" ht="14.5" customHeight="1">
      <c r="A102" s="1802">
        <v>33548</v>
      </c>
      <c r="B102" s="622" t="s">
        <v>63</v>
      </c>
      <c r="E102" s="1"/>
      <c r="F102" s="622">
        <v>207</v>
      </c>
      <c r="G102" s="625" t="s">
        <v>41</v>
      </c>
      <c r="L102" s="626">
        <v>650.21</v>
      </c>
      <c r="M102" s="626" t="s">
        <v>35</v>
      </c>
      <c r="N102" s="203"/>
      <c r="O102" s="627" t="str">
        <f t="array" ref="O102">IFERROR(IF($O$21="Metro",INDEX($F$23:$F$748,SMALL(IF((County=$G$23:$G$748),MATCH(ROW($G$23:$G$748),ROW($G$23:$G$748)),""),ROWS($A$23:A102))),INDEX($I$23:$I$52,SMALL(IF((County=$J$23:$J$52),MATCH(ROW($J$23:$J$52),ROW($J$23:$J$52)),""),ROWS($A$23:A102)))),"")</f>
        <v/>
      </c>
      <c r="Q102" s="627" t="str">
        <f t="array" ref="Q102">IFERROR(IF($Q$21="Yes",INDEX($L$23:$L$2323,SMALL(IF((County=$M$23:$M$2323),MATCH(ROW($M$23:$M$2323),ROW($M$23:$M$2323)),""),ROWS($A$23:A102))),""),"")</f>
        <v/>
      </c>
      <c r="S102" s="623">
        <v>32940</v>
      </c>
      <c r="T102" s="622" t="s">
        <v>35</v>
      </c>
      <c r="V102" s="622">
        <v>7.09</v>
      </c>
      <c r="W102" s="625" t="s">
        <v>78</v>
      </c>
      <c r="AB102" s="626">
        <v>5.01</v>
      </c>
      <c r="AC102" s="626" t="s">
        <v>75</v>
      </c>
      <c r="AE102" s="1802">
        <v>33547</v>
      </c>
      <c r="AF102" s="622" t="s">
        <v>63</v>
      </c>
      <c r="AI102" s="1376"/>
      <c r="AJ102" s="622">
        <v>1003.02</v>
      </c>
      <c r="AK102" s="625" t="s">
        <v>36</v>
      </c>
      <c r="AP102" s="1837"/>
      <c r="AQ102" s="1837"/>
      <c r="AS102" s="627" t="str">
        <f t="array" ref="AS102">IFERROR(IF($O$21="Metro",INDEX($AJ$23:$AJ$748,SMALL(IF((County=$AK$23:$AK$748),MATCH(ROW($AK$23:$AK$748),ROW($AK$23:$AK$748)),""),ROWS($A$23:$A102))),INDEX($AM$23:$AM$58,SMALL(IF((County=$AN$23:$AN$58),MATCH(ROW($AN$23:$AN$58),ROW($AN$23:$AN$58)),""),ROWS($A$23:$A102)))),"")</f>
        <v/>
      </c>
      <c r="AU102" s="627" t="str">
        <f t="array" ref="AU102">IFERROR(IF($Q$21="Yes",INDEX($AP$23:$AP$2323,SMALL(IF((County=$AQ$23:$AQ$2323),MATCH(ROW($AQ$23:$AQ$2323),ROW($AQ$23:$AQ$2323)),""),ROWS($A$23:$A102))),""),"")</f>
        <v/>
      </c>
      <c r="AW102" s="1802">
        <v>32908</v>
      </c>
      <c r="AX102" s="622" t="s">
        <v>35</v>
      </c>
      <c r="AZ102" s="622">
        <v>6</v>
      </c>
      <c r="BA102" s="625" t="s">
        <v>71</v>
      </c>
      <c r="BF102" s="1837"/>
      <c r="BG102" s="1837"/>
    </row>
    <row r="103" spans="1:71" ht="14.5" customHeight="1">
      <c r="A103" s="1802">
        <v>33549</v>
      </c>
      <c r="B103" s="622" t="s">
        <v>63</v>
      </c>
      <c r="E103" s="1"/>
      <c r="F103" s="622">
        <v>4502.0200000000004</v>
      </c>
      <c r="G103" s="622" t="s">
        <v>42</v>
      </c>
      <c r="L103" s="626">
        <v>652.30999999999995</v>
      </c>
      <c r="M103" s="626" t="s">
        <v>35</v>
      </c>
      <c r="N103" s="203"/>
      <c r="O103" s="627" t="str">
        <f t="array" ref="O103">IFERROR(IF($O$21="Metro",INDEX($F$23:$F$748,SMALL(IF((County=$G$23:$G$748),MATCH(ROW($G$23:$G$748),ROW($G$23:$G$748)),""),ROWS($A$23:A103))),INDEX($I$23:$I$52,SMALL(IF((County=$J$23:$J$52),MATCH(ROW($J$23:$J$52),ROW($J$23:$J$52)),""),ROWS($A$23:A103)))),"")</f>
        <v/>
      </c>
      <c r="Q103" s="627" t="str">
        <f t="array" ref="Q103">IFERROR(IF($Q$21="Yes",INDEX($L$23:$L$2323,SMALL(IF((County=$M$23:$M$2323),MATCH(ROW($M$23:$M$2323),ROW($M$23:$M$2323)),""),ROWS($A$23:A103))),""),"")</f>
        <v/>
      </c>
      <c r="S103" s="623">
        <v>32951</v>
      </c>
      <c r="T103" s="622" t="s">
        <v>35</v>
      </c>
      <c r="V103" s="622">
        <v>7.1</v>
      </c>
      <c r="W103" s="625" t="s">
        <v>78</v>
      </c>
      <c r="AB103" s="626">
        <v>5.01</v>
      </c>
      <c r="AC103" s="626" t="s">
        <v>96</v>
      </c>
      <c r="AE103" s="1802">
        <v>33548</v>
      </c>
      <c r="AF103" s="622" t="s">
        <v>63</v>
      </c>
      <c r="AI103" s="1376"/>
      <c r="AJ103" s="622">
        <v>1004</v>
      </c>
      <c r="AK103" s="622" t="s">
        <v>36</v>
      </c>
      <c r="AP103" s="1837"/>
      <c r="AQ103" s="1837"/>
      <c r="AS103" s="627" t="str">
        <f t="array" ref="AS103">IFERROR(IF($O$21="Metro",INDEX($AJ$23:$AJ$748,SMALL(IF((County=$AK$23:$AK$748),MATCH(ROW($AK$23:$AK$748),ROW($AK$23:$AK$748)),""),ROWS($A$23:$A103))),INDEX($AM$23:$AM$58,SMALL(IF((County=$AN$23:$AN$58),MATCH(ROW($AN$23:$AN$58),ROW($AN$23:$AN$58)),""),ROWS($A$23:$A103)))),"")</f>
        <v/>
      </c>
      <c r="AU103" s="627" t="str">
        <f t="array" ref="AU103">IFERROR(IF($Q$21="Yes",INDEX($AP$23:$AP$2323,SMALL(IF((County=$AQ$23:$AQ$2323),MATCH(ROW($AQ$23:$AQ$2323),ROW($AQ$23:$AQ$2323)),""),ROWS($A$23:$A103))),""),"")</f>
        <v/>
      </c>
      <c r="AW103" s="1802">
        <v>32925</v>
      </c>
      <c r="AX103" s="622" t="s">
        <v>35</v>
      </c>
      <c r="AZ103" s="622">
        <v>6.01</v>
      </c>
      <c r="BA103" s="625" t="s">
        <v>78</v>
      </c>
      <c r="BF103" s="1837"/>
      <c r="BG103" s="1837"/>
    </row>
    <row r="104" spans="1:71" ht="14.5" customHeight="1">
      <c r="A104" s="1802">
        <v>33556</v>
      </c>
      <c r="B104" s="622" t="s">
        <v>63</v>
      </c>
      <c r="E104" s="1"/>
      <c r="F104" s="622">
        <v>4503.03</v>
      </c>
      <c r="G104" s="622" t="s">
        <v>42</v>
      </c>
      <c r="L104" s="626">
        <v>661.01</v>
      </c>
      <c r="M104" s="626" t="s">
        <v>35</v>
      </c>
      <c r="N104" s="203"/>
      <c r="O104" s="627" t="str">
        <f t="array" ref="O104">IFERROR(IF($O$21="Metro",INDEX($F$23:$F$748,SMALL(IF((County=$G$23:$G$748),MATCH(ROW($G$23:$G$748),ROW($G$23:$G$748)),""),ROWS($A$23:A104))),INDEX($I$23:$I$52,SMALL(IF((County=$J$23:$J$52),MATCH(ROW($J$23:$J$52),ROW($J$23:$J$52)),""),ROWS($A$23:A104)))),"")</f>
        <v/>
      </c>
      <c r="Q104" s="627" t="str">
        <f t="array" ref="Q104">IFERROR(IF($Q$21="Yes",INDEX($L$23:$L$2323,SMALL(IF((County=$M$23:$M$2323),MATCH(ROW($M$23:$M$2323),ROW($M$23:$M$2323)),""),ROWS($A$23:A104))),""),"")</f>
        <v/>
      </c>
      <c r="S104" s="623">
        <v>32955</v>
      </c>
      <c r="T104" s="622" t="s">
        <v>35</v>
      </c>
      <c r="V104" s="622">
        <v>7.11</v>
      </c>
      <c r="W104" s="625" t="s">
        <v>78</v>
      </c>
      <c r="AB104" s="626">
        <v>5.0199999999999996</v>
      </c>
      <c r="AC104" s="626" t="s">
        <v>77</v>
      </c>
      <c r="AE104" s="1802">
        <v>33556</v>
      </c>
      <c r="AF104" s="622" t="s">
        <v>63</v>
      </c>
      <c r="AI104" s="1376"/>
      <c r="AJ104" s="622">
        <v>1005.01</v>
      </c>
      <c r="AK104" s="622" t="s">
        <v>36</v>
      </c>
      <c r="AP104" s="1837"/>
      <c r="AQ104" s="1837"/>
      <c r="AS104" s="627" t="str">
        <f t="array" ref="AS104">IFERROR(IF($O$21="Metro",INDEX($AJ$23:$AJ$748,SMALL(IF((County=$AK$23:$AK$748),MATCH(ROW($AK$23:$AK$748),ROW($AK$23:$AK$748)),""),ROWS($A$23:$A104))),INDEX($AM$23:$AM$58,SMALL(IF((County=$AN$23:$AN$58),MATCH(ROW($AN$23:$AN$58),ROW($AN$23:$AN$58)),""),ROWS($A$23:$A104)))),"")</f>
        <v/>
      </c>
      <c r="AU104" s="627" t="str">
        <f t="array" ref="AU104">IFERROR(IF($Q$21="Yes",INDEX($AP$23:$AP$2323,SMALL(IF((County=$AQ$23:$AQ$2323),MATCH(ROW($AQ$23:$AQ$2323),ROW($AQ$23:$AQ$2323)),""),ROWS($A$23:$A104))),""),"")</f>
        <v/>
      </c>
      <c r="AW104" s="1802">
        <v>32934</v>
      </c>
      <c r="AX104" s="622" t="s">
        <v>35</v>
      </c>
      <c r="AZ104" s="622">
        <v>6.02</v>
      </c>
      <c r="BA104" s="625" t="s">
        <v>63</v>
      </c>
      <c r="BF104" s="1837"/>
      <c r="BG104" s="1837"/>
    </row>
    <row r="105" spans="1:71" ht="14.5" customHeight="1">
      <c r="A105" s="1802">
        <v>33559</v>
      </c>
      <c r="B105" s="622" t="s">
        <v>63</v>
      </c>
      <c r="E105" s="1"/>
      <c r="F105" s="622">
        <v>4508</v>
      </c>
      <c r="G105" s="622" t="s">
        <v>42</v>
      </c>
      <c r="L105" s="626">
        <v>661.03</v>
      </c>
      <c r="M105" s="626" t="s">
        <v>35</v>
      </c>
      <c r="N105" s="203"/>
      <c r="O105" s="627" t="str">
        <f t="array" ref="O105">IFERROR(IF($O$21="Metro",INDEX($F$23:$F$748,SMALL(IF((County=$G$23:$G$748),MATCH(ROW($G$23:$G$748),ROW($G$23:$G$748)),""),ROWS($A$23:A105))),INDEX($I$23:$I$52,SMALL(IF((County=$J$23:$J$52),MATCH(ROW($J$23:$J$52),ROW($J$23:$J$52)),""),ROWS($A$23:A105)))),"")</f>
        <v/>
      </c>
      <c r="Q105" s="627" t="str">
        <f t="array" ref="Q105">IFERROR(IF($Q$21="Yes",INDEX($L$23:$L$2323,SMALL(IF((County=$M$23:$M$2323),MATCH(ROW($M$23:$M$2323),ROW($M$23:$M$2323)),""),ROWS($A$23:A105))),""),"")</f>
        <v/>
      </c>
      <c r="S105" s="623">
        <v>32963</v>
      </c>
      <c r="T105" s="622" t="s">
        <v>65</v>
      </c>
      <c r="V105" s="622">
        <v>7.12</v>
      </c>
      <c r="W105" s="625" t="s">
        <v>78</v>
      </c>
      <c r="AB105" s="626">
        <v>5.0199999999999996</v>
      </c>
      <c r="AC105" s="626" t="s">
        <v>96</v>
      </c>
      <c r="AE105" s="1802">
        <v>33559</v>
      </c>
      <c r="AF105" s="622" t="s">
        <v>63</v>
      </c>
      <c r="AI105" s="1376"/>
      <c r="AJ105" s="622">
        <v>1005.02</v>
      </c>
      <c r="AK105" s="622" t="s">
        <v>36</v>
      </c>
      <c r="AP105" s="1837"/>
      <c r="AQ105" s="1837"/>
      <c r="AS105" s="627" t="str">
        <f t="array" ref="AS105">IFERROR(IF($O$21="Metro",INDEX($AJ$23:$AJ$748,SMALL(IF((County=$AK$23:$AK$748),MATCH(ROW($AK$23:$AK$748),ROW($AK$23:$AK$748)),""),ROWS($A$23:$A105))),INDEX($AM$23:$AM$58,SMALL(IF((County=$AN$23:$AN$58),MATCH(ROW($AN$23:$AN$58),ROW($AN$23:$AN$58)),""),ROWS($A$23:$A105)))),"")</f>
        <v/>
      </c>
      <c r="AU105" s="627" t="str">
        <f t="array" ref="AU105">IFERROR(IF($Q$21="Yes",INDEX($AP$23:$AP$2323,SMALL(IF((County=$AQ$23:$AQ$2323),MATCH(ROW($AQ$23:$AQ$2323),ROW($AQ$23:$AQ$2323)),""),ROWS($A$23:$A105))),""),"")</f>
        <v/>
      </c>
      <c r="AW105" s="1802">
        <v>32937</v>
      </c>
      <c r="AX105" s="622" t="s">
        <v>35</v>
      </c>
      <c r="AZ105" s="622">
        <v>6.03</v>
      </c>
      <c r="BA105" s="625" t="s">
        <v>75</v>
      </c>
      <c r="BF105" s="1837"/>
      <c r="BG105" s="1837"/>
    </row>
    <row r="106" spans="1:71" ht="14.5" customHeight="1">
      <c r="A106" s="1802">
        <v>33569</v>
      </c>
      <c r="B106" s="622" t="s">
        <v>63</v>
      </c>
      <c r="E106" s="1"/>
      <c r="F106" s="622">
        <v>4514</v>
      </c>
      <c r="G106" s="622" t="s">
        <v>42</v>
      </c>
      <c r="L106" s="626">
        <v>661.04</v>
      </c>
      <c r="M106" s="626" t="s">
        <v>35</v>
      </c>
      <c r="N106" s="203"/>
      <c r="O106" s="627" t="str">
        <f t="array" ref="O106">IFERROR(IF($O$21="Metro",INDEX($F$23:$F$748,SMALL(IF((County=$G$23:$G$748),MATCH(ROW($G$23:$G$748),ROW($G$23:$G$748)),""),ROWS($A$23:A106))),INDEX($I$23:$I$52,SMALL(IF((County=$J$23:$J$52),MATCH(ROW($J$23:$J$52),ROW($J$23:$J$52)),""),ROWS($A$23:A106)))),"")</f>
        <v/>
      </c>
      <c r="Q106" s="627" t="str">
        <f t="array" ref="Q106">IFERROR(IF($Q$21="Yes",INDEX($L$23:$L$2323,SMALL(IF((County=$M$23:$M$2323),MATCH(ROW($M$23:$M$2323),ROW($M$23:$M$2323)),""),ROWS($A$23:A106))),""),"")</f>
        <v/>
      </c>
      <c r="S106" s="623">
        <v>32968</v>
      </c>
      <c r="T106" s="622" t="s">
        <v>65</v>
      </c>
      <c r="V106" s="622">
        <v>8</v>
      </c>
      <c r="W106" s="625" t="s">
        <v>63</v>
      </c>
      <c r="AB106" s="626">
        <v>5.03</v>
      </c>
      <c r="AC106" s="626" t="s">
        <v>75</v>
      </c>
      <c r="AE106" s="1802">
        <v>33569</v>
      </c>
      <c r="AF106" s="622" t="s">
        <v>63</v>
      </c>
      <c r="AI106" s="1376"/>
      <c r="AJ106" s="622">
        <v>1007</v>
      </c>
      <c r="AK106" s="622" t="s">
        <v>36</v>
      </c>
      <c r="AP106" s="1837"/>
      <c r="AQ106" s="1837"/>
      <c r="AS106" s="627" t="str">
        <f t="array" ref="AS106">IFERROR(IF($O$21="Metro",INDEX($AJ$23:$AJ$748,SMALL(IF((County=$AK$23:$AK$748),MATCH(ROW($AK$23:$AK$748),ROW($AK$23:$AK$748)),""),ROWS($A$23:$A106))),INDEX($AM$23:$AM$58,SMALL(IF((County=$AN$23:$AN$58),MATCH(ROW($AN$23:$AN$58),ROW($AN$23:$AN$58)),""),ROWS($A$23:$A106)))),"")</f>
        <v/>
      </c>
      <c r="AU106" s="627" t="str">
        <f t="array" ref="AU106">IFERROR(IF($Q$21="Yes",INDEX($AP$23:$AP$2323,SMALL(IF((County=$AQ$23:$AQ$2323),MATCH(ROW($AQ$23:$AQ$2323),ROW($AQ$23:$AQ$2323)),""),ROWS($A$23:$A106))),""),"")</f>
        <v/>
      </c>
      <c r="AW106" s="1802">
        <v>32940</v>
      </c>
      <c r="AX106" s="622" t="s">
        <v>35</v>
      </c>
      <c r="AZ106" s="622">
        <v>6.03</v>
      </c>
      <c r="BA106" s="625" t="s">
        <v>78</v>
      </c>
      <c r="BF106" s="1837"/>
      <c r="BG106" s="1837"/>
    </row>
    <row r="107" spans="1:71" ht="14.5" customHeight="1">
      <c r="A107" s="1802">
        <v>33572</v>
      </c>
      <c r="B107" s="622" t="s">
        <v>63</v>
      </c>
      <c r="E107" s="1"/>
      <c r="F107" s="622">
        <v>304</v>
      </c>
      <c r="G107" s="622" t="s">
        <v>43</v>
      </c>
      <c r="L107" s="626">
        <v>662</v>
      </c>
      <c r="M107" s="626" t="s">
        <v>35</v>
      </c>
      <c r="N107" s="203"/>
      <c r="O107" s="627" t="str">
        <f t="array" ref="O107">IFERROR(IF($O$21="Metro",INDEX($F$23:$F$748,SMALL(IF((County=$G$23:$G$748),MATCH(ROW($G$23:$G$748),ROW($G$23:$G$748)),""),ROWS($A$23:A107))),INDEX($I$23:$I$52,SMALL(IF((County=$J$23:$J$52),MATCH(ROW($J$23:$J$52),ROW($J$23:$J$52)),""),ROWS($A$23:A107)))),"")</f>
        <v/>
      </c>
      <c r="Q107" s="627" t="str">
        <f t="array" ref="Q107">IFERROR(IF($Q$21="Yes",INDEX($L$23:$L$2323,SMALL(IF((County=$M$23:$M$2323),MATCH(ROW($M$23:$M$2323),ROW($M$23:$M$2323)),""),ROWS($A$23:A107))),""),"")</f>
        <v/>
      </c>
      <c r="S107" s="623">
        <v>33014</v>
      </c>
      <c r="T107" s="622" t="s">
        <v>78</v>
      </c>
      <c r="V107" s="622">
        <v>8</v>
      </c>
      <c r="W107" s="625" t="s">
        <v>77</v>
      </c>
      <c r="AB107" s="626">
        <v>5.05</v>
      </c>
      <c r="AC107" s="626" t="s">
        <v>87</v>
      </c>
      <c r="AE107" s="1802">
        <v>33572</v>
      </c>
      <c r="AF107" s="622" t="s">
        <v>63</v>
      </c>
      <c r="AI107" s="1376"/>
      <c r="AJ107" s="622">
        <v>1008.01</v>
      </c>
      <c r="AK107" s="622" t="s">
        <v>36</v>
      </c>
      <c r="AP107" s="1837"/>
      <c r="AQ107" s="1837"/>
      <c r="AS107" s="627" t="str">
        <f t="array" ref="AS107">IFERROR(IF($O$21="Metro",INDEX($AJ$23:$AJ$748,SMALL(IF((County=$AK$23:$AK$748),MATCH(ROW($AK$23:$AK$748),ROW($AK$23:$AK$748)),""),ROWS($A$23:$A107))),INDEX($AM$23:$AM$58,SMALL(IF((County=$AN$23:$AN$58),MATCH(ROW($AN$23:$AN$58),ROW($AN$23:$AN$58)),""),ROWS($A$23:$A107)))),"")</f>
        <v/>
      </c>
      <c r="AU107" s="627" t="str">
        <f t="array" ref="AU107">IFERROR(IF($Q$21="Yes",INDEX($AP$23:$AP$2323,SMALL(IF((County=$AQ$23:$AQ$2323),MATCH(ROW($AQ$23:$AQ$2323),ROW($AQ$23:$AQ$2323)),""),ROWS($A$23:$A107))),""),"")</f>
        <v/>
      </c>
      <c r="AW107" s="1802">
        <v>32951</v>
      </c>
      <c r="AX107" s="622" t="s">
        <v>35</v>
      </c>
      <c r="AZ107" s="622">
        <v>6.04</v>
      </c>
      <c r="BA107" s="625" t="s">
        <v>75</v>
      </c>
      <c r="BF107" s="1837"/>
      <c r="BG107" s="1837"/>
    </row>
    <row r="108" spans="1:71" ht="14.5" customHeight="1">
      <c r="A108" s="1802">
        <v>33573</v>
      </c>
      <c r="B108" s="622" t="s">
        <v>63</v>
      </c>
      <c r="E108" s="1"/>
      <c r="F108" s="622">
        <v>7</v>
      </c>
      <c r="G108" s="625" t="s">
        <v>44</v>
      </c>
      <c r="L108" s="626">
        <v>663.01</v>
      </c>
      <c r="M108" s="626" t="s">
        <v>35</v>
      </c>
      <c r="N108" s="203"/>
      <c r="O108" s="627" t="str">
        <f t="array" ref="O108">IFERROR(IF($O$21="Metro",INDEX($F$23:$F$748,SMALL(IF((County=$G$23:$G$748),MATCH(ROW($G$23:$G$748),ROW($G$23:$G$748)),""),ROWS($A$23:A108))),INDEX($I$23:$I$52,SMALL(IF((County=$J$23:$J$52),MATCH(ROW($J$23:$J$52),ROW($J$23:$J$52)),""),ROWS($A$23:A108)))),"")</f>
        <v/>
      </c>
      <c r="Q108" s="627" t="str">
        <f t="array" ref="Q108">IFERROR(IF($Q$21="Yes",INDEX($L$23:$L$2323,SMALL(IF((County=$M$23:$M$2323),MATCH(ROW($M$23:$M$2323),ROW($M$23:$M$2323)),""),ROWS($A$23:A108))),""),"")</f>
        <v/>
      </c>
      <c r="S108" s="623">
        <v>33015</v>
      </c>
      <c r="T108" s="622" t="s">
        <v>78</v>
      </c>
      <c r="V108" s="622">
        <v>8.0299999999999994</v>
      </c>
      <c r="W108" s="625" t="s">
        <v>32</v>
      </c>
      <c r="AB108" s="626">
        <v>5.07</v>
      </c>
      <c r="AC108" s="626" t="s">
        <v>87</v>
      </c>
      <c r="AE108" s="1802">
        <v>33573</v>
      </c>
      <c r="AF108" s="622" t="s">
        <v>63</v>
      </c>
      <c r="AI108" s="1376"/>
      <c r="AJ108" s="622">
        <v>1103.3399999999999</v>
      </c>
      <c r="AK108" s="625" t="s">
        <v>36</v>
      </c>
      <c r="AP108" s="1837"/>
      <c r="AQ108" s="1837"/>
      <c r="AS108" s="627" t="str">
        <f t="array" ref="AS108">IFERROR(IF($O$21="Metro",INDEX($AJ$23:$AJ$748,SMALL(IF((County=$AK$23:$AK$748),MATCH(ROW($AK$23:$AK$748),ROW($AK$23:$AK$748)),""),ROWS($A$23:$A108))),INDEX($AM$23:$AM$58,SMALL(IF((County=$AN$23:$AN$58),MATCH(ROW($AN$23:$AN$58),ROW($AN$23:$AN$58)),""),ROWS($A$23:$A108)))),"")</f>
        <v/>
      </c>
      <c r="AU108" s="627" t="str">
        <f t="array" ref="AU108">IFERROR(IF($Q$21="Yes",INDEX($AP$23:$AP$2323,SMALL(IF((County=$AQ$23:$AQ$2323),MATCH(ROW($AQ$23:$AQ$2323),ROW($AQ$23:$AQ$2323)),""),ROWS($A$23:$A108))),""),"")</f>
        <v/>
      </c>
      <c r="AW108" s="1836">
        <v>32955</v>
      </c>
      <c r="AX108" s="622" t="s">
        <v>35</v>
      </c>
      <c r="AZ108" s="622">
        <v>6.04</v>
      </c>
      <c r="BA108" s="625" t="s">
        <v>76</v>
      </c>
      <c r="BF108" s="1837"/>
      <c r="BG108" s="1837"/>
    </row>
    <row r="109" spans="1:71" ht="14.5" customHeight="1">
      <c r="A109" s="1802">
        <v>33578</v>
      </c>
      <c r="B109" s="622" t="s">
        <v>63</v>
      </c>
      <c r="E109" s="1"/>
      <c r="F109" s="622">
        <v>104.1</v>
      </c>
      <c r="G109" s="625" t="s">
        <v>44</v>
      </c>
      <c r="L109" s="626">
        <v>663.02</v>
      </c>
      <c r="M109" s="626" t="s">
        <v>35</v>
      </c>
      <c r="N109" s="203"/>
      <c r="O109" s="627" t="str">
        <f t="array" ref="O109">IFERROR(IF($O$21="Metro",INDEX($F$23:$F$748,SMALL(IF((County=$G$23:$G$748),MATCH(ROW($G$23:$G$748),ROW($G$23:$G$748)),""),ROWS($A$23:A109))),INDEX($I$23:$I$52,SMALL(IF((County=$J$23:$J$52),MATCH(ROW($J$23:$J$52),ROW($J$23:$J$52)),""),ROWS($A$23:A109)))),"")</f>
        <v/>
      </c>
      <c r="Q109" s="627" t="str">
        <f t="array" ref="Q109">IFERROR(IF($Q$21="Yes",INDEX($L$23:$L$2323,SMALL(IF((County=$M$23:$M$2323),MATCH(ROW($M$23:$M$2323),ROW($M$23:$M$2323)),""),ROWS($A$23:A109))),""),"")</f>
        <v/>
      </c>
      <c r="S109" s="623">
        <v>33018</v>
      </c>
      <c r="T109" s="622" t="s">
        <v>78</v>
      </c>
      <c r="V109" s="622">
        <v>8.0399999999999991</v>
      </c>
      <c r="W109" s="625" t="s">
        <v>78</v>
      </c>
      <c r="AB109" s="626">
        <v>5.09</v>
      </c>
      <c r="AC109" s="626" t="s">
        <v>87</v>
      </c>
      <c r="AE109" s="1802">
        <v>33578</v>
      </c>
      <c r="AF109" s="622" t="s">
        <v>63</v>
      </c>
      <c r="AI109" s="1376"/>
      <c r="AJ109" s="622">
        <v>1103.54</v>
      </c>
      <c r="AK109" s="625" t="s">
        <v>36</v>
      </c>
      <c r="AP109" s="1837"/>
      <c r="AQ109" s="1837"/>
      <c r="AS109" s="627" t="str">
        <f t="array" ref="AS109">IFERROR(IF($O$21="Metro",INDEX($AJ$23:$AJ$748,SMALL(IF((County=$AK$23:$AK$748),MATCH(ROW($AK$23:$AK$748),ROW($AK$23:$AK$748)),""),ROWS($A$23:$A109))),INDEX($AM$23:$AM$58,SMALL(IF((County=$AN$23:$AN$58),MATCH(ROW($AN$23:$AN$58),ROW($AN$23:$AN$58)),""),ROWS($A$23:$A109)))),"")</f>
        <v/>
      </c>
      <c r="AU109" s="627" t="str">
        <f t="array" ref="AU109">IFERROR(IF($Q$21="Yes",INDEX($AP$23:$AP$2323,SMALL(IF((County=$AQ$23:$AQ$2323),MATCH(ROW($AQ$23:$AQ$2323),ROW($AQ$23:$AQ$2323)),""),ROWS($A$23:$A109))),""),"")</f>
        <v/>
      </c>
      <c r="AW109" s="1802">
        <v>32963</v>
      </c>
      <c r="AX109" s="622" t="s">
        <v>65</v>
      </c>
      <c r="AZ109" s="622">
        <v>6.07</v>
      </c>
      <c r="BA109" s="625" t="s">
        <v>78</v>
      </c>
      <c r="BF109" s="1837"/>
      <c r="BG109" s="1837"/>
    </row>
    <row r="110" spans="1:71" ht="14.5" customHeight="1">
      <c r="A110" s="1802">
        <v>33579</v>
      </c>
      <c r="B110" s="622" t="s">
        <v>63</v>
      </c>
      <c r="E110" s="1"/>
      <c r="F110" s="622">
        <v>104.2</v>
      </c>
      <c r="G110" s="625" t="s">
        <v>44</v>
      </c>
      <c r="L110" s="626">
        <v>664</v>
      </c>
      <c r="M110" s="626" t="s">
        <v>35</v>
      </c>
      <c r="N110" s="203"/>
      <c r="O110" s="627" t="str">
        <f t="array" ref="O110">IFERROR(IF($O$21="Metro",INDEX($F$23:$F$748,SMALL(IF((County=$G$23:$G$748),MATCH(ROW($G$23:$G$748),ROW($G$23:$G$748)),""),ROWS($A$23:A110))),INDEX($I$23:$I$52,SMALL(IF((County=$J$23:$J$52),MATCH(ROW($J$23:$J$52),ROW($J$23:$J$52)),""),ROWS($A$23:A110)))),"")</f>
        <v/>
      </c>
      <c r="Q110" s="627" t="str">
        <f t="array" ref="Q110">IFERROR(IF($Q$21="Yes",INDEX($L$23:$L$2323,SMALL(IF((County=$M$23:$M$2323),MATCH(ROW($M$23:$M$2323),ROW($M$23:$M$2323)),""),ROWS($A$23:A110))),""),"")</f>
        <v/>
      </c>
      <c r="S110" s="623">
        <v>33019</v>
      </c>
      <c r="T110" s="622" t="s">
        <v>36</v>
      </c>
      <c r="V110" s="622">
        <v>8.0500000000000007</v>
      </c>
      <c r="W110" s="625" t="s">
        <v>78</v>
      </c>
      <c r="AB110" s="626">
        <v>5.1100000000000003</v>
      </c>
      <c r="AC110" s="626" t="s">
        <v>87</v>
      </c>
      <c r="AE110" s="1802">
        <v>33579</v>
      </c>
      <c r="AF110" s="622" t="s">
        <v>63</v>
      </c>
      <c r="AI110" s="1376"/>
      <c r="AJ110" s="622">
        <v>1103.55</v>
      </c>
      <c r="AK110" s="625" t="s">
        <v>36</v>
      </c>
      <c r="AP110" s="1837"/>
      <c r="AQ110" s="1837"/>
      <c r="AS110" s="627" t="str">
        <f t="array" ref="AS110">IFERROR(IF($O$21="Metro",INDEX($AJ$23:$AJ$748,SMALL(IF((County=$AK$23:$AK$748),MATCH(ROW($AK$23:$AK$748),ROW($AK$23:$AK$748)),""),ROWS($A$23:$A110))),INDEX($AM$23:$AM$58,SMALL(IF((County=$AN$23:$AN$58),MATCH(ROW($AN$23:$AN$58),ROW($AN$23:$AN$58)),""),ROWS($A$23:$A110)))),"")</f>
        <v/>
      </c>
      <c r="AU110" s="627" t="str">
        <f t="array" ref="AU110">IFERROR(IF($Q$21="Yes",INDEX($AP$23:$AP$2323,SMALL(IF((County=$AQ$23:$AQ$2323),MATCH(ROW($AQ$23:$AQ$2323),ROW($AQ$23:$AQ$2323)),""),ROWS($A$23:$A110))),""),"")</f>
        <v/>
      </c>
      <c r="AW110" s="1802">
        <v>32968</v>
      </c>
      <c r="AX110" s="622" t="s">
        <v>65</v>
      </c>
      <c r="AZ110" s="622">
        <v>6.09</v>
      </c>
      <c r="BA110" s="625" t="s">
        <v>78</v>
      </c>
      <c r="BF110" s="1837"/>
      <c r="BG110" s="1837"/>
    </row>
    <row r="111" spans="1:71" ht="14.5" customHeight="1">
      <c r="A111" s="1802">
        <v>33584</v>
      </c>
      <c r="B111" s="622" t="s">
        <v>63</v>
      </c>
      <c r="E111" s="1"/>
      <c r="F111" s="622">
        <v>106.01</v>
      </c>
      <c r="G111" s="625" t="s">
        <v>44</v>
      </c>
      <c r="L111" s="626">
        <v>665</v>
      </c>
      <c r="M111" s="626" t="s">
        <v>35</v>
      </c>
      <c r="N111" s="203"/>
      <c r="O111" s="627" t="str">
        <f t="array" ref="O111">IFERROR(IF($O$21="Metro",INDEX($F$23:$F$748,SMALL(IF((County=$G$23:$G$748),MATCH(ROW($G$23:$G$748),ROW($G$23:$G$748)),""),ROWS($A$23:A111))),INDEX($I$23:$I$52,SMALL(IF((County=$J$23:$J$52),MATCH(ROW($J$23:$J$52),ROW($J$23:$J$52)),""),ROWS($A$23:A111)))),"")</f>
        <v/>
      </c>
      <c r="Q111" s="627" t="str">
        <f t="array" ref="Q111">IFERROR(IF($Q$21="Yes",INDEX($L$23:$L$2323,SMALL(IF((County=$M$23:$M$2323),MATCH(ROW($M$23:$M$2323),ROW($M$23:$M$2323)),""),ROWS($A$23:A111))),""),"")</f>
        <v/>
      </c>
      <c r="S111" s="623">
        <v>33025</v>
      </c>
      <c r="T111" s="622" t="s">
        <v>36</v>
      </c>
      <c r="V111" s="622">
        <v>8.06</v>
      </c>
      <c r="W111" s="622" t="s">
        <v>26</v>
      </c>
      <c r="AB111" s="626">
        <v>6</v>
      </c>
      <c r="AC111" s="626" t="s">
        <v>32</v>
      </c>
      <c r="AE111" s="1802">
        <v>33584</v>
      </c>
      <c r="AF111" s="622" t="s">
        <v>63</v>
      </c>
      <c r="AI111" s="1376"/>
      <c r="AJ111" s="622">
        <v>207</v>
      </c>
      <c r="AK111" s="625" t="s">
        <v>41</v>
      </c>
      <c r="AP111" s="1837"/>
      <c r="AQ111" s="1837"/>
      <c r="AS111" s="627" t="str">
        <f t="array" ref="AS111">IFERROR(IF($O$21="Metro",INDEX($AJ$23:$AJ$748,SMALL(IF((County=$AK$23:$AK$748),MATCH(ROW($AK$23:$AK$748),ROW($AK$23:$AK$748)),""),ROWS($A$23:$A111))),INDEX($AM$23:$AM$58,SMALL(IF((County=$AN$23:$AN$58),MATCH(ROW($AN$23:$AN$58),ROW($AN$23:$AN$58)),""),ROWS($A$23:$A111)))),"")</f>
        <v/>
      </c>
      <c r="AU111" s="627" t="str">
        <f t="array" ref="AU111">IFERROR(IF($Q$21="Yes",INDEX($AP$23:$AP$2323,SMALL(IF((County=$AQ$23:$AQ$2323),MATCH(ROW($AQ$23:$AQ$2323),ROW($AQ$23:$AQ$2323)),""),ROWS($A$23:$A111))),""),"")</f>
        <v/>
      </c>
      <c r="AW111" s="1802">
        <v>33014</v>
      </c>
      <c r="AX111" s="622" t="s">
        <v>78</v>
      </c>
      <c r="AZ111" s="622">
        <v>6.1</v>
      </c>
      <c r="BA111" s="625" t="s">
        <v>78</v>
      </c>
      <c r="BF111" s="1837"/>
      <c r="BG111" s="1837"/>
      <c r="BI111" t="s">
        <v>1577</v>
      </c>
    </row>
    <row r="112" spans="1:71" ht="14.5" customHeight="1">
      <c r="A112" s="1802">
        <v>33594</v>
      </c>
      <c r="B112" s="622" t="s">
        <v>63</v>
      </c>
      <c r="E112" s="1"/>
      <c r="F112" s="622">
        <v>107.01</v>
      </c>
      <c r="G112" s="625" t="s">
        <v>44</v>
      </c>
      <c r="L112" s="626">
        <v>666</v>
      </c>
      <c r="M112" s="626" t="s">
        <v>35</v>
      </c>
      <c r="N112" s="203"/>
      <c r="O112" s="627" t="str">
        <f t="array" ref="O112">IFERROR(IF($O$21="Metro",INDEX($F$23:$F$748,SMALL(IF((County=$G$23:$G$748),MATCH(ROW($G$23:$G$748),ROW($G$23:$G$748)),""),ROWS($A$23:A112))),INDEX($I$23:$I$52,SMALL(IF((County=$J$23:$J$52),MATCH(ROW($J$23:$J$52),ROW($J$23:$J$52)),""),ROWS($A$23:A112)))),"")</f>
        <v/>
      </c>
      <c r="Q112" s="627" t="str">
        <f t="array" ref="Q112">IFERROR(IF($Q$21="Yes",INDEX($L$23:$L$2323,SMALL(IF((County=$M$23:$M$2323),MATCH(ROW($M$23:$M$2323),ROW($M$23:$M$2323)),""),ROWS($A$23:A112))),""),"")</f>
        <v/>
      </c>
      <c r="S112" s="623">
        <v>33026</v>
      </c>
      <c r="T112" s="622" t="s">
        <v>36</v>
      </c>
      <c r="V112" s="622">
        <v>8.06</v>
      </c>
      <c r="W112" s="625" t="s">
        <v>78</v>
      </c>
      <c r="AB112" s="626">
        <v>6</v>
      </c>
      <c r="AC112" s="626" t="s">
        <v>44</v>
      </c>
      <c r="AE112" s="1802">
        <v>33594</v>
      </c>
      <c r="AF112" s="622" t="s">
        <v>63</v>
      </c>
      <c r="AI112" s="1376"/>
      <c r="AJ112" s="622">
        <v>4502.0200000000004</v>
      </c>
      <c r="AK112" s="625" t="s">
        <v>42</v>
      </c>
      <c r="AP112" s="1837"/>
      <c r="AQ112" s="1837"/>
      <c r="AS112" s="627" t="str">
        <f t="array" ref="AS112">IFERROR(IF($O$21="Metro",INDEX($AJ$23:$AJ$748,SMALL(IF((County=$AK$23:$AK$748),MATCH(ROW($AK$23:$AK$748),ROW($AK$23:$AK$748)),""),ROWS($A$23:$A112))),INDEX($AM$23:$AM$58,SMALL(IF((County=$AN$23:$AN$58),MATCH(ROW($AN$23:$AN$58),ROW($AN$23:$AN$58)),""),ROWS($A$23:$A112)))),"")</f>
        <v/>
      </c>
      <c r="AU112" s="627" t="str">
        <f t="array" ref="AU112">IFERROR(IF($Q$21="Yes",INDEX($AP$23:$AP$2323,SMALL(IF((County=$AQ$23:$AQ$2323),MATCH(ROW($AQ$23:$AQ$2323),ROW($AQ$23:$AQ$2323)),""),ROWS($A$23:$A112))),""),"")</f>
        <v/>
      </c>
      <c r="AW112" s="1802">
        <v>33015</v>
      </c>
      <c r="AX112" s="622" t="s">
        <v>78</v>
      </c>
      <c r="AZ112" s="622">
        <v>6.11</v>
      </c>
      <c r="BA112" s="625" t="s">
        <v>78</v>
      </c>
      <c r="BF112" s="1837"/>
      <c r="BG112" s="1837"/>
      <c r="BI112" s="1357"/>
      <c r="BJ112" s="1357"/>
      <c r="BK112" s="1357"/>
      <c r="BL112" s="1358"/>
      <c r="BM112" s="1358"/>
      <c r="BN112" s="1359"/>
      <c r="BO112" s="1360"/>
      <c r="BP112" s="1358"/>
      <c r="BQ112" s="1358"/>
      <c r="BR112" s="1358"/>
      <c r="BS112" s="1360"/>
    </row>
    <row r="113" spans="1:71" ht="14.5" customHeight="1">
      <c r="A113" s="1802">
        <v>33596</v>
      </c>
      <c r="B113" s="622" t="s">
        <v>63</v>
      </c>
      <c r="E113" s="1"/>
      <c r="F113" s="622">
        <v>111.03</v>
      </c>
      <c r="G113" s="625" t="s">
        <v>44</v>
      </c>
      <c r="L113" s="626">
        <v>667</v>
      </c>
      <c r="M113" s="626" t="s">
        <v>35</v>
      </c>
      <c r="N113" s="203"/>
      <c r="O113" s="627" t="str">
        <f t="array" ref="O113">IFERROR(IF($O$21="Metro",INDEX($F$23:$F$748,SMALL(IF((County=$G$23:$G$748),MATCH(ROW($G$23:$G$748),ROW($G$23:$G$748)),""),ROWS($A$23:A113))),INDEX($I$23:$I$52,SMALL(IF((County=$J$23:$J$52),MATCH(ROW($J$23:$J$52),ROW($J$23:$J$52)),""),ROWS($A$23:A113)))),"")</f>
        <v/>
      </c>
      <c r="Q113" s="627" t="str">
        <f t="array" ref="Q113">IFERROR(IF($Q$21="Yes",INDEX($L$23:$L$2323,SMALL(IF((County=$M$23:$M$2323),MATCH(ROW($M$23:$M$2323),ROW($M$23:$M$2323)),""),ROWS($A$23:A113))),""),"")</f>
        <v/>
      </c>
      <c r="S113" s="623">
        <v>33027</v>
      </c>
      <c r="T113" s="622" t="s">
        <v>36</v>
      </c>
      <c r="V113" s="622">
        <v>8.07</v>
      </c>
      <c r="W113" s="625" t="s">
        <v>78</v>
      </c>
      <c r="AB113" s="626">
        <v>6.01</v>
      </c>
      <c r="AC113" s="626" t="s">
        <v>96</v>
      </c>
      <c r="AE113" s="1802">
        <v>33596</v>
      </c>
      <c r="AF113" s="622" t="s">
        <v>63</v>
      </c>
      <c r="AI113" s="1376"/>
      <c r="AJ113" s="622">
        <v>4503.05</v>
      </c>
      <c r="AK113" s="625" t="s">
        <v>42</v>
      </c>
      <c r="AP113" s="1837"/>
      <c r="AQ113" s="1837"/>
      <c r="AS113" s="627" t="str">
        <f t="array" ref="AS113">IFERROR(IF($O$21="Metro",INDEX($AJ$23:$AJ$748,SMALL(IF((County=$AK$23:$AK$748),MATCH(ROW($AK$23:$AK$748),ROW($AK$23:$AK$748)),""),ROWS($A$23:$A113))),INDEX($AM$23:$AM$58,SMALL(IF((County=$AN$23:$AN$58),MATCH(ROW($AN$23:$AN$58),ROW($AN$23:$AN$58)),""),ROWS($A$23:$A113)))),"")</f>
        <v/>
      </c>
      <c r="AU113" s="627" t="str">
        <f t="array" ref="AU113">IFERROR(IF($Q$21="Yes",INDEX($AP$23:$AP$2323,SMALL(IF((County=$AQ$23:$AQ$2323),MATCH(ROW($AQ$23:$AQ$2323),ROW($AQ$23:$AQ$2323)),""),ROWS($A$23:$A113))),""),"")</f>
        <v/>
      </c>
      <c r="AW113" s="1802">
        <v>33016</v>
      </c>
      <c r="AX113" s="622" t="s">
        <v>78</v>
      </c>
      <c r="AZ113" s="622">
        <v>7</v>
      </c>
      <c r="BA113" s="625" t="s">
        <v>70</v>
      </c>
      <c r="BF113" s="1837"/>
      <c r="BG113" s="1837"/>
      <c r="BI113" s="1356" t="s">
        <v>1598</v>
      </c>
      <c r="BJ113" s="1357"/>
      <c r="BK113" s="1357"/>
      <c r="BL113" s="1358"/>
      <c r="BM113" s="1358"/>
      <c r="BN113" s="1361"/>
      <c r="BO113" s="1360"/>
      <c r="BP113" s="1358"/>
      <c r="BQ113" s="1358"/>
      <c r="BR113" s="1358"/>
      <c r="BS113" s="1360"/>
    </row>
    <row r="114" spans="1:71" ht="14.5" customHeight="1">
      <c r="A114" s="1802">
        <v>33602</v>
      </c>
      <c r="B114" s="622" t="s">
        <v>63</v>
      </c>
      <c r="E114" s="1"/>
      <c r="F114" s="622">
        <v>112.04</v>
      </c>
      <c r="G114" s="625" t="s">
        <v>44</v>
      </c>
      <c r="L114" s="626">
        <v>668</v>
      </c>
      <c r="M114" s="626" t="s">
        <v>35</v>
      </c>
      <c r="N114" s="203"/>
      <c r="O114" s="627" t="str">
        <f t="array" ref="O114">IFERROR(IF($O$21="Metro",INDEX($F$23:$F$748,SMALL(IF((County=$G$23:$G$748),MATCH(ROW($G$23:$G$748),ROW($G$23:$G$748)),""),ROWS($A$23:A114))),INDEX($I$23:$I$52,SMALL(IF((County=$J$23:$J$52),MATCH(ROW($J$23:$J$52),ROW($J$23:$J$52)),""),ROWS($A$23:A114)))),"")</f>
        <v/>
      </c>
      <c r="Q114" s="627" t="str">
        <f t="array" ref="Q114">IFERROR(IF($Q$21="Yes",INDEX($L$23:$L$2323,SMALL(IF((County=$M$23:$M$2323),MATCH(ROW($M$23:$M$2323),ROW($M$23:$M$2323)),""),ROWS($A$23:A114))),""),"")</f>
        <v/>
      </c>
      <c r="S114" s="623">
        <v>33028</v>
      </c>
      <c r="T114" s="622" t="s">
        <v>36</v>
      </c>
      <c r="V114" s="622">
        <v>8.08</v>
      </c>
      <c r="W114" s="625" t="s">
        <v>78</v>
      </c>
      <c r="AB114" s="626">
        <v>6.02</v>
      </c>
      <c r="AC114" s="626" t="s">
        <v>96</v>
      </c>
      <c r="AE114" s="1802">
        <v>33602</v>
      </c>
      <c r="AF114" s="622" t="s">
        <v>63</v>
      </c>
      <c r="AI114" s="1376"/>
      <c r="AJ114" s="622">
        <v>4503.0600000000004</v>
      </c>
      <c r="AK114" s="625" t="s">
        <v>42</v>
      </c>
      <c r="AP114" s="1837"/>
      <c r="AQ114" s="1837"/>
      <c r="AS114" s="627" t="str">
        <f t="array" ref="AS114">IFERROR(IF($O$21="Metro",INDEX($AJ$23:$AJ$748,SMALL(IF((County=$AK$23:$AK$748),MATCH(ROW($AK$23:$AK$748),ROW($AK$23:$AK$748)),""),ROWS($A$23:$A114))),INDEX($AM$23:$AM$58,SMALL(IF((County=$AN$23:$AN$58),MATCH(ROW($AN$23:$AN$58),ROW($AN$23:$AN$58)),""),ROWS($A$23:$A114)))),"")</f>
        <v/>
      </c>
      <c r="AU114" s="627" t="str">
        <f t="array" ref="AU114">IFERROR(IF($Q$21="Yes",INDEX($AP$23:$AP$2323,SMALL(IF((County=$AQ$23:$AQ$2323),MATCH(ROW($AQ$23:$AQ$2323),ROW($AQ$23:$AQ$2323)),""),ROWS($A$23:$A114))),""),"")</f>
        <v/>
      </c>
      <c r="AW114" s="1802">
        <v>33018</v>
      </c>
      <c r="AX114" s="622" t="s">
        <v>78</v>
      </c>
      <c r="AZ114" s="622">
        <v>7.01</v>
      </c>
      <c r="BA114" s="625" t="s">
        <v>63</v>
      </c>
      <c r="BF114" s="1837"/>
      <c r="BG114" s="1837"/>
      <c r="BK114" s="1366" t="s">
        <v>1599</v>
      </c>
      <c r="BL114" s="1366" t="s">
        <v>1601</v>
      </c>
      <c r="BM114" s="1366" t="s">
        <v>1600</v>
      </c>
      <c r="BN114" s="1361"/>
      <c r="BO114" s="1362"/>
      <c r="BP114" s="1358"/>
      <c r="BQ114" s="1358"/>
      <c r="BR114" s="1358"/>
      <c r="BS114" s="1360"/>
    </row>
    <row r="115" spans="1:71" ht="14.5" customHeight="1">
      <c r="A115" s="1802">
        <v>33606</v>
      </c>
      <c r="B115" s="622" t="s">
        <v>63</v>
      </c>
      <c r="E115" s="1"/>
      <c r="F115" s="622">
        <v>112.05</v>
      </c>
      <c r="G115" s="625" t="s">
        <v>44</v>
      </c>
      <c r="L115" s="626">
        <v>669</v>
      </c>
      <c r="M115" s="626" t="s">
        <v>35</v>
      </c>
      <c r="N115" s="203"/>
      <c r="O115" s="627" t="str">
        <f t="array" ref="O115">IFERROR(IF($O$21="Metro",INDEX($F$23:$F$748,SMALL(IF((County=$G$23:$G$748),MATCH(ROW($G$23:$G$748),ROW($G$23:$G$748)),""),ROWS($A$23:A115))),INDEX($I$23:$I$52,SMALL(IF((County=$J$23:$J$52),MATCH(ROW($J$23:$J$52),ROW($J$23:$J$52)),""),ROWS($A$23:A115)))),"")</f>
        <v/>
      </c>
      <c r="Q115" s="627" t="str">
        <f t="array" ref="Q115">IFERROR(IF($Q$21="Yes",INDEX($L$23:$L$2323,SMALL(IF((County=$M$23:$M$2323),MATCH(ROW($M$23:$M$2323),ROW($M$23:$M$2323)),""),ROWS($A$23:A115))),""),"")</f>
        <v/>
      </c>
      <c r="S115" s="623">
        <v>33029</v>
      </c>
      <c r="T115" s="622" t="s">
        <v>36</v>
      </c>
      <c r="V115" s="622">
        <v>9.01</v>
      </c>
      <c r="W115" s="622" t="s">
        <v>26</v>
      </c>
      <c r="AB115" s="626">
        <v>6.03</v>
      </c>
      <c r="AC115" s="626" t="s">
        <v>77</v>
      </c>
      <c r="AE115" s="1802">
        <v>33606</v>
      </c>
      <c r="AF115" s="622" t="s">
        <v>63</v>
      </c>
      <c r="AI115" s="1376"/>
      <c r="AJ115" s="622">
        <v>4508</v>
      </c>
      <c r="AK115" s="625" t="s">
        <v>42</v>
      </c>
      <c r="AP115" s="1837"/>
      <c r="AQ115" s="1837"/>
      <c r="AS115" s="627" t="str">
        <f t="array" ref="AS115">IFERROR(IF($O$21="Metro",INDEX($AJ$23:$AJ$748,SMALL(IF((County=$AK$23:$AK$748),MATCH(ROW($AK$23:$AK$748),ROW($AK$23:$AK$748)),""),ROWS($A$23:$A115))),INDEX($AM$23:$AM$58,SMALL(IF((County=$AN$23:$AN$58),MATCH(ROW($AN$23:$AN$58),ROW($AN$23:$AN$58)),""),ROWS($A$23:$A115)))),"")</f>
        <v/>
      </c>
      <c r="AU115" s="627" t="str">
        <f t="array" ref="AU115">IFERROR(IF($Q$21="Yes",INDEX($AP$23:$AP$2323,SMALL(IF((County=$AQ$23:$AQ$2323),MATCH(ROW($AQ$23:$AQ$2323),ROW($AQ$23:$AQ$2323)),""),ROWS($A$23:$A115))),""),"")</f>
        <v/>
      </c>
      <c r="AW115" s="1836">
        <v>33019</v>
      </c>
      <c r="AX115" s="622" t="s">
        <v>36</v>
      </c>
      <c r="AZ115" s="622">
        <v>7.02</v>
      </c>
      <c r="BA115" s="625" t="s">
        <v>63</v>
      </c>
      <c r="BF115" s="1837"/>
      <c r="BG115" s="1837"/>
      <c r="BK115" s="1356" t="s">
        <v>734</v>
      </c>
      <c r="BL115" s="1356" t="s">
        <v>1602</v>
      </c>
      <c r="BM115" s="1367" t="s">
        <v>1605</v>
      </c>
      <c r="BN115" s="1361"/>
      <c r="BO115" s="1360"/>
      <c r="BP115" s="1358"/>
      <c r="BQ115" s="1358"/>
      <c r="BR115" s="1358"/>
      <c r="BS115" s="1360"/>
    </row>
    <row r="116" spans="1:71" ht="14.5" customHeight="1">
      <c r="A116" s="1802">
        <v>33607</v>
      </c>
      <c r="B116" s="622" t="s">
        <v>63</v>
      </c>
      <c r="E116" s="1"/>
      <c r="F116" s="622">
        <v>113.01</v>
      </c>
      <c r="G116" s="625" t="s">
        <v>44</v>
      </c>
      <c r="L116" s="626">
        <v>671</v>
      </c>
      <c r="M116" s="626" t="s">
        <v>35</v>
      </c>
      <c r="N116" s="203"/>
      <c r="O116" s="627" t="str">
        <f t="array" ref="O116">IFERROR(IF($O$21="Metro",INDEX($F$23:$F$748,SMALL(IF((County=$G$23:$G$748),MATCH(ROW($G$23:$G$748),ROW($G$23:$G$748)),""),ROWS($A$23:A116))),INDEX($I$23:$I$52,SMALL(IF((County=$J$23:$J$52),MATCH(ROW($J$23:$J$52),ROW($J$23:$J$52)),""),ROWS($A$23:A116)))),"")</f>
        <v/>
      </c>
      <c r="Q116" s="627" t="str">
        <f t="array" ref="Q116">IFERROR(IF($Q$21="Yes",INDEX($L$23:$L$2323,SMALL(IF((County=$M$23:$M$2323),MATCH(ROW($M$23:$M$2323),ROW($M$23:$M$2323)),""),ROWS($A$23:A116))),""),"")</f>
        <v/>
      </c>
      <c r="S116" s="623">
        <v>33031</v>
      </c>
      <c r="T116" s="622" t="s">
        <v>78</v>
      </c>
      <c r="V116" s="622">
        <v>9.01</v>
      </c>
      <c r="W116" s="625" t="s">
        <v>63</v>
      </c>
      <c r="AB116" s="626">
        <v>6.04</v>
      </c>
      <c r="AC116" s="626" t="s">
        <v>77</v>
      </c>
      <c r="AE116" s="1802">
        <v>33607</v>
      </c>
      <c r="AF116" s="622" t="s">
        <v>63</v>
      </c>
      <c r="AI116" s="1376"/>
      <c r="AJ116" s="622">
        <v>4514</v>
      </c>
      <c r="AK116" s="625" t="s">
        <v>42</v>
      </c>
      <c r="AP116" s="1837"/>
      <c r="AQ116" s="1837"/>
      <c r="AS116" s="627" t="str">
        <f t="array" ref="AS116">IFERROR(IF($O$21="Metro",INDEX($AJ$23:$AJ$748,SMALL(IF((County=$AK$23:$AK$748),MATCH(ROW($AK$23:$AK$748),ROW($AK$23:$AK$748)),""),ROWS($A$23:$A116))),INDEX($AM$23:$AM$58,SMALL(IF((County=$AN$23:$AN$58),MATCH(ROW($AN$23:$AN$58),ROW($AN$23:$AN$58)),""),ROWS($A$23:$A116)))),"")</f>
        <v/>
      </c>
      <c r="AU116" s="627" t="str">
        <f t="array" ref="AU116">IFERROR(IF($Q$21="Yes",INDEX($AP$23:$AP$2323,SMALL(IF((County=$AQ$23:$AQ$2323),MATCH(ROW($AQ$23:$AQ$2323),ROW($AQ$23:$AQ$2323)),""),ROWS($A$23:$A116))),""),"")</f>
        <v/>
      </c>
      <c r="AW116" s="1802">
        <v>33021</v>
      </c>
      <c r="AX116" s="622" t="s">
        <v>36</v>
      </c>
      <c r="AZ116" s="622">
        <v>7.04</v>
      </c>
      <c r="BA116" s="625" t="s">
        <v>75</v>
      </c>
      <c r="BF116" s="1837"/>
      <c r="BG116" s="1837"/>
      <c r="BI116" s="1357"/>
      <c r="BJ116" s="1357"/>
      <c r="BK116" s="1356" t="s">
        <v>734</v>
      </c>
      <c r="BL116" s="1368" t="s">
        <v>1603</v>
      </c>
      <c r="BM116" s="1367" t="s">
        <v>1605</v>
      </c>
      <c r="BN116" s="1361"/>
      <c r="BO116" s="1360"/>
      <c r="BP116" s="1358"/>
      <c r="BQ116" s="1358"/>
      <c r="BR116" s="1358"/>
      <c r="BS116" s="1360"/>
    </row>
    <row r="117" spans="1:71" ht="14.5" customHeight="1">
      <c r="A117" s="1802">
        <v>33609</v>
      </c>
      <c r="B117" s="622" t="s">
        <v>63</v>
      </c>
      <c r="E117" s="1"/>
      <c r="F117" s="622">
        <v>113.02</v>
      </c>
      <c r="G117" s="625" t="s">
        <v>44</v>
      </c>
      <c r="L117" s="626">
        <v>681.02</v>
      </c>
      <c r="M117" s="626" t="s">
        <v>35</v>
      </c>
      <c r="N117" s="203"/>
      <c r="O117" s="627" t="str">
        <f t="array" ref="O117">IFERROR(IF($O$21="Metro",INDEX($F$23:$F$748,SMALL(IF((County=$G$23:$G$748),MATCH(ROW($G$23:$G$748),ROW($G$23:$G$748)),""),ROWS($A$23:A117))),INDEX($I$23:$I$52,SMALL(IF((County=$J$23:$J$52),MATCH(ROW($J$23:$J$52),ROW($J$23:$J$52)),""),ROWS($A$23:A117)))),"")</f>
        <v/>
      </c>
      <c r="Q117" s="627" t="str">
        <f t="array" ref="Q117">IFERROR(IF($Q$21="Yes",INDEX($L$23:$L$2323,SMALL(IF((County=$M$23:$M$2323),MATCH(ROW($M$23:$M$2323),ROW($M$23:$M$2323)),""),ROWS($A$23:A117))),""),"")</f>
        <v/>
      </c>
      <c r="S117" s="623">
        <v>33035</v>
      </c>
      <c r="T117" s="622" t="s">
        <v>78</v>
      </c>
      <c r="V117" s="622">
        <v>9.02</v>
      </c>
      <c r="W117" s="625" t="s">
        <v>63</v>
      </c>
      <c r="AB117" s="626">
        <v>6.04</v>
      </c>
      <c r="AC117" s="626" t="s">
        <v>78</v>
      </c>
      <c r="AE117" s="1802">
        <v>33609</v>
      </c>
      <c r="AF117" s="622" t="s">
        <v>63</v>
      </c>
      <c r="AI117" s="1376"/>
      <c r="AJ117" s="622">
        <v>304</v>
      </c>
      <c r="AK117" s="625" t="s">
        <v>43</v>
      </c>
      <c r="AP117" s="1837"/>
      <c r="AQ117" s="1837"/>
      <c r="AS117" s="627" t="str">
        <f t="array" ref="AS117">IFERROR(IF($O$21="Metro",INDEX($AJ$23:$AJ$748,SMALL(IF((County=$AK$23:$AK$748),MATCH(ROW($AK$23:$AK$748),ROW($AK$23:$AK$748)),""),ROWS($A$23:$A117))),INDEX($AM$23:$AM$58,SMALL(IF((County=$AN$23:$AN$58),MATCH(ROW($AN$23:$AN$58),ROW($AN$23:$AN$58)),""),ROWS($A$23:$A117)))),"")</f>
        <v/>
      </c>
      <c r="AU117" s="627" t="str">
        <f t="array" ref="AU117">IFERROR(IF($Q$21="Yes",INDEX($AP$23:$AP$2323,SMALL(IF((County=$AQ$23:$AQ$2323),MATCH(ROW($AQ$23:$AQ$2323),ROW($AQ$23:$AQ$2323)),""),ROWS($A$23:$A117))),""),"")</f>
        <v/>
      </c>
      <c r="AW117" s="1802">
        <v>33025</v>
      </c>
      <c r="AX117" s="622" t="s">
        <v>36</v>
      </c>
      <c r="AZ117" s="622">
        <v>7.05</v>
      </c>
      <c r="BA117" s="625" t="s">
        <v>75</v>
      </c>
      <c r="BF117" s="1837"/>
      <c r="BG117" s="1837"/>
      <c r="BI117" s="1357"/>
      <c r="BJ117" s="1357"/>
      <c r="BK117" s="1356" t="s">
        <v>734</v>
      </c>
      <c r="BL117" s="1371" t="s">
        <v>1604</v>
      </c>
      <c r="BM117" s="1367" t="s">
        <v>1605</v>
      </c>
      <c r="BN117" s="1361"/>
      <c r="BO117" s="1360"/>
      <c r="BP117" s="1358"/>
      <c r="BQ117" s="1358"/>
      <c r="BR117" s="1358"/>
      <c r="BS117" s="1360"/>
    </row>
    <row r="118" spans="1:71" ht="14.5" customHeight="1">
      <c r="A118" s="1802">
        <v>33611</v>
      </c>
      <c r="B118" s="622" t="s">
        <v>63</v>
      </c>
      <c r="E118" s="1"/>
      <c r="F118" s="622">
        <v>114</v>
      </c>
      <c r="G118" s="625" t="s">
        <v>44</v>
      </c>
      <c r="L118" s="626">
        <v>682</v>
      </c>
      <c r="M118" s="626" t="s">
        <v>35</v>
      </c>
      <c r="N118" s="203"/>
      <c r="O118" s="627" t="str">
        <f t="array" ref="O118">IFERROR(IF($O$21="Metro",INDEX($F$23:$F$748,SMALL(IF((County=$G$23:$G$748),MATCH(ROW($G$23:$G$748),ROW($G$23:$G$748)),""),ROWS($A$23:A118))),INDEX($I$23:$I$52,SMALL(IF((County=$J$23:$J$52),MATCH(ROW($J$23:$J$52),ROW($J$23:$J$52)),""),ROWS($A$23:A118)))),"")</f>
        <v/>
      </c>
      <c r="Q118" s="627" t="str">
        <f t="array" ref="Q118">IFERROR(IF($Q$21="Yes",INDEX($L$23:$L$2323,SMALL(IF((County=$M$23:$M$2323),MATCH(ROW($M$23:$M$2323),ROW($M$23:$M$2323)),""),ROWS($A$23:A118))),""),"")</f>
        <v/>
      </c>
      <c r="S118" s="623">
        <v>33055</v>
      </c>
      <c r="T118" s="622" t="s">
        <v>78</v>
      </c>
      <c r="V118" s="622">
        <v>9.02</v>
      </c>
      <c r="W118" s="625" t="s">
        <v>78</v>
      </c>
      <c r="AB118" s="626">
        <v>6.06</v>
      </c>
      <c r="AC118" s="626" t="s">
        <v>77</v>
      </c>
      <c r="AE118" s="1802">
        <v>33611</v>
      </c>
      <c r="AF118" s="622" t="s">
        <v>63</v>
      </c>
      <c r="AI118" s="1376"/>
      <c r="AJ118" s="622">
        <v>104.2</v>
      </c>
      <c r="AK118" s="625" t="s">
        <v>44</v>
      </c>
      <c r="AP118" s="1837"/>
      <c r="AQ118" s="1837"/>
      <c r="AS118" s="627" t="str">
        <f t="array" ref="AS118">IFERROR(IF($O$21="Metro",INDEX($AJ$23:$AJ$748,SMALL(IF((County=$AK$23:$AK$748),MATCH(ROW($AK$23:$AK$748),ROW($AK$23:$AK$748)),""),ROWS($A$23:$A118))),INDEX($AM$23:$AM$58,SMALL(IF((County=$AN$23:$AN$58),MATCH(ROW($AN$23:$AN$58),ROW($AN$23:$AN$58)),""),ROWS($A$23:$A118)))),"")</f>
        <v/>
      </c>
      <c r="AU118" s="627" t="str">
        <f t="array" ref="AU118">IFERROR(IF($Q$21="Yes",INDEX($AP$23:$AP$2323,SMALL(IF((County=$AQ$23:$AQ$2323),MATCH(ROW($AQ$23:$AQ$2323),ROW($AQ$23:$AQ$2323)),""),ROWS($A$23:$A118))),""),"")</f>
        <v/>
      </c>
      <c r="AW118" s="1802">
        <v>33026</v>
      </c>
      <c r="AX118" s="622" t="s">
        <v>36</v>
      </c>
      <c r="AZ118" s="622">
        <v>7.05</v>
      </c>
      <c r="BA118" s="625" t="s">
        <v>78</v>
      </c>
      <c r="BF118" s="1837"/>
      <c r="BG118" s="1837"/>
      <c r="BI118" s="1356"/>
      <c r="BJ118" s="1356" t="s">
        <v>1615</v>
      </c>
      <c r="BK118" s="1356" t="s">
        <v>737</v>
      </c>
      <c r="BL118" s="1356" t="s">
        <v>1606</v>
      </c>
      <c r="BM118" s="1367" t="s">
        <v>1612</v>
      </c>
      <c r="BN118" s="1361"/>
      <c r="BO118" s="1362"/>
      <c r="BP118" s="1358"/>
      <c r="BQ118" s="1358"/>
      <c r="BR118" s="1358"/>
      <c r="BS118" s="1360"/>
    </row>
    <row r="119" spans="1:71" ht="14.5" customHeight="1">
      <c r="A119" s="1802">
        <v>33615</v>
      </c>
      <c r="B119" s="622" t="s">
        <v>63</v>
      </c>
      <c r="E119" s="1"/>
      <c r="F119" s="622">
        <v>1</v>
      </c>
      <c r="G119" s="622" t="s">
        <v>49</v>
      </c>
      <c r="L119" s="626">
        <v>683</v>
      </c>
      <c r="M119" s="626" t="s">
        <v>35</v>
      </c>
      <c r="N119" s="203"/>
      <c r="O119" s="627" t="str">
        <f t="array" ref="O119">IFERROR(IF($O$21="Metro",INDEX($F$23:$F$748,SMALL(IF((County=$G$23:$G$748),MATCH(ROW($G$23:$G$748),ROW($G$23:$G$748)),""),ROWS($A$23:A119))),INDEX($I$23:$I$52,SMALL(IF((County=$J$23:$J$52),MATCH(ROW($J$23:$J$52),ROW($J$23:$J$52)),""),ROWS($A$23:A119)))),"")</f>
        <v/>
      </c>
      <c r="Q119" s="627" t="str">
        <f t="array" ref="Q119">IFERROR(IF($Q$21="Yes",INDEX($L$23:$L$2323,SMALL(IF((County=$M$23:$M$2323),MATCH(ROW($M$23:$M$2323),ROW($M$23:$M$2323)),""),ROWS($A$23:A119))),""),"")</f>
        <v/>
      </c>
      <c r="S119" s="623">
        <v>33062</v>
      </c>
      <c r="T119" s="622" t="s">
        <v>36</v>
      </c>
      <c r="V119" s="622">
        <v>9.0299999999999994</v>
      </c>
      <c r="W119" s="625" t="s">
        <v>78</v>
      </c>
      <c r="AB119" s="626">
        <v>6.07</v>
      </c>
      <c r="AC119" s="626" t="s">
        <v>77</v>
      </c>
      <c r="AE119" s="1802">
        <v>33615</v>
      </c>
      <c r="AF119" s="622" t="s">
        <v>63</v>
      </c>
      <c r="AI119" s="1376"/>
      <c r="AJ119" s="622">
        <v>107.01</v>
      </c>
      <c r="AK119" s="622" t="s">
        <v>44</v>
      </c>
      <c r="AP119" s="1837"/>
      <c r="AQ119" s="1837"/>
      <c r="AS119" s="627" t="str">
        <f t="array" ref="AS119">IFERROR(IF($O$21="Metro",INDEX($AJ$23:$AJ$748,SMALL(IF((County=$AK$23:$AK$748),MATCH(ROW($AK$23:$AK$748),ROW($AK$23:$AK$748)),""),ROWS($A$23:$A119))),INDEX($AM$23:$AM$58,SMALL(IF((County=$AN$23:$AN$58),MATCH(ROW($AN$23:$AN$58),ROW($AN$23:$AN$58)),""),ROWS($A$23:$A119)))),"")</f>
        <v/>
      </c>
      <c r="AU119" s="627" t="str">
        <f t="array" ref="AU119">IFERROR(IF($Q$21="Yes",INDEX($AP$23:$AP$2323,SMALL(IF((County=$AQ$23:$AQ$2323),MATCH(ROW($AQ$23:$AQ$2323),ROW($AQ$23:$AQ$2323)),""),ROWS($A$23:$A119))),""),"")</f>
        <v/>
      </c>
      <c r="AW119" s="1802">
        <v>33027</v>
      </c>
      <c r="AX119" s="622" t="s">
        <v>36</v>
      </c>
      <c r="AZ119" s="622">
        <v>7.1</v>
      </c>
      <c r="BA119" s="625" t="s">
        <v>78</v>
      </c>
      <c r="BF119" s="1837"/>
      <c r="BG119" s="1837"/>
      <c r="BI119" s="1357"/>
      <c r="BJ119" s="1356" t="s">
        <v>1615</v>
      </c>
      <c r="BK119" s="1356" t="s">
        <v>737</v>
      </c>
      <c r="BL119" s="1356" t="s">
        <v>1607</v>
      </c>
      <c r="BM119" s="1367" t="s">
        <v>1612</v>
      </c>
      <c r="BN119" s="1361"/>
      <c r="BO119" s="1361"/>
      <c r="BP119" s="1358"/>
      <c r="BQ119" s="1358"/>
      <c r="BR119" s="1358"/>
      <c r="BS119" s="1360"/>
    </row>
    <row r="120" spans="1:71" ht="14.5" customHeight="1">
      <c r="A120" s="1802">
        <v>33616</v>
      </c>
      <c r="B120" s="622" t="s">
        <v>63</v>
      </c>
      <c r="E120" s="1"/>
      <c r="F120" s="622">
        <v>2</v>
      </c>
      <c r="G120" s="622" t="s">
        <v>49</v>
      </c>
      <c r="L120" s="626">
        <v>684</v>
      </c>
      <c r="M120" s="626" t="s">
        <v>35</v>
      </c>
      <c r="N120" s="203"/>
      <c r="O120" s="627" t="str">
        <f t="array" ref="O120">IFERROR(IF($O$21="Metro",INDEX($F$23:$F$748,SMALL(IF((County=$G$23:$G$748),MATCH(ROW($G$23:$G$748),ROW($G$23:$G$748)),""),ROWS($A$23:A120))),INDEX($I$23:$I$52,SMALL(IF((County=$J$23:$J$52),MATCH(ROW($J$23:$J$52),ROW($J$23:$J$52)),""),ROWS($A$23:A120)))),"")</f>
        <v/>
      </c>
      <c r="Q120" s="627" t="str">
        <f t="array" ref="Q120">IFERROR(IF($Q$21="Yes",INDEX($L$23:$L$2323,SMALL(IF((County=$M$23:$M$2323),MATCH(ROW($M$23:$M$2323),ROW($M$23:$M$2323)),""),ROWS($A$23:A120))),""),"")</f>
        <v/>
      </c>
      <c r="S120" s="623">
        <v>33063</v>
      </c>
      <c r="T120" s="622" t="s">
        <v>36</v>
      </c>
      <c r="V120" s="622">
        <v>10</v>
      </c>
      <c r="W120" s="625" t="s">
        <v>32</v>
      </c>
      <c r="AB120" s="626">
        <v>6.1</v>
      </c>
      <c r="AC120" s="626" t="s">
        <v>77</v>
      </c>
      <c r="AE120" s="1802">
        <v>33616</v>
      </c>
      <c r="AF120" s="622" t="s">
        <v>63</v>
      </c>
      <c r="AI120" s="1376"/>
      <c r="AJ120" s="622">
        <v>111.03</v>
      </c>
      <c r="AK120" s="622" t="s">
        <v>44</v>
      </c>
      <c r="AP120" s="1837"/>
      <c r="AQ120" s="1837"/>
      <c r="AS120" s="627" t="str">
        <f t="array" ref="AS120">IFERROR(IF($O$21="Metro",INDEX($AJ$23:$AJ$748,SMALL(IF((County=$AK$23:$AK$748),MATCH(ROW($AK$23:$AK$748),ROW($AK$23:$AK$748)),""),ROWS($A$23:$A120))),INDEX($AM$23:$AM$58,SMALL(IF((County=$AN$23:$AN$58),MATCH(ROW($AN$23:$AN$58),ROW($AN$23:$AN$58)),""),ROWS($A$23:$A120)))),"")</f>
        <v/>
      </c>
      <c r="AU120" s="627" t="str">
        <f t="array" ref="AU120">IFERROR(IF($Q$21="Yes",INDEX($AP$23:$AP$2323,SMALL(IF((County=$AQ$23:$AQ$2323),MATCH(ROW($AQ$23:$AQ$2323),ROW($AQ$23:$AQ$2323)),""),ROWS($A$23:$A120))),""),"")</f>
        <v/>
      </c>
      <c r="AW120" s="1802">
        <v>33028</v>
      </c>
      <c r="AX120" s="622" t="s">
        <v>36</v>
      </c>
      <c r="AZ120" s="622">
        <v>7.11</v>
      </c>
      <c r="BA120" s="625" t="s">
        <v>78</v>
      </c>
      <c r="BF120" s="1837"/>
      <c r="BG120" s="1837"/>
      <c r="BI120" s="1357"/>
      <c r="BJ120" s="1356" t="s">
        <v>1615</v>
      </c>
      <c r="BK120" s="1356" t="s">
        <v>737</v>
      </c>
      <c r="BL120" s="1356" t="s">
        <v>1608</v>
      </c>
      <c r="BM120" s="1367" t="s">
        <v>1605</v>
      </c>
      <c r="BN120" s="1361"/>
      <c r="BO120" s="1362"/>
      <c r="BP120" s="1358"/>
      <c r="BQ120" s="1358"/>
      <c r="BR120" s="1358"/>
      <c r="BS120" s="1360"/>
    </row>
    <row r="121" spans="1:71" ht="14.5" customHeight="1">
      <c r="A121" s="1802">
        <v>33618</v>
      </c>
      <c r="B121" s="622" t="s">
        <v>63</v>
      </c>
      <c r="E121" s="1"/>
      <c r="F121" s="622">
        <v>3</v>
      </c>
      <c r="G121" s="622" t="s">
        <v>49</v>
      </c>
      <c r="L121" s="626">
        <v>685.01</v>
      </c>
      <c r="M121" s="626" t="s">
        <v>35</v>
      </c>
      <c r="N121" s="203"/>
      <c r="O121" s="627" t="str">
        <f t="array" ref="O121">IFERROR(IF($O$21="Metro",INDEX($F$23:$F$748,SMALL(IF((County=$G$23:$G$748),MATCH(ROW($G$23:$G$748),ROW($G$23:$G$748)),""),ROWS($A$23:A121))),INDEX($I$23:$I$52,SMALL(IF((County=$J$23:$J$52),MATCH(ROW($J$23:$J$52),ROW($J$23:$J$52)),""),ROWS($A$23:A121)))),"")</f>
        <v/>
      </c>
      <c r="Q121" s="627" t="str">
        <f t="array" ref="Q121">IFERROR(IF($Q$21="Yes",INDEX($L$23:$L$2323,SMALL(IF((County=$M$23:$M$2323),MATCH(ROW($M$23:$M$2323),ROW($M$23:$M$2323)),""),ROWS($A$23:A121))),""),"")</f>
        <v/>
      </c>
      <c r="S121" s="623">
        <v>33067</v>
      </c>
      <c r="T121" s="622" t="s">
        <v>36</v>
      </c>
      <c r="V121" s="622">
        <v>10</v>
      </c>
      <c r="W121" s="622" t="s">
        <v>49</v>
      </c>
      <c r="AB121" s="626">
        <v>7</v>
      </c>
      <c r="AC121" s="626" t="s">
        <v>32</v>
      </c>
      <c r="AE121" s="1802">
        <v>33621</v>
      </c>
      <c r="AF121" s="622" t="s">
        <v>63</v>
      </c>
      <c r="AI121" s="1376"/>
      <c r="AJ121" s="622">
        <v>112.04</v>
      </c>
      <c r="AK121" s="622" t="s">
        <v>44</v>
      </c>
      <c r="AP121" s="1837"/>
      <c r="AQ121" s="1837"/>
      <c r="AS121" s="627" t="str">
        <f t="array" ref="AS121">IFERROR(IF($O$21="Metro",INDEX($AJ$23:$AJ$748,SMALL(IF((County=$AK$23:$AK$748),MATCH(ROW($AK$23:$AK$748),ROW($AK$23:$AK$748)),""),ROWS($A$23:$A121))),INDEX($AM$23:$AM$58,SMALL(IF((County=$AN$23:$AN$58),MATCH(ROW($AN$23:$AN$58),ROW($AN$23:$AN$58)),""),ROWS($A$23:$A121)))),"")</f>
        <v/>
      </c>
      <c r="AU121" s="627" t="str">
        <f t="array" ref="AU121">IFERROR(IF($Q$21="Yes",INDEX($AP$23:$AP$2323,SMALL(IF((County=$AQ$23:$AQ$2323),MATCH(ROW($AQ$23:$AQ$2323),ROW($AQ$23:$AQ$2323)),""),ROWS($A$23:$A121))),""),"")</f>
        <v/>
      </c>
      <c r="AW121" s="1802">
        <v>33029</v>
      </c>
      <c r="AX121" s="622" t="s">
        <v>36</v>
      </c>
      <c r="AZ121" s="622">
        <v>7.12</v>
      </c>
      <c r="BA121" s="625" t="s">
        <v>78</v>
      </c>
      <c r="BF121" s="1837"/>
      <c r="BG121" s="1837"/>
      <c r="BI121" s="1357"/>
      <c r="BJ121" s="1356" t="s">
        <v>1615</v>
      </c>
      <c r="BK121" s="1356" t="s">
        <v>737</v>
      </c>
      <c r="BL121" s="1356" t="s">
        <v>1609</v>
      </c>
      <c r="BM121" s="1356" t="s">
        <v>1613</v>
      </c>
      <c r="BN121" s="1361"/>
      <c r="BO121" s="1361"/>
      <c r="BP121" s="1358"/>
      <c r="BQ121" s="1358"/>
      <c r="BR121" s="1358"/>
      <c r="BS121" s="1360"/>
    </row>
    <row r="122" spans="1:71" ht="14.5" customHeight="1">
      <c r="A122" s="1802">
        <v>33621</v>
      </c>
      <c r="B122" s="622" t="s">
        <v>63</v>
      </c>
      <c r="E122" s="1"/>
      <c r="F122" s="622">
        <v>6</v>
      </c>
      <c r="G122" s="622" t="s">
        <v>49</v>
      </c>
      <c r="L122" s="626">
        <v>685.02</v>
      </c>
      <c r="M122" s="626" t="s">
        <v>35</v>
      </c>
      <c r="N122" s="203"/>
      <c r="O122" s="627" t="str">
        <f t="array" ref="O122">IFERROR(IF($O$21="Metro",INDEX($F$23:$F$748,SMALL(IF((County=$G$23:$G$748),MATCH(ROW($G$23:$G$748),ROW($G$23:$G$748)),""),ROWS($A$23:A122))),INDEX($I$23:$I$52,SMALL(IF((County=$J$23:$J$52),MATCH(ROW($J$23:$J$52),ROW($J$23:$J$52)),""),ROWS($A$23:A122)))),"")</f>
        <v/>
      </c>
      <c r="Q122" s="627" t="str">
        <f t="array" ref="Q122">IFERROR(IF($Q$21="Yes",INDEX($L$23:$L$2323,SMALL(IF((County=$M$23:$M$2323),MATCH(ROW($M$23:$M$2323),ROW($M$23:$M$2323)),""),ROWS($A$23:A122))),""),"")</f>
        <v/>
      </c>
      <c r="S122" s="623">
        <v>33071</v>
      </c>
      <c r="T122" s="622" t="s">
        <v>36</v>
      </c>
      <c r="V122" s="622">
        <v>10</v>
      </c>
      <c r="W122" s="625" t="s">
        <v>96</v>
      </c>
      <c r="AB122" s="626">
        <v>7</v>
      </c>
      <c r="AC122" s="626" t="s">
        <v>49</v>
      </c>
      <c r="AE122" s="1802">
        <v>33624</v>
      </c>
      <c r="AF122" s="622" t="s">
        <v>63</v>
      </c>
      <c r="AI122" s="1376"/>
      <c r="AJ122" s="622">
        <v>112.05</v>
      </c>
      <c r="AK122" s="622" t="s">
        <v>44</v>
      </c>
      <c r="AP122" s="1837"/>
      <c r="AQ122" s="1837"/>
      <c r="AS122" s="627" t="str">
        <f t="array" ref="AS122">IFERROR(IF($O$21="Metro",INDEX($AJ$23:$AJ$748,SMALL(IF((County=$AK$23:$AK$748),MATCH(ROW($AK$23:$AK$748),ROW($AK$23:$AK$748)),""),ROWS($A$23:$A122))),INDEX($AM$23:$AM$58,SMALL(IF((County=$AN$23:$AN$58),MATCH(ROW($AN$23:$AN$58),ROW($AN$23:$AN$58)),""),ROWS($A$23:$A122)))),"")</f>
        <v/>
      </c>
      <c r="AU122" s="627" t="str">
        <f t="array" ref="AU122">IFERROR(IF($Q$21="Yes",INDEX($AP$23:$AP$2323,SMALL(IF((County=$AQ$23:$AQ$2323),MATCH(ROW($AQ$23:$AQ$2323),ROW($AQ$23:$AQ$2323)),""),ROWS($A$23:$A122))),""),"")</f>
        <v/>
      </c>
      <c r="AW122" s="1802">
        <v>33035</v>
      </c>
      <c r="AX122" s="622" t="s">
        <v>78</v>
      </c>
      <c r="AZ122" s="622">
        <v>7.13</v>
      </c>
      <c r="BA122" s="625" t="s">
        <v>78</v>
      </c>
      <c r="BF122" s="1837"/>
      <c r="BG122" s="1837"/>
      <c r="BI122" s="1357"/>
      <c r="BJ122" s="1356" t="s">
        <v>1615</v>
      </c>
      <c r="BK122" s="1356" t="s">
        <v>737</v>
      </c>
      <c r="BL122" s="1356" t="s">
        <v>1610</v>
      </c>
      <c r="BM122" s="1356" t="s">
        <v>1613</v>
      </c>
      <c r="BN122" s="1359"/>
      <c r="BO122" s="1360"/>
      <c r="BP122" s="1358"/>
      <c r="BQ122" s="1358"/>
      <c r="BR122" s="1358"/>
      <c r="BS122" s="1360"/>
    </row>
    <row r="123" spans="1:71" ht="14.5" customHeight="1">
      <c r="A123" s="1802">
        <v>33624</v>
      </c>
      <c r="B123" s="622" t="s">
        <v>63</v>
      </c>
      <c r="E123" s="1"/>
      <c r="F123" s="622">
        <v>10</v>
      </c>
      <c r="G123" s="622" t="s">
        <v>49</v>
      </c>
      <c r="L123" s="626">
        <v>686.01</v>
      </c>
      <c r="M123" s="626" t="s">
        <v>35</v>
      </c>
      <c r="N123" s="203"/>
      <c r="O123" s="627" t="str">
        <f t="array" ref="O123">IFERROR(IF($O$21="Metro",INDEX($F$23:$F$748,SMALL(IF((County=$G$23:$G$748),MATCH(ROW($G$23:$G$748),ROW($G$23:$G$748)),""),ROWS($A$23:A123))),INDEX($I$23:$I$52,SMALL(IF((County=$J$23:$J$52),MATCH(ROW($J$23:$J$52),ROW($J$23:$J$52)),""),ROWS($A$23:A123)))),"")</f>
        <v/>
      </c>
      <c r="Q123" s="627" t="str">
        <f t="array" ref="Q123">IFERROR(IF($Q$21="Yes",INDEX($L$23:$L$2323,SMALL(IF((County=$M$23:$M$2323),MATCH(ROW($M$23:$M$2323),ROW($M$23:$M$2323)),""),ROWS($A$23:A123))),""),"")</f>
        <v/>
      </c>
      <c r="S123" s="623">
        <v>33073</v>
      </c>
      <c r="T123" s="622" t="s">
        <v>36</v>
      </c>
      <c r="V123" s="622">
        <v>10.01</v>
      </c>
      <c r="W123" s="625" t="s">
        <v>63</v>
      </c>
      <c r="AB123" s="626">
        <v>7</v>
      </c>
      <c r="AC123" s="626" t="s">
        <v>71</v>
      </c>
      <c r="AE123" s="1802">
        <v>33625</v>
      </c>
      <c r="AF123" s="622" t="s">
        <v>63</v>
      </c>
      <c r="AI123" s="1376"/>
      <c r="AJ123" s="622">
        <v>113.03</v>
      </c>
      <c r="AK123" s="622" t="s">
        <v>44</v>
      </c>
      <c r="AP123" s="1837"/>
      <c r="AQ123" s="1837"/>
      <c r="AS123" s="627" t="str">
        <f t="array" ref="AS123">IFERROR(IF($O$21="Metro",INDEX($AJ$23:$AJ$748,SMALL(IF((County=$AK$23:$AK$748),MATCH(ROW($AK$23:$AK$748),ROW($AK$23:$AK$748)),""),ROWS($A$23:$A123))),INDEX($AM$23:$AM$58,SMALL(IF((County=$AN$23:$AN$58),MATCH(ROW($AN$23:$AN$58),ROW($AN$23:$AN$58)),""),ROWS($A$23:$A123)))),"")</f>
        <v/>
      </c>
      <c r="AU123" s="627" t="str">
        <f t="array" ref="AU123">IFERROR(IF($Q$21="Yes",INDEX($AP$23:$AP$2323,SMALL(IF((County=$AQ$23:$AQ$2323),MATCH(ROW($AQ$23:$AQ$2323),ROW($AQ$23:$AQ$2323)),""),ROWS($A$23:$A123))),""),"")</f>
        <v/>
      </c>
      <c r="AW123" s="1802">
        <v>33055</v>
      </c>
      <c r="AX123" s="622" t="s">
        <v>78</v>
      </c>
      <c r="AZ123" s="622">
        <v>7.14</v>
      </c>
      <c r="BA123" s="625" t="s">
        <v>78</v>
      </c>
      <c r="BF123" s="1837"/>
      <c r="BG123" s="1837"/>
      <c r="BI123" s="1357"/>
      <c r="BJ123" s="1356" t="s">
        <v>1615</v>
      </c>
      <c r="BK123" s="1356" t="s">
        <v>737</v>
      </c>
      <c r="BL123" s="1369" t="s">
        <v>1611</v>
      </c>
      <c r="BM123" s="1356" t="s">
        <v>1616</v>
      </c>
      <c r="BN123" s="1361"/>
      <c r="BO123" s="1361"/>
      <c r="BP123" s="1358"/>
      <c r="BQ123" s="1358"/>
      <c r="BR123" s="1358"/>
      <c r="BS123" s="1360"/>
    </row>
    <row r="124" spans="1:71" ht="14.5" customHeight="1">
      <c r="A124" s="1802">
        <v>33625</v>
      </c>
      <c r="B124" s="622" t="s">
        <v>63</v>
      </c>
      <c r="E124" s="1"/>
      <c r="F124" s="622">
        <v>12</v>
      </c>
      <c r="G124" s="622" t="s">
        <v>49</v>
      </c>
      <c r="L124" s="626">
        <v>686.02</v>
      </c>
      <c r="M124" s="626" t="s">
        <v>35</v>
      </c>
      <c r="N124" s="203"/>
      <c r="O124" s="627" t="str">
        <f t="array" ref="O124">IFERROR(IF($O$21="Metro",INDEX($F$23:$F$748,SMALL(IF((County=$G$23:$G$748),MATCH(ROW($G$23:$G$748),ROW($G$23:$G$748)),""),ROWS($A$23:A124))),INDEX($I$23:$I$52,SMALL(IF((County=$J$23:$J$52),MATCH(ROW($J$23:$J$52),ROW($J$23:$J$52)),""),ROWS($A$23:A124)))),"")</f>
        <v/>
      </c>
      <c r="Q124" s="627" t="str">
        <f t="array" ref="Q124">IFERROR(IF($Q$21="Yes",INDEX($L$23:$L$2323,SMALL(IF((County=$M$23:$M$2323),MATCH(ROW($M$23:$M$2323),ROW($M$23:$M$2323)),""),ROWS($A$23:A124))),""),"")</f>
        <v/>
      </c>
      <c r="S124" s="623">
        <v>33076</v>
      </c>
      <c r="T124" s="622" t="s">
        <v>36</v>
      </c>
      <c r="V124" s="622">
        <v>10.01</v>
      </c>
      <c r="W124" s="625" t="s">
        <v>71</v>
      </c>
      <c r="AB124" s="626">
        <v>7</v>
      </c>
      <c r="AC124" s="626" t="s">
        <v>96</v>
      </c>
      <c r="AE124" s="1802">
        <v>33626</v>
      </c>
      <c r="AF124" s="622" t="s">
        <v>63</v>
      </c>
      <c r="AI124" s="1376"/>
      <c r="AJ124" s="622">
        <v>113.04</v>
      </c>
      <c r="AK124" s="622" t="s">
        <v>44</v>
      </c>
      <c r="AP124" s="1837"/>
      <c r="AQ124" s="1837"/>
      <c r="AS124" s="627" t="str">
        <f t="array" ref="AS124">IFERROR(IF($O$21="Metro",INDEX($AJ$23:$AJ$748,SMALL(IF((County=$AK$23:$AK$748),MATCH(ROW($AK$23:$AK$748),ROW($AK$23:$AK$748)),""),ROWS($A$23:$A124))),INDEX($AM$23:$AM$58,SMALL(IF((County=$AN$23:$AN$58),MATCH(ROW($AN$23:$AN$58),ROW($AN$23:$AN$58)),""),ROWS($A$23:$A124)))),"")</f>
        <v/>
      </c>
      <c r="AU124" s="627" t="str">
        <f t="array" ref="AU124">IFERROR(IF($Q$21="Yes",INDEX($AP$23:$AP$2323,SMALL(IF((County=$AQ$23:$AQ$2323),MATCH(ROW($AQ$23:$AQ$2323),ROW($AQ$23:$AQ$2323)),""),ROWS($A$23:$A124))),""),"")</f>
        <v/>
      </c>
      <c r="AW124" s="1802">
        <v>33062</v>
      </c>
      <c r="AX124" s="622" t="s">
        <v>36</v>
      </c>
      <c r="AZ124" s="622">
        <v>7.15</v>
      </c>
      <c r="BA124" s="625" t="s">
        <v>78</v>
      </c>
      <c r="BF124" s="1837"/>
      <c r="BG124" s="1837"/>
      <c r="BI124" s="1357"/>
      <c r="BJ124" s="1356" t="s">
        <v>1615</v>
      </c>
      <c r="BK124" s="1356" t="s">
        <v>737</v>
      </c>
      <c r="BL124" s="1356" t="s">
        <v>1614</v>
      </c>
      <c r="BM124" s="1356" t="s">
        <v>1619</v>
      </c>
      <c r="BN124" s="1361"/>
      <c r="BO124" s="1360"/>
      <c r="BP124" s="1358"/>
      <c r="BQ124" s="1358"/>
      <c r="BR124" s="1358"/>
      <c r="BS124" s="1360"/>
    </row>
    <row r="125" spans="1:71" ht="14.5" customHeight="1">
      <c r="A125" s="1802">
        <v>33626</v>
      </c>
      <c r="B125" s="622" t="s">
        <v>63</v>
      </c>
      <c r="E125" s="1"/>
      <c r="F125" s="622">
        <v>13</v>
      </c>
      <c r="G125" s="622" t="s">
        <v>49</v>
      </c>
      <c r="L125" s="626">
        <v>691</v>
      </c>
      <c r="M125" s="626" t="s">
        <v>35</v>
      </c>
      <c r="N125" s="203"/>
      <c r="O125" s="627" t="str">
        <f t="array" ref="O125">IFERROR(IF($O$21="Metro",INDEX($F$23:$F$748,SMALL(IF((County=$G$23:$G$748),MATCH(ROW($G$23:$G$748),ROW($G$23:$G$748)),""),ROWS($A$23:A125))),INDEX($I$23:$I$52,SMALL(IF((County=$J$23:$J$52),MATCH(ROW($J$23:$J$52),ROW($J$23:$J$52)),""),ROWS($A$23:A125)))),"")</f>
        <v/>
      </c>
      <c r="Q125" s="627" t="str">
        <f t="array" ref="Q125">IFERROR(IF($Q$21="Yes",INDEX($L$23:$L$2323,SMALL(IF((County=$M$23:$M$2323),MATCH(ROW($M$23:$M$2323),ROW($M$23:$M$2323)),""),ROWS($A$23:A125))),""),"")</f>
        <v/>
      </c>
      <c r="S125" s="623">
        <v>33109</v>
      </c>
      <c r="T125" s="622" t="s">
        <v>78</v>
      </c>
      <c r="V125" s="622">
        <v>10.02</v>
      </c>
      <c r="W125" s="625" t="s">
        <v>63</v>
      </c>
      <c r="AB125" s="626">
        <v>7.02</v>
      </c>
      <c r="AC125" s="626" t="s">
        <v>76</v>
      </c>
      <c r="AE125" s="1802">
        <v>33629</v>
      </c>
      <c r="AF125" s="622" t="s">
        <v>63</v>
      </c>
      <c r="AI125" s="1376"/>
      <c r="AJ125" s="622">
        <v>113.05</v>
      </c>
      <c r="AK125" s="622" t="s">
        <v>44</v>
      </c>
      <c r="AP125" s="1837"/>
      <c r="AQ125" s="1837"/>
      <c r="AS125" s="627" t="str">
        <f t="array" ref="AS125">IFERROR(IF($O$21="Metro",INDEX($AJ$23:$AJ$748,SMALL(IF((County=$AK$23:$AK$748),MATCH(ROW($AK$23:$AK$748),ROW($AK$23:$AK$748)),""),ROWS($A$23:$A125))),INDEX($AM$23:$AM$58,SMALL(IF((County=$AN$23:$AN$58),MATCH(ROW($AN$23:$AN$58),ROW($AN$23:$AN$58)),""),ROWS($A$23:$A125)))),"")</f>
        <v/>
      </c>
      <c r="AU125" s="627" t="str">
        <f t="array" ref="AU125">IFERROR(IF($Q$21="Yes",INDEX($AP$23:$AP$2323,SMALL(IF((County=$AQ$23:$AQ$2323),MATCH(ROW($AQ$23:$AQ$2323),ROW($AQ$23:$AQ$2323)),""),ROWS($A$23:$A125))),""),"")</f>
        <v/>
      </c>
      <c r="AW125" s="1802">
        <v>33063</v>
      </c>
      <c r="AX125" s="622" t="s">
        <v>36</v>
      </c>
      <c r="AZ125" s="622">
        <v>7.17</v>
      </c>
      <c r="BA125" s="625" t="s">
        <v>78</v>
      </c>
      <c r="BF125" s="1837"/>
      <c r="BG125" s="1837"/>
      <c r="BI125" s="1357"/>
      <c r="BJ125" s="1356" t="s">
        <v>1615</v>
      </c>
      <c r="BK125" s="1356" t="s">
        <v>737</v>
      </c>
      <c r="BL125" s="1356" t="s">
        <v>1617</v>
      </c>
      <c r="BM125" s="1356" t="s">
        <v>1618</v>
      </c>
      <c r="BN125" s="1361"/>
      <c r="BO125" s="1360"/>
      <c r="BP125" s="1358"/>
      <c r="BQ125" s="1358"/>
      <c r="BR125" s="1358"/>
      <c r="BS125" s="1360"/>
    </row>
    <row r="126" spans="1:71" ht="14.5" customHeight="1">
      <c r="A126" s="1802">
        <v>33629</v>
      </c>
      <c r="B126" s="622" t="s">
        <v>63</v>
      </c>
      <c r="E126" s="1"/>
      <c r="F126" s="622">
        <v>14</v>
      </c>
      <c r="G126" s="622" t="s">
        <v>49</v>
      </c>
      <c r="L126" s="626">
        <v>692</v>
      </c>
      <c r="M126" s="626" t="s">
        <v>35</v>
      </c>
      <c r="N126" s="203"/>
      <c r="O126" s="627" t="str">
        <f t="array" ref="O126">IFERROR(IF($O$21="Metro",INDEX($F$23:$F$748,SMALL(IF((County=$G$23:$G$748),MATCH(ROW($G$23:$G$748),ROW($G$23:$G$748)),""),ROWS($A$23:A126))),INDEX($I$23:$I$52,SMALL(IF((County=$J$23:$J$52),MATCH(ROW($J$23:$J$52),ROW($J$23:$J$52)),""),ROWS($A$23:A126)))),"")</f>
        <v/>
      </c>
      <c r="Q126" s="627" t="str">
        <f t="array" ref="Q126">IFERROR(IF($Q$21="Yes",INDEX($L$23:$L$2323,SMALL(IF((County=$M$23:$M$2323),MATCH(ROW($M$23:$M$2323),ROW($M$23:$M$2323)),""),ROWS($A$23:A126))),""),"")</f>
        <v/>
      </c>
      <c r="S126" s="623">
        <v>33126</v>
      </c>
      <c r="T126" s="622" t="s">
        <v>78</v>
      </c>
      <c r="V126" s="622">
        <v>10.02</v>
      </c>
      <c r="W126" s="625" t="s">
        <v>71</v>
      </c>
      <c r="AB126" s="626">
        <v>7.02</v>
      </c>
      <c r="AC126" s="626" t="s">
        <v>87</v>
      </c>
      <c r="AE126" s="1802">
        <v>33634</v>
      </c>
      <c r="AF126" s="622" t="s">
        <v>63</v>
      </c>
      <c r="AI126" s="1376"/>
      <c r="AJ126" s="622">
        <v>113.06</v>
      </c>
      <c r="AK126" s="622" t="s">
        <v>44</v>
      </c>
      <c r="AP126" s="1837"/>
      <c r="AQ126" s="1837"/>
      <c r="AS126" s="627" t="str">
        <f t="array" ref="AS126">IFERROR(IF($O$21="Metro",INDEX($AJ$23:$AJ$748,SMALL(IF((County=$AK$23:$AK$748),MATCH(ROW($AK$23:$AK$748),ROW($AK$23:$AK$748)),""),ROWS($A$23:$A126))),INDEX($AM$23:$AM$58,SMALL(IF((County=$AN$23:$AN$58),MATCH(ROW($AN$23:$AN$58),ROW($AN$23:$AN$58)),""),ROWS($A$23:$A126)))),"")</f>
        <v/>
      </c>
      <c r="AU126" s="627" t="str">
        <f t="array" ref="AU126">IFERROR(IF($Q$21="Yes",INDEX($AP$23:$AP$2323,SMALL(IF((County=$AQ$23:$AQ$2323),MATCH(ROW($AQ$23:$AQ$2323),ROW($AQ$23:$AQ$2323)),""),ROWS($A$23:$A126))),""),"")</f>
        <v/>
      </c>
      <c r="AW126" s="1802">
        <v>33067</v>
      </c>
      <c r="AX126" s="622" t="s">
        <v>36</v>
      </c>
      <c r="AZ126" s="622">
        <v>7.18</v>
      </c>
      <c r="BA126" s="625" t="s">
        <v>78</v>
      </c>
      <c r="BF126" s="1837"/>
      <c r="BG126" s="1837"/>
      <c r="BI126" s="1357"/>
      <c r="BJ126" s="1363"/>
      <c r="BK126" s="1356" t="s">
        <v>1620</v>
      </c>
      <c r="BL126" s="1369" t="s">
        <v>1621</v>
      </c>
      <c r="BM126" s="1368" t="s">
        <v>604</v>
      </c>
      <c r="BN126" s="1359"/>
      <c r="BO126" s="1360"/>
      <c r="BP126" s="1358"/>
      <c r="BQ126" s="1358"/>
      <c r="BR126" s="1358"/>
      <c r="BS126" s="1360"/>
    </row>
    <row r="127" spans="1:71" ht="14.5" customHeight="1">
      <c r="A127" s="1802">
        <v>33634</v>
      </c>
      <c r="B127" s="622" t="s">
        <v>63</v>
      </c>
      <c r="E127" s="1"/>
      <c r="F127" s="622">
        <v>15</v>
      </c>
      <c r="G127" s="622" t="s">
        <v>49</v>
      </c>
      <c r="L127" s="626">
        <v>693</v>
      </c>
      <c r="M127" s="626" t="s">
        <v>35</v>
      </c>
      <c r="N127" s="203"/>
      <c r="O127" s="627" t="str">
        <f t="array" ref="O127">IFERROR(IF($O$21="Metro",INDEX($F$23:$F$748,SMALL(IF((County=$G$23:$G$748),MATCH(ROW($G$23:$G$748),ROW($G$23:$G$748)),""),ROWS($A$23:A127))),INDEX($I$23:$I$52,SMALL(IF((County=$J$23:$J$52),MATCH(ROW($J$23:$J$52),ROW($J$23:$J$52)),""),ROWS($A$23:A127)))),"")</f>
        <v/>
      </c>
      <c r="Q127" s="627" t="str">
        <f t="array" ref="Q127">IFERROR(IF($Q$21="Yes",INDEX($L$23:$L$2323,SMALL(IF((County=$M$23:$M$2323),MATCH(ROW($M$23:$M$2323),ROW($M$23:$M$2323)),""),ROWS($A$23:A127))),""),"")</f>
        <v/>
      </c>
      <c r="S127" s="623">
        <v>33129</v>
      </c>
      <c r="T127" s="622" t="s">
        <v>78</v>
      </c>
      <c r="V127" s="622">
        <v>10.02</v>
      </c>
      <c r="W127" s="625" t="s">
        <v>78</v>
      </c>
      <c r="AB127" s="626">
        <v>7.03</v>
      </c>
      <c r="AC127" s="626" t="s">
        <v>87</v>
      </c>
      <c r="AE127" s="1802">
        <v>33635</v>
      </c>
      <c r="AF127" s="622" t="s">
        <v>63</v>
      </c>
      <c r="AI127" s="1376"/>
      <c r="AJ127" s="622">
        <v>114</v>
      </c>
      <c r="AK127" s="622" t="s">
        <v>44</v>
      </c>
      <c r="AP127" s="1837"/>
      <c r="AQ127" s="1837"/>
      <c r="AS127" s="627" t="str">
        <f t="array" ref="AS127">IFERROR(IF($O$21="Metro",INDEX($AJ$23:$AJ$748,SMALL(IF((County=$AK$23:$AK$748),MATCH(ROW($AK$23:$AK$748),ROW($AK$23:$AK$748)),""),ROWS($A$23:$A127))),INDEX($AM$23:$AM$58,SMALL(IF((County=$AN$23:$AN$58),MATCH(ROW($AN$23:$AN$58),ROW($AN$23:$AN$58)),""),ROWS($A$23:$A127)))),"")</f>
        <v/>
      </c>
      <c r="AU127" s="627" t="str">
        <f t="array" ref="AU127">IFERROR(IF($Q$21="Yes",INDEX($AP$23:$AP$2323,SMALL(IF((County=$AQ$23:$AQ$2323),MATCH(ROW($AQ$23:$AQ$2323),ROW($AQ$23:$AQ$2323)),""),ROWS($A$23:$A127))),""),"")</f>
        <v/>
      </c>
      <c r="AW127" s="1802">
        <v>33068</v>
      </c>
      <c r="AX127" s="622" t="s">
        <v>36</v>
      </c>
      <c r="AZ127" s="622">
        <v>7.19</v>
      </c>
      <c r="BA127" s="625" t="s">
        <v>78</v>
      </c>
      <c r="BF127" s="1837"/>
      <c r="BG127" s="1837"/>
      <c r="BI127" s="1356"/>
      <c r="BJ127" s="1356" t="s">
        <v>1615</v>
      </c>
      <c r="BK127" s="1356" t="s">
        <v>1620</v>
      </c>
      <c r="BL127" s="1367" t="s">
        <v>1622</v>
      </c>
      <c r="BM127" s="1370" t="s">
        <v>604</v>
      </c>
      <c r="BN127" s="1361"/>
      <c r="BO127" s="1362"/>
      <c r="BP127" s="1358"/>
      <c r="BQ127" s="1358"/>
      <c r="BR127" s="1358"/>
      <c r="BS127" s="1360"/>
    </row>
    <row r="128" spans="1:71" ht="14.5" customHeight="1">
      <c r="A128" s="1802">
        <v>33635</v>
      </c>
      <c r="B128" s="622" t="s">
        <v>63</v>
      </c>
      <c r="E128" s="1"/>
      <c r="F128" s="622">
        <v>16</v>
      </c>
      <c r="G128" s="622" t="s">
        <v>49</v>
      </c>
      <c r="L128" s="626">
        <v>694</v>
      </c>
      <c r="M128" s="626" t="s">
        <v>35</v>
      </c>
      <c r="N128" s="203"/>
      <c r="O128" s="627" t="str">
        <f t="array" ref="O128">IFERROR(IF($O$21="Metro",INDEX($F$23:$F$748,SMALL(IF((County=$G$23:$G$748),MATCH(ROW($G$23:$G$748),ROW($G$23:$G$748)),""),ROWS($A$23:A128))),INDEX($I$23:$I$52,SMALL(IF((County=$J$23:$J$52),MATCH(ROW($J$23:$J$52),ROW($J$23:$J$52)),""),ROWS($A$23:A128)))),"")</f>
        <v/>
      </c>
      <c r="Q128" s="627" t="str">
        <f t="array" ref="Q128">IFERROR(IF($Q$21="Yes",INDEX($L$23:$L$2323,SMALL(IF((County=$M$23:$M$2323),MATCH(ROW($M$23:$M$2323),ROW($M$23:$M$2323)),""),ROWS($A$23:A128))),""),"")</f>
        <v/>
      </c>
      <c r="S128" s="623">
        <v>33131</v>
      </c>
      <c r="T128" s="622" t="s">
        <v>78</v>
      </c>
      <c r="V128" s="622">
        <v>10.029999999999999</v>
      </c>
      <c r="W128" s="625" t="s">
        <v>78</v>
      </c>
      <c r="AB128" s="626">
        <v>8</v>
      </c>
      <c r="AC128" s="626" t="s">
        <v>49</v>
      </c>
      <c r="AE128" s="1802">
        <v>33647</v>
      </c>
      <c r="AF128" s="622" t="s">
        <v>63</v>
      </c>
      <c r="AI128" s="1376"/>
      <c r="AJ128" s="622">
        <v>1.01</v>
      </c>
      <c r="AK128" s="622" t="s">
        <v>49</v>
      </c>
      <c r="AP128" s="1837"/>
      <c r="AQ128" s="1837"/>
      <c r="AS128" s="627" t="str">
        <f t="array" ref="AS128">IFERROR(IF($O$21="Metro",INDEX($AJ$23:$AJ$748,SMALL(IF((County=$AK$23:$AK$748),MATCH(ROW($AK$23:$AK$748),ROW($AK$23:$AK$748)),""),ROWS($A$23:$A128))),INDEX($AM$23:$AM$58,SMALL(IF((County=$AN$23:$AN$58),MATCH(ROW($AN$23:$AN$58),ROW($AN$23:$AN$58)),""),ROWS($A$23:$A128)))),"")</f>
        <v/>
      </c>
      <c r="AU128" s="627" t="str">
        <f t="array" ref="AU128">IFERROR(IF($Q$21="Yes",INDEX($AP$23:$AP$2323,SMALL(IF((County=$AQ$23:$AQ$2323),MATCH(ROW($AQ$23:$AQ$2323),ROW($AQ$23:$AQ$2323)),""),ROWS($A$23:$A128))),""),"")</f>
        <v/>
      </c>
      <c r="AW128" s="1802">
        <v>33071</v>
      </c>
      <c r="AX128" s="622" t="s">
        <v>36</v>
      </c>
      <c r="AZ128" s="622">
        <v>7.2</v>
      </c>
      <c r="BA128" s="625" t="s">
        <v>78</v>
      </c>
      <c r="BF128" s="1837"/>
      <c r="BG128" s="1837"/>
      <c r="BI128" s="1356"/>
      <c r="BJ128" s="1364"/>
      <c r="BK128" s="1356" t="s">
        <v>1623</v>
      </c>
      <c r="BL128" s="1367" t="s">
        <v>1626</v>
      </c>
      <c r="BM128" s="1367" t="s">
        <v>1627</v>
      </c>
      <c r="BN128" s="1361"/>
      <c r="BO128" s="1360"/>
      <c r="BP128" s="1358"/>
      <c r="BQ128" s="1358"/>
      <c r="BR128" s="1358"/>
      <c r="BS128" s="1360"/>
    </row>
    <row r="129" spans="1:71" ht="14.5" customHeight="1">
      <c r="A129" s="1802">
        <v>33637</v>
      </c>
      <c r="B129" s="622" t="s">
        <v>63</v>
      </c>
      <c r="E129" s="1"/>
      <c r="F129" s="622">
        <v>25.01</v>
      </c>
      <c r="G129" s="622" t="s">
        <v>49</v>
      </c>
      <c r="L129" s="626">
        <v>698.01</v>
      </c>
      <c r="M129" s="626" t="s">
        <v>35</v>
      </c>
      <c r="N129" s="203"/>
      <c r="O129" s="627" t="str">
        <f t="array" ref="O129">IFERROR(IF($O$21="Metro",INDEX($F$23:$F$748,SMALL(IF((County=$G$23:$G$748),MATCH(ROW($G$23:$G$748),ROW($G$23:$G$748)),""),ROWS($A$23:A129))),INDEX($I$23:$I$52,SMALL(IF((County=$J$23:$J$52),MATCH(ROW($J$23:$J$52),ROW($J$23:$J$52)),""),ROWS($A$23:A129)))),"")</f>
        <v/>
      </c>
      <c r="Q129" s="627" t="str">
        <f t="array" ref="Q129">IFERROR(IF($Q$21="Yes",INDEX($L$23:$L$2323,SMALL(IF((County=$M$23:$M$2323),MATCH(ROW($M$23:$M$2323),ROW($M$23:$M$2323)),""),ROWS($A$23:A129))),""),"")</f>
        <v/>
      </c>
      <c r="S129" s="623">
        <v>33132</v>
      </c>
      <c r="T129" s="622" t="s">
        <v>78</v>
      </c>
      <c r="V129" s="622">
        <v>10.039999999999999</v>
      </c>
      <c r="W129" s="625" t="s">
        <v>78</v>
      </c>
      <c r="AB129" s="626">
        <v>8</v>
      </c>
      <c r="AC129" s="626" t="s">
        <v>51</v>
      </c>
      <c r="AE129" s="1802">
        <v>32963</v>
      </c>
      <c r="AF129" s="622" t="s">
        <v>65</v>
      </c>
      <c r="AI129" s="1376"/>
      <c r="AJ129" s="622">
        <v>1.02</v>
      </c>
      <c r="AK129" s="622" t="s">
        <v>49</v>
      </c>
      <c r="AP129" s="1837"/>
      <c r="AQ129" s="1837"/>
      <c r="AS129" s="627" t="str">
        <f t="array" ref="AS129">IFERROR(IF($O$21="Metro",INDEX($AJ$23:$AJ$748,SMALL(IF((County=$AK$23:$AK$748),MATCH(ROW($AK$23:$AK$748),ROW($AK$23:$AK$748)),""),ROWS($A$23:$A129))),INDEX($AM$23:$AM$58,SMALL(IF((County=$AN$23:$AN$58),MATCH(ROW($AN$23:$AN$58),ROW($AN$23:$AN$58)),""),ROWS($A$23:$A129)))),"")</f>
        <v/>
      </c>
      <c r="AU129" s="627" t="str">
        <f t="array" ref="AU129">IFERROR(IF($Q$21="Yes",INDEX($AP$23:$AP$2323,SMALL(IF((County=$AQ$23:$AQ$2323),MATCH(ROW($AQ$23:$AQ$2323),ROW($AQ$23:$AQ$2323)),""),ROWS($A$23:$A129))),""),"")</f>
        <v/>
      </c>
      <c r="AW129" s="1802">
        <v>33073</v>
      </c>
      <c r="AX129" s="622" t="s">
        <v>36</v>
      </c>
      <c r="AZ129" s="622">
        <v>8</v>
      </c>
      <c r="BA129" s="625" t="s">
        <v>63</v>
      </c>
      <c r="BF129" s="1837"/>
      <c r="BG129" s="1837"/>
      <c r="BI129" s="1363"/>
      <c r="BJ129" s="1356" t="s">
        <v>1615</v>
      </c>
      <c r="BK129" s="1356" t="s">
        <v>1623</v>
      </c>
      <c r="BL129" s="1367" t="s">
        <v>1628</v>
      </c>
      <c r="BM129" s="1367" t="s">
        <v>1629</v>
      </c>
      <c r="BN129" s="1361"/>
      <c r="BO129" s="1360"/>
      <c r="BP129" s="1358"/>
      <c r="BQ129" s="1358"/>
      <c r="BR129" s="1358"/>
      <c r="BS129" s="1360"/>
    </row>
    <row r="130" spans="1:71" ht="14.5" customHeight="1">
      <c r="A130" s="1802">
        <v>33647</v>
      </c>
      <c r="B130" s="622" t="s">
        <v>63</v>
      </c>
      <c r="E130" s="1"/>
      <c r="F130" s="622">
        <v>26</v>
      </c>
      <c r="G130" s="622" t="s">
        <v>49</v>
      </c>
      <c r="L130" s="626">
        <v>699.01</v>
      </c>
      <c r="M130" s="626" t="s">
        <v>35</v>
      </c>
      <c r="N130" s="203"/>
      <c r="O130" s="627" t="str">
        <f t="array" ref="O130">IFERROR(IF($O$21="Metro",INDEX($F$23:$F$748,SMALL(IF((County=$G$23:$G$748),MATCH(ROW($G$23:$G$748),ROW($G$23:$G$748)),""),ROWS($A$23:A130))),INDEX($I$23:$I$52,SMALL(IF((County=$J$23:$J$52),MATCH(ROW($J$23:$J$52),ROW($J$23:$J$52)),""),ROWS($A$23:A130)))),"")</f>
        <v/>
      </c>
      <c r="Q130" s="627" t="str">
        <f t="array" ref="Q130">IFERROR(IF($Q$21="Yes",INDEX($L$23:$L$2323,SMALL(IF((County=$M$23:$M$2323),MATCH(ROW($M$23:$M$2323),ROW($M$23:$M$2323)),""),ROWS($A$23:A130))),""),"")</f>
        <v/>
      </c>
      <c r="S130" s="623">
        <v>33133</v>
      </c>
      <c r="T130" s="622" t="s">
        <v>78</v>
      </c>
      <c r="V130" s="622">
        <v>10.050000000000001</v>
      </c>
      <c r="W130" s="625" t="s">
        <v>78</v>
      </c>
      <c r="AB130" s="626">
        <v>8</v>
      </c>
      <c r="AC130" s="626" t="s">
        <v>70</v>
      </c>
      <c r="AE130" s="1802">
        <v>32968</v>
      </c>
      <c r="AF130" s="622" t="s">
        <v>65</v>
      </c>
      <c r="AI130" s="1376"/>
      <c r="AJ130" s="622">
        <v>2</v>
      </c>
      <c r="AK130" s="622" t="s">
        <v>49</v>
      </c>
      <c r="AP130" s="1837"/>
      <c r="AQ130" s="1837"/>
      <c r="AS130" s="627" t="str">
        <f t="array" ref="AS130">IFERROR(IF($O$21="Metro",INDEX($AJ$23:$AJ$748,SMALL(IF((County=$AK$23:$AK$748),MATCH(ROW($AK$23:$AK$748),ROW($AK$23:$AK$748)),""),ROWS($A$23:$A130))),INDEX($AM$23:$AM$58,SMALL(IF((County=$AN$23:$AN$58),MATCH(ROW($AN$23:$AN$58),ROW($AN$23:$AN$58)),""),ROWS($A$23:$A130)))),"")</f>
        <v/>
      </c>
      <c r="AU130" s="627" t="str">
        <f t="array" ref="AU130">IFERROR(IF($Q$21="Yes",INDEX($AP$23:$AP$2323,SMALL(IF((County=$AQ$23:$AQ$2323),MATCH(ROW($AQ$23:$AQ$2323),ROW($AQ$23:$AQ$2323)),""),ROWS($A$23:$A130))),""),"")</f>
        <v/>
      </c>
      <c r="AW130" s="1802">
        <v>33076</v>
      </c>
      <c r="AX130" s="622" t="s">
        <v>36</v>
      </c>
      <c r="AZ130" s="622">
        <v>8.0299999999999994</v>
      </c>
      <c r="BA130" s="622" t="s">
        <v>32</v>
      </c>
      <c r="BF130" s="1837"/>
      <c r="BG130" s="1837"/>
      <c r="BI130" s="1357"/>
      <c r="BJ130" s="1356" t="s">
        <v>1615</v>
      </c>
      <c r="BK130" s="1356" t="s">
        <v>1623</v>
      </c>
      <c r="BL130" s="1367" t="s">
        <v>1630</v>
      </c>
      <c r="BM130" s="1367" t="s">
        <v>1631</v>
      </c>
      <c r="BN130" s="1361"/>
      <c r="BO130" s="1360"/>
      <c r="BP130" s="1367" t="s">
        <v>1632</v>
      </c>
      <c r="BQ130" s="1358"/>
      <c r="BR130" s="1358"/>
      <c r="BS130" s="1360"/>
    </row>
    <row r="131" spans="1:71" ht="14.5" customHeight="1">
      <c r="A131" s="1802">
        <v>32963</v>
      </c>
      <c r="B131" s="622" t="s">
        <v>65</v>
      </c>
      <c r="E131" s="1"/>
      <c r="F131" s="622">
        <v>27.01</v>
      </c>
      <c r="G131" s="622" t="s">
        <v>49</v>
      </c>
      <c r="L131" s="626">
        <v>712</v>
      </c>
      <c r="M131" s="626" t="s">
        <v>35</v>
      </c>
      <c r="N131" s="203"/>
      <c r="O131" s="627" t="str">
        <f t="array" ref="O131">IFERROR(IF($O$21="Metro",INDEX($F$23:$F$748,SMALL(IF((County=$G$23:$G$748),MATCH(ROW($G$23:$G$748),ROW($G$23:$G$748)),""),ROWS($A$23:A131))),INDEX($I$23:$I$52,SMALL(IF((County=$J$23:$J$52),MATCH(ROW($J$23:$J$52),ROW($J$23:$J$52)),""),ROWS($A$23:A131)))),"")</f>
        <v/>
      </c>
      <c r="Q131" s="627" t="str">
        <f t="array" ref="Q131">IFERROR(IF($Q$21="Yes",INDEX($L$23:$L$2323,SMALL(IF((County=$M$23:$M$2323),MATCH(ROW($M$23:$M$2323),ROW($M$23:$M$2323)),""),ROWS($A$23:A131))),""),"")</f>
        <v/>
      </c>
      <c r="S131" s="623">
        <v>33134</v>
      </c>
      <c r="T131" s="622" t="s">
        <v>78</v>
      </c>
      <c r="V131" s="622">
        <v>10.06</v>
      </c>
      <c r="W131" s="625" t="s">
        <v>78</v>
      </c>
      <c r="AB131" s="626">
        <v>8</v>
      </c>
      <c r="AC131" s="626" t="s">
        <v>71</v>
      </c>
      <c r="AE131" s="1802">
        <v>32102</v>
      </c>
      <c r="AF131" s="622" t="s">
        <v>69</v>
      </c>
      <c r="AI131" s="1376"/>
      <c r="AJ131" s="622">
        <v>3</v>
      </c>
      <c r="AK131" s="622" t="s">
        <v>49</v>
      </c>
      <c r="AP131" s="1837"/>
      <c r="AQ131" s="1837"/>
      <c r="AS131" s="627" t="str">
        <f t="array" ref="AS131">IFERROR(IF($O$21="Metro",INDEX($AJ$23:$AJ$748,SMALL(IF((County=$AK$23:$AK$748),MATCH(ROW($AK$23:$AK$748),ROW($AK$23:$AK$748)),""),ROWS($A$23:$A131))),INDEX($AM$23:$AM$58,SMALL(IF((County=$AN$23:$AN$58),MATCH(ROW($AN$23:$AN$58),ROW($AN$23:$AN$58)),""),ROWS($A$23:$A131)))),"")</f>
        <v/>
      </c>
      <c r="AU131" s="627" t="str">
        <f t="array" ref="AU131">IFERROR(IF($Q$21="Yes",INDEX($AP$23:$AP$2323,SMALL(IF((County=$AQ$23:$AQ$2323),MATCH(ROW($AQ$23:$AQ$2323),ROW($AQ$23:$AQ$2323)),""),ROWS($A$23:$A131))),""),"")</f>
        <v/>
      </c>
      <c r="AW131" s="1802">
        <v>33109</v>
      </c>
      <c r="AX131" s="622" t="s">
        <v>78</v>
      </c>
      <c r="AZ131" s="622">
        <v>8.0399999999999991</v>
      </c>
      <c r="BA131" s="625" t="s">
        <v>78</v>
      </c>
      <c r="BF131" s="1837"/>
      <c r="BG131" s="1837"/>
      <c r="BI131" s="1357"/>
      <c r="BJ131" s="1356" t="s">
        <v>1615</v>
      </c>
      <c r="BK131" s="1356" t="s">
        <v>1623</v>
      </c>
      <c r="BL131" s="1367" t="s">
        <v>1634</v>
      </c>
      <c r="BM131" s="1379"/>
      <c r="BN131" s="1364"/>
      <c r="BO131" s="1364"/>
      <c r="BP131" s="1364"/>
      <c r="BQ131" s="1358"/>
      <c r="BR131" s="1358"/>
      <c r="BS131" s="1360"/>
    </row>
    <row r="132" spans="1:71" ht="14.5" customHeight="1">
      <c r="A132" s="1802">
        <v>32968</v>
      </c>
      <c r="B132" s="622" t="s">
        <v>65</v>
      </c>
      <c r="E132" s="1"/>
      <c r="F132" s="622">
        <v>27.02</v>
      </c>
      <c r="G132" s="622" t="s">
        <v>49</v>
      </c>
      <c r="L132" s="626">
        <v>713.01</v>
      </c>
      <c r="M132" s="626" t="s">
        <v>35</v>
      </c>
      <c r="N132" s="203"/>
      <c r="O132" s="627" t="str">
        <f t="array" ref="O132">IFERROR(IF($O$21="Metro",INDEX($F$23:$F$748,SMALL(IF((County=$G$23:$G$748),MATCH(ROW($G$23:$G$748),ROW($G$23:$G$748)),""),ROWS($A$23:A132))),INDEX($I$23:$I$52,SMALL(IF((County=$J$23:$J$52),MATCH(ROW($J$23:$J$52),ROW($J$23:$J$52)),""),ROWS($A$23:A132)))),"")</f>
        <v/>
      </c>
      <c r="Q132" s="627" t="str">
        <f t="array" ref="Q132">IFERROR(IF($Q$21="Yes",INDEX($L$23:$L$2323,SMALL(IF((County=$M$23:$M$2323),MATCH(ROW($M$23:$M$2323),ROW($M$23:$M$2323)),""),ROWS($A$23:A132))),""),"")</f>
        <v/>
      </c>
      <c r="S132" s="623">
        <v>33137</v>
      </c>
      <c r="T132" s="622" t="s">
        <v>78</v>
      </c>
      <c r="V132" s="622">
        <v>11</v>
      </c>
      <c r="W132" s="625" t="s">
        <v>32</v>
      </c>
      <c r="AB132" s="626">
        <v>8.01</v>
      </c>
      <c r="AC132" s="626" t="s">
        <v>76</v>
      </c>
      <c r="AE132" s="1802">
        <v>32735</v>
      </c>
      <c r="AF132" s="622" t="s">
        <v>69</v>
      </c>
      <c r="AI132" s="1376"/>
      <c r="AJ132" s="622">
        <v>6</v>
      </c>
      <c r="AK132" s="622" t="s">
        <v>49</v>
      </c>
      <c r="AP132" s="1837"/>
      <c r="AQ132" s="1837"/>
      <c r="AS132" s="627" t="str">
        <f t="array" ref="AS132">IFERROR(IF($O$21="Metro",INDEX($AJ$23:$AJ$748,SMALL(IF((County=$AK$23:$AK$748),MATCH(ROW($AK$23:$AK$748),ROW($AK$23:$AK$748)),""),ROWS($A$23:$A132))),INDEX($AM$23:$AM$58,SMALL(IF((County=$AN$23:$AN$58),MATCH(ROW($AN$23:$AN$58),ROW($AN$23:$AN$58)),""),ROWS($A$23:$A132)))),"")</f>
        <v/>
      </c>
      <c r="AU132" s="627" t="str">
        <f t="array" ref="AU132">IFERROR(IF($Q$21="Yes",INDEX($AP$23:$AP$2323,SMALL(IF((County=$AQ$23:$AQ$2323),MATCH(ROW($AQ$23:$AQ$2323),ROW($AQ$23:$AQ$2323)),""),ROWS($A$23:$A132))),""),"")</f>
        <v/>
      </c>
      <c r="AW132" s="1802">
        <v>33126</v>
      </c>
      <c r="AX132" s="622" t="s">
        <v>78</v>
      </c>
      <c r="AZ132" s="622">
        <v>8.0500000000000007</v>
      </c>
      <c r="BA132" s="625" t="s">
        <v>78</v>
      </c>
      <c r="BF132" s="1837"/>
      <c r="BG132" s="1837"/>
      <c r="BI132" s="1364"/>
      <c r="BJ132" s="1356" t="s">
        <v>1615</v>
      </c>
      <c r="BK132" s="1356" t="s">
        <v>1623</v>
      </c>
      <c r="BL132" s="1367" t="s">
        <v>1635</v>
      </c>
      <c r="BM132" s="1372" t="s">
        <v>1631</v>
      </c>
      <c r="BN132" s="1364"/>
      <c r="BO132" s="1364"/>
      <c r="BP132" s="1364"/>
      <c r="BQ132" s="1358"/>
      <c r="BR132" s="1358"/>
      <c r="BS132" s="1360"/>
    </row>
    <row r="133" spans="1:71" ht="14.5" customHeight="1">
      <c r="A133" s="1802">
        <v>32735</v>
      </c>
      <c r="B133" s="622" t="s">
        <v>69</v>
      </c>
      <c r="E133" s="1"/>
      <c r="F133" s="622">
        <v>28.01</v>
      </c>
      <c r="G133" s="622" t="s">
        <v>49</v>
      </c>
      <c r="L133" s="626">
        <v>713.34</v>
      </c>
      <c r="M133" s="626" t="s">
        <v>35</v>
      </c>
      <c r="N133" s="203"/>
      <c r="O133" s="627" t="str">
        <f t="array" ref="O133">IFERROR(IF($O$21="Metro",INDEX($F$23:$F$748,SMALL(IF((County=$G$23:$G$748),MATCH(ROW($G$23:$G$748),ROW($G$23:$G$748)),""),ROWS($A$23:A133))),INDEX($I$23:$I$52,SMALL(IF((County=$J$23:$J$52),MATCH(ROW($J$23:$J$52),ROW($J$23:$J$52)),""),ROWS($A$23:A133)))),"")</f>
        <v/>
      </c>
      <c r="Q133" s="627" t="str">
        <f t="array" ref="Q133">IFERROR(IF($Q$21="Yes",INDEX($L$23:$L$2323,SMALL(IF((County=$M$23:$M$2323),MATCH(ROW($M$23:$M$2323),ROW($M$23:$M$2323)),""),ROWS($A$23:A133))),""),"")</f>
        <v/>
      </c>
      <c r="S133" s="623">
        <v>33139</v>
      </c>
      <c r="T133" s="622" t="s">
        <v>78</v>
      </c>
      <c r="V133" s="622">
        <v>11.01</v>
      </c>
      <c r="W133" s="625" t="s">
        <v>70</v>
      </c>
      <c r="AB133" s="626">
        <v>8.01</v>
      </c>
      <c r="AC133" s="626" t="s">
        <v>96</v>
      </c>
      <c r="AE133" s="1802">
        <v>32776</v>
      </c>
      <c r="AF133" s="622" t="s">
        <v>69</v>
      </c>
      <c r="AI133" s="1376"/>
      <c r="AJ133" s="622">
        <v>10</v>
      </c>
      <c r="AK133" s="622" t="s">
        <v>49</v>
      </c>
      <c r="AP133" s="1837"/>
      <c r="AQ133" s="1837"/>
      <c r="AS133" s="627" t="str">
        <f t="array" ref="AS133">IFERROR(IF($O$21="Metro",INDEX($AJ$23:$AJ$748,SMALL(IF((County=$AK$23:$AK$748),MATCH(ROW($AK$23:$AK$748),ROW($AK$23:$AK$748)),""),ROWS($A$23:$A133))),INDEX($AM$23:$AM$58,SMALL(IF((County=$AN$23:$AN$58),MATCH(ROW($AN$23:$AN$58),ROW($AN$23:$AN$58)),""),ROWS($A$23:$A133)))),"")</f>
        <v/>
      </c>
      <c r="AU133" s="627" t="str">
        <f t="array" ref="AU133">IFERROR(IF($Q$21="Yes",INDEX($AP$23:$AP$2323,SMALL(IF((County=$AQ$23:$AQ$2323),MATCH(ROW($AQ$23:$AQ$2323),ROW($AQ$23:$AQ$2323)),""),ROWS($A$23:$A133))),""),"")</f>
        <v/>
      </c>
      <c r="AW133" s="1802">
        <v>33129</v>
      </c>
      <c r="AX133" s="622" t="s">
        <v>78</v>
      </c>
      <c r="AZ133" s="622">
        <v>8.06</v>
      </c>
      <c r="BA133" s="625" t="s">
        <v>26</v>
      </c>
      <c r="BF133" s="1837"/>
      <c r="BG133" s="1837"/>
      <c r="BI133" s="1364"/>
      <c r="BJ133" s="1356" t="s">
        <v>1615</v>
      </c>
      <c r="BK133" s="1356" t="s">
        <v>1623</v>
      </c>
      <c r="BL133" s="1367" t="s">
        <v>1636</v>
      </c>
      <c r="BM133" s="1379"/>
      <c r="BN133" s="1364"/>
      <c r="BO133" s="1364"/>
      <c r="BP133" s="1364"/>
      <c r="BQ133" s="1358"/>
      <c r="BR133" s="1358"/>
      <c r="BS133" s="1360"/>
    </row>
    <row r="134" spans="1:71" ht="14.5" customHeight="1">
      <c r="A134" s="1802">
        <v>32776</v>
      </c>
      <c r="B134" s="622" t="s">
        <v>69</v>
      </c>
      <c r="E134" s="1"/>
      <c r="F134" s="622">
        <v>28.02</v>
      </c>
      <c r="G134" s="622" t="s">
        <v>49</v>
      </c>
      <c r="L134" s="626">
        <v>713.35</v>
      </c>
      <c r="M134" s="626" t="s">
        <v>35</v>
      </c>
      <c r="N134" s="203"/>
      <c r="O134" s="627" t="str">
        <f t="array" ref="O134">IFERROR(IF($O$21="Metro",INDEX($F$23:$F$748,SMALL(IF((County=$G$23:$G$748),MATCH(ROW($G$23:$G$748),ROW($G$23:$G$748)),""),ROWS($A$23:A134))),INDEX($I$23:$I$52,SMALL(IF((County=$J$23:$J$52),MATCH(ROW($J$23:$J$52),ROW($J$23:$J$52)),""),ROWS($A$23:A134)))),"")</f>
        <v/>
      </c>
      <c r="Q134" s="627" t="str">
        <f t="array" ref="Q134">IFERROR(IF($Q$21="Yes",INDEX($L$23:$L$2323,SMALL(IF((County=$M$23:$M$2323),MATCH(ROW($M$23:$M$2323),ROW($M$23:$M$2323)),""),ROWS($A$23:A134))),""),"")</f>
        <v/>
      </c>
      <c r="S134" s="623">
        <v>33140</v>
      </c>
      <c r="T134" s="622" t="s">
        <v>78</v>
      </c>
      <c r="V134" s="622">
        <v>11.01</v>
      </c>
      <c r="W134" s="625" t="s">
        <v>71</v>
      </c>
      <c r="AB134" s="626">
        <v>8.02</v>
      </c>
      <c r="AC134" s="626" t="s">
        <v>76</v>
      </c>
      <c r="AE134" s="1802">
        <v>34711</v>
      </c>
      <c r="AF134" s="622" t="s">
        <v>69</v>
      </c>
      <c r="AI134" s="1376"/>
      <c r="AJ134" s="622">
        <v>12</v>
      </c>
      <c r="AK134" s="622" t="s">
        <v>49</v>
      </c>
      <c r="AP134" s="1837"/>
      <c r="AQ134" s="1837"/>
      <c r="AS134" s="627" t="str">
        <f t="array" ref="AS134">IFERROR(IF($O$21="Metro",INDEX($AJ$23:$AJ$748,SMALL(IF((County=$AK$23:$AK$748),MATCH(ROW($AK$23:$AK$748),ROW($AK$23:$AK$748)),""),ROWS($A$23:$A134))),INDEX($AM$23:$AM$58,SMALL(IF((County=$AN$23:$AN$58),MATCH(ROW($AN$23:$AN$58),ROW($AN$23:$AN$58)),""),ROWS($A$23:$A134)))),"")</f>
        <v/>
      </c>
      <c r="AU134" s="627" t="str">
        <f t="array" ref="AU134">IFERROR(IF($Q$21="Yes",INDEX($AP$23:$AP$2323,SMALL(IF((County=$AQ$23:$AQ$2323),MATCH(ROW($AQ$23:$AQ$2323),ROW($AQ$23:$AQ$2323)),""),ROWS($A$23:$A134))),""),"")</f>
        <v/>
      </c>
      <c r="AW134" s="1802">
        <v>33131</v>
      </c>
      <c r="AX134" s="622" t="s">
        <v>78</v>
      </c>
      <c r="AZ134" s="622">
        <v>8.06</v>
      </c>
      <c r="BA134" s="625" t="s">
        <v>78</v>
      </c>
      <c r="BF134" s="1837"/>
      <c r="BG134" s="1837"/>
      <c r="BI134" s="1364"/>
      <c r="BJ134" s="1356" t="s">
        <v>1615</v>
      </c>
      <c r="BK134" s="1356" t="s">
        <v>1623</v>
      </c>
      <c r="BL134" s="1367" t="s">
        <v>1637</v>
      </c>
      <c r="BM134" s="1379"/>
      <c r="BN134" s="1364"/>
      <c r="BO134" s="1364"/>
      <c r="BP134" s="1364"/>
      <c r="BQ134" s="1358"/>
      <c r="BR134" s="1358"/>
      <c r="BS134" s="1360"/>
    </row>
    <row r="135" spans="1:71" ht="14.5" customHeight="1">
      <c r="A135" s="1802">
        <v>34711</v>
      </c>
      <c r="B135" s="622" t="s">
        <v>69</v>
      </c>
      <c r="E135" s="1"/>
      <c r="F135" s="622">
        <v>29.01</v>
      </c>
      <c r="G135" s="622" t="s">
        <v>49</v>
      </c>
      <c r="L135" s="626">
        <v>713.38</v>
      </c>
      <c r="M135" s="626" t="s">
        <v>35</v>
      </c>
      <c r="N135" s="203"/>
      <c r="O135" s="627" t="str">
        <f t="array" ref="O135">IFERROR(IF($O$21="Metro",INDEX($F$23:$F$748,SMALL(IF((County=$G$23:$G$748),MATCH(ROW($G$23:$G$748),ROW($G$23:$G$748)),""),ROWS($A$23:A135))),INDEX($I$23:$I$52,SMALL(IF((County=$J$23:$J$52),MATCH(ROW($J$23:$J$52),ROW($J$23:$J$52)),""),ROWS($A$23:A135)))),"")</f>
        <v/>
      </c>
      <c r="Q135" s="627" t="str">
        <f t="array" ref="Q135">IFERROR(IF($Q$21="Yes",INDEX($L$23:$L$2323,SMALL(IF((County=$M$23:$M$2323),MATCH(ROW($M$23:$M$2323),ROW($M$23:$M$2323)),""),ROWS($A$23:A135))),""),"")</f>
        <v/>
      </c>
      <c r="S135" s="623">
        <v>33141</v>
      </c>
      <c r="T135" s="622" t="s">
        <v>78</v>
      </c>
      <c r="V135" s="622">
        <v>11.02</v>
      </c>
      <c r="W135" s="625" t="s">
        <v>70</v>
      </c>
      <c r="AB135" s="626">
        <v>8.02</v>
      </c>
      <c r="AC135" s="626" t="s">
        <v>87</v>
      </c>
      <c r="AE135" s="1802">
        <v>34714</v>
      </c>
      <c r="AF135" s="622" t="s">
        <v>69</v>
      </c>
      <c r="AI135" s="1376"/>
      <c r="AJ135" s="622">
        <v>13</v>
      </c>
      <c r="AK135" s="622" t="s">
        <v>49</v>
      </c>
      <c r="AP135" s="1837"/>
      <c r="AQ135" s="1837"/>
      <c r="AS135" s="627" t="str">
        <f t="array" ref="AS135">IFERROR(IF($O$21="Metro",INDEX($AJ$23:$AJ$748,SMALL(IF((County=$AK$23:$AK$748),MATCH(ROW($AK$23:$AK$748),ROW($AK$23:$AK$748)),""),ROWS($A$23:$A135))),INDEX($AM$23:$AM$58,SMALL(IF((County=$AN$23:$AN$58),MATCH(ROW($AN$23:$AN$58),ROW($AN$23:$AN$58)),""),ROWS($A$23:$A135)))),"")</f>
        <v/>
      </c>
      <c r="AU135" s="627" t="str">
        <f t="array" ref="AU135">IFERROR(IF($Q$21="Yes",INDEX($AP$23:$AP$2323,SMALL(IF((County=$AQ$23:$AQ$2323),MATCH(ROW($AQ$23:$AQ$2323),ROW($AQ$23:$AQ$2323)),""),ROWS($A$23:$A135))),""),"")</f>
        <v/>
      </c>
      <c r="AW135" s="1802">
        <v>33132</v>
      </c>
      <c r="AX135" s="622" t="s">
        <v>78</v>
      </c>
      <c r="AZ135" s="622">
        <v>8.07</v>
      </c>
      <c r="BA135" s="625" t="s">
        <v>78</v>
      </c>
      <c r="BF135" s="1837"/>
      <c r="BG135" s="1837"/>
      <c r="BI135" s="1364"/>
      <c r="BJ135" s="1356" t="s">
        <v>1615</v>
      </c>
      <c r="BK135" s="1356" t="s">
        <v>1623</v>
      </c>
      <c r="BL135" s="1367" t="s">
        <v>1638</v>
      </c>
      <c r="BM135" s="1372" t="s">
        <v>1631</v>
      </c>
      <c r="BN135" s="1364"/>
      <c r="BO135" s="1364"/>
      <c r="BP135" s="1364"/>
      <c r="BQ135" s="1364"/>
      <c r="BR135" s="1364"/>
      <c r="BS135" s="1364"/>
    </row>
    <row r="136" spans="1:71" ht="14.5" customHeight="1">
      <c r="A136" s="1802">
        <v>34714</v>
      </c>
      <c r="B136" s="622" t="s">
        <v>69</v>
      </c>
      <c r="E136" s="1"/>
      <c r="F136" s="622">
        <v>29.02</v>
      </c>
      <c r="G136" s="622" t="s">
        <v>49</v>
      </c>
      <c r="L136" s="626">
        <v>713.39</v>
      </c>
      <c r="M136" s="626" t="s">
        <v>35</v>
      </c>
      <c r="N136" s="203"/>
      <c r="O136" s="627" t="str">
        <f t="array" ref="O136">IFERROR(IF($O$21="Metro",INDEX($F$23:$F$748,SMALL(IF((County=$G$23:$G$748),MATCH(ROW($G$23:$G$748),ROW($G$23:$G$748)),""),ROWS($A$23:A136))),INDEX($I$23:$I$52,SMALL(IF((County=$J$23:$J$52),MATCH(ROW($J$23:$J$52),ROW($J$23:$J$52)),""),ROWS($A$23:A136)))),"")</f>
        <v/>
      </c>
      <c r="Q136" s="627" t="str">
        <f t="array" ref="Q136">IFERROR(IF($Q$21="Yes",INDEX($L$23:$L$2323,SMALL(IF((County=$M$23:$M$2323),MATCH(ROW($M$23:$M$2323),ROW($M$23:$M$2323)),""),ROWS($A$23:A136))),""),"")</f>
        <v/>
      </c>
      <c r="S136" s="623">
        <v>33143</v>
      </c>
      <c r="T136" s="622" t="s">
        <v>78</v>
      </c>
      <c r="V136" s="622">
        <v>11.02</v>
      </c>
      <c r="W136" s="625" t="s">
        <v>96</v>
      </c>
      <c r="AB136" s="626">
        <v>8.02</v>
      </c>
      <c r="AC136" s="626" t="s">
        <v>96</v>
      </c>
      <c r="AE136" s="1802">
        <v>34715</v>
      </c>
      <c r="AF136" s="622" t="s">
        <v>69</v>
      </c>
      <c r="AI136" s="1376"/>
      <c r="AJ136" s="622">
        <v>14.01</v>
      </c>
      <c r="AK136" s="622" t="s">
        <v>49</v>
      </c>
      <c r="AP136" s="1837"/>
      <c r="AQ136" s="1837"/>
      <c r="AS136" s="627" t="str">
        <f t="array" ref="AS136">IFERROR(IF($O$21="Metro",INDEX($AJ$23:$AJ$748,SMALL(IF((County=$AK$23:$AK$748),MATCH(ROW($AK$23:$AK$748),ROW($AK$23:$AK$748)),""),ROWS($A$23:$A136))),INDEX($AM$23:$AM$58,SMALL(IF((County=$AN$23:$AN$58),MATCH(ROW($AN$23:$AN$58),ROW($AN$23:$AN$58)),""),ROWS($A$23:$A136)))),"")</f>
        <v/>
      </c>
      <c r="AU136" s="627" t="str">
        <f t="array" ref="AU136">IFERROR(IF($Q$21="Yes",INDEX($AP$23:$AP$2323,SMALL(IF((County=$AQ$23:$AQ$2323),MATCH(ROW($AQ$23:$AQ$2323),ROW($AQ$23:$AQ$2323)),""),ROWS($A$23:$A136))),""),"")</f>
        <v/>
      </c>
      <c r="AW136" s="1802">
        <v>33133</v>
      </c>
      <c r="AX136" s="622" t="s">
        <v>78</v>
      </c>
      <c r="AZ136" s="622">
        <v>8.08</v>
      </c>
      <c r="BA136" s="625" t="s">
        <v>26</v>
      </c>
      <c r="BF136" s="1837"/>
      <c r="BG136" s="1837"/>
      <c r="BI136" s="1364"/>
      <c r="BJ136" s="1356" t="s">
        <v>1615</v>
      </c>
      <c r="BK136" s="1356" t="s">
        <v>1623</v>
      </c>
      <c r="BL136" s="1367" t="s">
        <v>1640</v>
      </c>
      <c r="BM136" s="1379" t="s">
        <v>1639</v>
      </c>
      <c r="BN136" s="1364"/>
      <c r="BO136" s="1364"/>
      <c r="BP136" s="1364"/>
      <c r="BQ136" s="1364"/>
      <c r="BR136" s="1364"/>
      <c r="BS136" s="1364"/>
    </row>
    <row r="137" spans="1:71" ht="14.5" customHeight="1">
      <c r="A137" s="1802">
        <v>34715</v>
      </c>
      <c r="B137" s="622" t="s">
        <v>69</v>
      </c>
      <c r="E137" s="1"/>
      <c r="F137" s="622">
        <v>104.02</v>
      </c>
      <c r="G137" s="622" t="s">
        <v>49</v>
      </c>
      <c r="L137" s="626">
        <v>713.4</v>
      </c>
      <c r="M137" s="626" t="s">
        <v>35</v>
      </c>
      <c r="N137" s="203"/>
      <c r="O137" s="627" t="str">
        <f t="array" ref="O137">IFERROR(IF($O$21="Metro",INDEX($F$23:$F$748,SMALL(IF((County=$G$23:$G$748),MATCH(ROW($G$23:$G$748),ROW($G$23:$G$748)),""),ROWS($A$23:A137))),INDEX($I$23:$I$52,SMALL(IF((County=$J$23:$J$52),MATCH(ROW($J$23:$J$52),ROW($J$23:$J$52)),""),ROWS($A$23:A137)))),"")</f>
        <v/>
      </c>
      <c r="Q137" s="627" t="str">
        <f t="array" ref="Q137">IFERROR(IF($Q$21="Yes",INDEX($L$23:$L$2323,SMALL(IF((County=$M$23:$M$2323),MATCH(ROW($M$23:$M$2323),ROW($M$23:$M$2323)),""),ROWS($A$23:A137))),""),"")</f>
        <v/>
      </c>
      <c r="S137" s="623">
        <v>33145</v>
      </c>
      <c r="T137" s="622" t="s">
        <v>78</v>
      </c>
      <c r="V137" s="622">
        <v>11.03</v>
      </c>
      <c r="W137" s="625" t="s">
        <v>78</v>
      </c>
      <c r="AB137" s="626">
        <v>8.0299999999999994</v>
      </c>
      <c r="AC137" s="626" t="s">
        <v>87</v>
      </c>
      <c r="AE137" s="1802">
        <v>34736</v>
      </c>
      <c r="AF137" s="622" t="s">
        <v>69</v>
      </c>
      <c r="AI137" s="1376"/>
      <c r="AJ137" s="622">
        <v>14.02</v>
      </c>
      <c r="AK137" s="622" t="s">
        <v>49</v>
      </c>
      <c r="AP137" s="1837"/>
      <c r="AQ137" s="1837"/>
      <c r="AS137" s="627" t="str">
        <f t="array" ref="AS137">IFERROR(IF($O$21="Metro",INDEX($AJ$23:$AJ$748,SMALL(IF((County=$AK$23:$AK$748),MATCH(ROW($AK$23:$AK$748),ROW($AK$23:$AK$748)),""),ROWS($A$23:$A137))),INDEX($AM$23:$AM$58,SMALL(IF((County=$AN$23:$AN$58),MATCH(ROW($AN$23:$AN$58),ROW($AN$23:$AN$58)),""),ROWS($A$23:$A137)))),"")</f>
        <v/>
      </c>
      <c r="AU137" s="627" t="str">
        <f t="array" ref="AU137">IFERROR(IF($Q$21="Yes",INDEX($AP$23:$AP$2323,SMALL(IF((County=$AQ$23:$AQ$2323),MATCH(ROW($AQ$23:$AQ$2323),ROW($AQ$23:$AQ$2323)),""),ROWS($A$23:$A137))),""),"")</f>
        <v/>
      </c>
      <c r="AW137" s="1802">
        <v>33134</v>
      </c>
      <c r="AX137" s="622" t="s">
        <v>78</v>
      </c>
      <c r="AZ137" s="622">
        <v>8.08</v>
      </c>
      <c r="BA137" s="625" t="s">
        <v>78</v>
      </c>
      <c r="BF137" s="1837"/>
      <c r="BG137" s="1837"/>
      <c r="BI137" s="1364"/>
      <c r="BJ137" s="1356" t="s">
        <v>1615</v>
      </c>
      <c r="BK137" s="1356" t="s">
        <v>1623</v>
      </c>
      <c r="BL137" s="1367" t="s">
        <v>1641</v>
      </c>
      <c r="BM137" s="1372" t="s">
        <v>1642</v>
      </c>
      <c r="BN137" s="1364"/>
      <c r="BO137" s="1364"/>
      <c r="BP137" s="1364"/>
      <c r="BQ137" s="1364"/>
      <c r="BR137" s="1364"/>
      <c r="BS137" s="1364"/>
    </row>
    <row r="138" spans="1:71" ht="14.5" customHeight="1">
      <c r="A138" s="1802">
        <v>34736</v>
      </c>
      <c r="B138" s="622" t="s">
        <v>69</v>
      </c>
      <c r="E138" s="1"/>
      <c r="F138" s="622">
        <v>108</v>
      </c>
      <c r="G138" s="622" t="s">
        <v>49</v>
      </c>
      <c r="L138" s="626">
        <v>715</v>
      </c>
      <c r="M138" s="626" t="s">
        <v>35</v>
      </c>
      <c r="N138" s="203"/>
      <c r="O138" s="627" t="str">
        <f t="array" ref="O138">IFERROR(IF($O$21="Metro",INDEX($F$23:$F$748,SMALL(IF((County=$G$23:$G$748),MATCH(ROW($G$23:$G$748),ROW($G$23:$G$748)),""),ROWS($A$23:A138))),INDEX($I$23:$I$52,SMALL(IF((County=$J$23:$J$52),MATCH(ROW($J$23:$J$52),ROW($J$23:$J$52)),""),ROWS($A$23:A138)))),"")</f>
        <v/>
      </c>
      <c r="Q138" s="627" t="str">
        <f t="array" ref="Q138">IFERROR(IF($Q$21="Yes",INDEX($L$23:$L$2323,SMALL(IF((County=$M$23:$M$2323),MATCH(ROW($M$23:$M$2323),ROW($M$23:$M$2323)),""),ROWS($A$23:A138))),""),"")</f>
        <v/>
      </c>
      <c r="S138" s="623">
        <v>33146</v>
      </c>
      <c r="T138" s="622" t="s">
        <v>78</v>
      </c>
      <c r="V138" s="622">
        <v>12</v>
      </c>
      <c r="W138" s="622" t="s">
        <v>49</v>
      </c>
      <c r="AB138" s="626">
        <v>8.0399999999999991</v>
      </c>
      <c r="AC138" s="626" t="s">
        <v>32</v>
      </c>
      <c r="AE138" s="1802">
        <v>34737</v>
      </c>
      <c r="AF138" s="622" t="s">
        <v>69</v>
      </c>
      <c r="AI138" s="1376"/>
      <c r="AJ138" s="622">
        <v>15</v>
      </c>
      <c r="AK138" s="622" t="s">
        <v>49</v>
      </c>
      <c r="AP138" s="1837"/>
      <c r="AQ138" s="1837"/>
      <c r="AS138" s="627" t="str">
        <f t="array" ref="AS138">IFERROR(IF($O$21="Metro",INDEX($AJ$23:$AJ$748,SMALL(IF((County=$AK$23:$AK$748),MATCH(ROW($AK$23:$AK$748),ROW($AK$23:$AK$748)),""),ROWS($A$23:$A138))),INDEX($AM$23:$AM$58,SMALL(IF((County=$AN$23:$AN$58),MATCH(ROW($AN$23:$AN$58),ROW($AN$23:$AN$58)),""),ROWS($A$23:$A138)))),"")</f>
        <v/>
      </c>
      <c r="AU138" s="627" t="str">
        <f t="array" ref="AU138">IFERROR(IF($Q$21="Yes",INDEX($AP$23:$AP$2323,SMALL(IF((County=$AQ$23:$AQ$2323),MATCH(ROW($AQ$23:$AQ$2323),ROW($AQ$23:$AQ$2323)),""),ROWS($A$23:$A138))),""),"")</f>
        <v/>
      </c>
      <c r="AW138" s="1802">
        <v>33137</v>
      </c>
      <c r="AX138" s="622" t="s">
        <v>78</v>
      </c>
      <c r="AZ138" s="622">
        <v>9.01</v>
      </c>
      <c r="BA138" s="625" t="s">
        <v>26</v>
      </c>
      <c r="BF138" s="1837"/>
      <c r="BG138" s="1837"/>
      <c r="BI138" s="1364"/>
      <c r="BJ138" s="1356" t="s">
        <v>1615</v>
      </c>
      <c r="BK138" s="1356" t="s">
        <v>1623</v>
      </c>
      <c r="BL138" s="1367" t="s">
        <v>1643</v>
      </c>
      <c r="BM138" s="1372" t="s">
        <v>1631</v>
      </c>
      <c r="BN138" s="1364"/>
      <c r="BO138" s="1364"/>
      <c r="BP138" s="1364"/>
      <c r="BQ138" s="1364"/>
      <c r="BR138" s="1364"/>
      <c r="BS138" s="1364"/>
    </row>
    <row r="139" spans="1:71" ht="14.5" customHeight="1">
      <c r="A139" s="1802">
        <v>33908</v>
      </c>
      <c r="B139" s="622" t="s">
        <v>70</v>
      </c>
      <c r="E139" s="1"/>
      <c r="F139" s="622">
        <v>110</v>
      </c>
      <c r="G139" s="622" t="s">
        <v>49</v>
      </c>
      <c r="L139" s="626">
        <v>101.02</v>
      </c>
      <c r="M139" s="626" t="s">
        <v>36</v>
      </c>
      <c r="N139" s="203"/>
      <c r="O139" s="627" t="str">
        <f t="array" ref="O139">IFERROR(IF($O$21="Metro",INDEX($F$23:$F$748,SMALL(IF((County=$G$23:$G$748),MATCH(ROW($G$23:$G$748),ROW($G$23:$G$748)),""),ROWS($A$23:A139))),INDEX($I$23:$I$52,SMALL(IF((County=$J$23:$J$52),MATCH(ROW($J$23:$J$52),ROW($J$23:$J$52)),""),ROWS($A$23:A139)))),"")</f>
        <v/>
      </c>
      <c r="Q139" s="627" t="str">
        <f t="array" ref="Q139">IFERROR(IF($Q$21="Yes",INDEX($L$23:$L$2323,SMALL(IF((County=$M$23:$M$2323),MATCH(ROW($M$23:$M$2323),ROW($M$23:$M$2323)),""),ROWS($A$23:A139))),""),"")</f>
        <v/>
      </c>
      <c r="S139" s="623">
        <v>33149</v>
      </c>
      <c r="T139" s="622" t="s">
        <v>78</v>
      </c>
      <c r="V139" s="622">
        <v>12</v>
      </c>
      <c r="W139" s="625" t="s">
        <v>63</v>
      </c>
      <c r="AB139" s="626">
        <v>8.0399999999999991</v>
      </c>
      <c r="AC139" s="626" t="s">
        <v>75</v>
      </c>
      <c r="AE139" s="1802">
        <v>33908</v>
      </c>
      <c r="AF139" s="622" t="s">
        <v>70</v>
      </c>
      <c r="AI139" s="1376"/>
      <c r="AJ139" s="622">
        <v>16</v>
      </c>
      <c r="AK139" s="622" t="s">
        <v>49</v>
      </c>
      <c r="AP139" s="1837"/>
      <c r="AQ139" s="1837"/>
      <c r="AS139" s="627" t="str">
        <f t="array" ref="AS139">IFERROR(IF($O$21="Metro",INDEX($AJ$23:$AJ$748,SMALL(IF((County=$AK$23:$AK$748),MATCH(ROW($AK$23:$AK$748),ROW($AK$23:$AK$748)),""),ROWS($A$23:$A139))),INDEX($AM$23:$AM$58,SMALL(IF((County=$AN$23:$AN$58),MATCH(ROW($AN$23:$AN$58),ROW($AN$23:$AN$58)),""),ROWS($A$23:$A139)))),"")</f>
        <v/>
      </c>
      <c r="AU139" s="627" t="str">
        <f t="array" ref="AU139">IFERROR(IF($Q$21="Yes",INDEX($AP$23:$AP$2323,SMALL(IF((County=$AQ$23:$AQ$2323),MATCH(ROW($AQ$23:$AQ$2323),ROW($AQ$23:$AQ$2323)),""),ROWS($A$23:$A139))),""),"")</f>
        <v/>
      </c>
      <c r="AW139" s="1802">
        <v>33139</v>
      </c>
      <c r="AX139" s="622" t="s">
        <v>78</v>
      </c>
      <c r="AZ139" s="622">
        <v>9.01</v>
      </c>
      <c r="BA139" s="625" t="s">
        <v>63</v>
      </c>
      <c r="BF139" s="1837"/>
      <c r="BG139" s="1837"/>
      <c r="BI139" s="1364"/>
      <c r="BJ139" s="1356" t="s">
        <v>1615</v>
      </c>
      <c r="BK139" s="1356" t="s">
        <v>1623</v>
      </c>
      <c r="BL139" s="1367" t="s">
        <v>1644</v>
      </c>
      <c r="BM139" s="1372" t="s">
        <v>1645</v>
      </c>
      <c r="BN139" s="1364"/>
      <c r="BO139" s="1364"/>
      <c r="BP139" s="1364"/>
      <c r="BQ139" s="1364"/>
      <c r="BR139" s="1364"/>
      <c r="BS139" s="1364"/>
    </row>
    <row r="140" spans="1:71" ht="14.5" customHeight="1">
      <c r="A140" s="1802">
        <v>33909</v>
      </c>
      <c r="B140" s="622" t="s">
        <v>70</v>
      </c>
      <c r="E140" s="1"/>
      <c r="F140" s="622">
        <v>111</v>
      </c>
      <c r="G140" s="622" t="s">
        <v>49</v>
      </c>
      <c r="L140" s="626">
        <v>101.03</v>
      </c>
      <c r="M140" s="626" t="s">
        <v>36</v>
      </c>
      <c r="N140" s="203"/>
      <c r="O140" s="627" t="str">
        <f t="array" ref="O140">IFERROR(IF($O$21="Metro",INDEX($F$23:$F$748,SMALL(IF((County=$G$23:$G$748),MATCH(ROW($G$23:$G$748),ROW($G$23:$G$748)),""),ROWS($A$23:A140))),INDEX($I$23:$I$52,SMALL(IF((County=$J$23:$J$52),MATCH(ROW($J$23:$J$52),ROW($J$23:$J$52)),""),ROWS($A$23:A140)))),"")</f>
        <v/>
      </c>
      <c r="Q140" s="627" t="str">
        <f t="array" ref="Q140">IFERROR(IF($Q$21="Yes",INDEX($L$23:$L$2323,SMALL(IF((County=$M$23:$M$2323),MATCH(ROW($M$23:$M$2323),ROW($M$23:$M$2323)),""),ROWS($A$23:A140))),""),"")</f>
        <v/>
      </c>
      <c r="S140" s="623">
        <v>33154</v>
      </c>
      <c r="T140" s="622" t="s">
        <v>78</v>
      </c>
      <c r="V140" s="622">
        <v>12</v>
      </c>
      <c r="W140" s="625" t="s">
        <v>71</v>
      </c>
      <c r="AB140" s="626">
        <v>8.0399999999999991</v>
      </c>
      <c r="AC140" s="626" t="s">
        <v>87</v>
      </c>
      <c r="AE140" s="1802">
        <v>33912</v>
      </c>
      <c r="AF140" s="622" t="s">
        <v>70</v>
      </c>
      <c r="AI140" s="1376"/>
      <c r="AJ140" s="622">
        <v>25.01</v>
      </c>
      <c r="AK140" s="622" t="s">
        <v>49</v>
      </c>
      <c r="AP140" s="1837"/>
      <c r="AQ140" s="1837"/>
      <c r="AS140" s="627" t="str">
        <f t="array" ref="AS140">IFERROR(IF($O$21="Metro",INDEX($AJ$23:$AJ$748,SMALL(IF((County=$AK$23:$AK$748),MATCH(ROW($AK$23:$AK$748),ROW($AK$23:$AK$748)),""),ROWS($A$23:$A140))),INDEX($AM$23:$AM$58,SMALL(IF((County=$AN$23:$AN$58),MATCH(ROW($AN$23:$AN$58),ROW($AN$23:$AN$58)),""),ROWS($A$23:$A140)))),"")</f>
        <v/>
      </c>
      <c r="AU140" s="627" t="str">
        <f t="array" ref="AU140">IFERROR(IF($Q$21="Yes",INDEX($AP$23:$AP$2323,SMALL(IF((County=$AQ$23:$AQ$2323),MATCH(ROW($AQ$23:$AQ$2323),ROW($AQ$23:$AQ$2323)),""),ROWS($A$23:$A140))),""),"")</f>
        <v/>
      </c>
      <c r="AW140" s="1802">
        <v>33140</v>
      </c>
      <c r="AX140" s="622" t="s">
        <v>78</v>
      </c>
      <c r="AZ140" s="622">
        <v>9.02</v>
      </c>
      <c r="BA140" s="625" t="s">
        <v>63</v>
      </c>
      <c r="BF140" s="1837"/>
      <c r="BG140" s="1837"/>
      <c r="BI140" s="1364"/>
      <c r="BJ140" s="1356" t="s">
        <v>1615</v>
      </c>
      <c r="BK140" s="1356" t="s">
        <v>1623</v>
      </c>
      <c r="BL140" s="1367" t="s">
        <v>1646</v>
      </c>
      <c r="BM140" s="1379"/>
      <c r="BN140" s="1364"/>
      <c r="BO140" s="1364"/>
      <c r="BP140" s="1364"/>
      <c r="BQ140" s="1364"/>
      <c r="BR140" s="1364"/>
      <c r="BS140" s="1364"/>
    </row>
    <row r="141" spans="1:71" ht="14.5" customHeight="1">
      <c r="A141" s="1802">
        <v>33912</v>
      </c>
      <c r="B141" s="622" t="s">
        <v>70</v>
      </c>
      <c r="E141" s="1"/>
      <c r="F141" s="622">
        <v>112</v>
      </c>
      <c r="G141" s="622" t="s">
        <v>49</v>
      </c>
      <c r="L141" s="626">
        <v>101.04</v>
      </c>
      <c r="M141" s="626" t="s">
        <v>36</v>
      </c>
      <c r="N141" s="203"/>
      <c r="O141" s="627" t="str">
        <f t="array" ref="O141">IFERROR(IF($O$21="Metro",INDEX($F$23:$F$748,SMALL(IF((County=$G$23:$G$748),MATCH(ROW($G$23:$G$748),ROW($G$23:$G$748)),""),ROWS($A$23:A141))),INDEX($I$23:$I$52,SMALL(IF((County=$J$23:$J$52),MATCH(ROW($J$23:$J$52),ROW($J$23:$J$52)),""),ROWS($A$23:A141)))),"")</f>
        <v/>
      </c>
      <c r="Q141" s="627" t="str">
        <f t="array" ref="Q141">IFERROR(IF($Q$21="Yes",INDEX($L$23:$L$2323,SMALL(IF((County=$M$23:$M$2323),MATCH(ROW($M$23:$M$2323),ROW($M$23:$M$2323)),""),ROWS($A$23:A141))),""),"")</f>
        <v/>
      </c>
      <c r="S141" s="623">
        <v>33155</v>
      </c>
      <c r="T141" s="622" t="s">
        <v>78</v>
      </c>
      <c r="V141" s="622">
        <v>12</v>
      </c>
      <c r="W141" s="625" t="s">
        <v>77</v>
      </c>
      <c r="AB141" s="626">
        <v>8.0500000000000007</v>
      </c>
      <c r="AC141" s="626" t="s">
        <v>75</v>
      </c>
      <c r="AE141" s="1802">
        <v>33913</v>
      </c>
      <c r="AF141" s="622" t="s">
        <v>70</v>
      </c>
      <c r="AI141" s="1376"/>
      <c r="AJ141" s="622">
        <v>26</v>
      </c>
      <c r="AK141" s="622" t="s">
        <v>49</v>
      </c>
      <c r="AP141" s="1837"/>
      <c r="AQ141" s="1837"/>
      <c r="AS141" s="627" t="str">
        <f t="array" ref="AS141">IFERROR(IF($O$21="Metro",INDEX($AJ$23:$AJ$748,SMALL(IF((County=$AK$23:$AK$748),MATCH(ROW($AK$23:$AK$748),ROW($AK$23:$AK$748)),""),ROWS($A$23:$A141))),INDEX($AM$23:$AM$58,SMALL(IF((County=$AN$23:$AN$58),MATCH(ROW($AN$23:$AN$58),ROW($AN$23:$AN$58)),""),ROWS($A$23:$A141)))),"")</f>
        <v/>
      </c>
      <c r="AU141" s="627" t="str">
        <f t="array" ref="AU141">IFERROR(IF($Q$21="Yes",INDEX($AP$23:$AP$2323,SMALL(IF((County=$AQ$23:$AQ$2323),MATCH(ROW($AQ$23:$AQ$2323),ROW($AQ$23:$AQ$2323)),""),ROWS($A$23:$A141))),""),"")</f>
        <v/>
      </c>
      <c r="AW141" s="1802">
        <v>33141</v>
      </c>
      <c r="AX141" s="622" t="s">
        <v>78</v>
      </c>
      <c r="AZ141" s="622">
        <v>9.0299999999999994</v>
      </c>
      <c r="BA141" s="625" t="s">
        <v>78</v>
      </c>
      <c r="BF141" s="1837"/>
      <c r="BG141" s="1837"/>
      <c r="BI141" s="1364"/>
      <c r="BJ141" s="1356" t="s">
        <v>1615</v>
      </c>
      <c r="BK141" s="1356" t="s">
        <v>1623</v>
      </c>
      <c r="BL141" s="1367" t="s">
        <v>1647</v>
      </c>
      <c r="BM141" s="1372" t="s">
        <v>1631</v>
      </c>
      <c r="BN141" s="1364"/>
      <c r="BO141" s="1364"/>
      <c r="BP141" s="1364"/>
      <c r="BQ141" s="1364"/>
      <c r="BR141" s="1364"/>
      <c r="BS141" s="1364"/>
    </row>
    <row r="142" spans="1:71" ht="14.5" customHeight="1">
      <c r="A142" s="1802">
        <v>33913</v>
      </c>
      <c r="B142" s="622" t="s">
        <v>70</v>
      </c>
      <c r="E142" s="1"/>
      <c r="F142" s="622">
        <v>113</v>
      </c>
      <c r="G142" s="622" t="s">
        <v>49</v>
      </c>
      <c r="L142" s="626">
        <v>103.08</v>
      </c>
      <c r="M142" s="626" t="s">
        <v>36</v>
      </c>
      <c r="N142" s="203"/>
      <c r="O142" s="627" t="str">
        <f t="array" ref="O142">IFERROR(IF($O$21="Metro",INDEX($F$23:$F$748,SMALL(IF((County=$G$23:$G$748),MATCH(ROW($G$23:$G$748),ROW($G$23:$G$748)),""),ROWS($A$23:A142))),INDEX($I$23:$I$52,SMALL(IF((County=$J$23:$J$52),MATCH(ROW($J$23:$J$52),ROW($J$23:$J$52)),""),ROWS($A$23:A142)))),"")</f>
        <v/>
      </c>
      <c r="Q142" s="627" t="str">
        <f t="array" ref="Q142">IFERROR(IF($Q$21="Yes",INDEX($L$23:$L$2323,SMALL(IF((County=$M$23:$M$2323),MATCH(ROW($M$23:$M$2323),ROW($M$23:$M$2323)),""),ROWS($A$23:A142))),""),"")</f>
        <v/>
      </c>
      <c r="S142" s="623">
        <v>33156</v>
      </c>
      <c r="T142" s="622" t="s">
        <v>78</v>
      </c>
      <c r="V142" s="622">
        <v>12.03</v>
      </c>
      <c r="W142" s="625" t="s">
        <v>78</v>
      </c>
      <c r="AB142" s="626">
        <v>8.07</v>
      </c>
      <c r="AC142" s="626" t="s">
        <v>75</v>
      </c>
      <c r="AE142" s="1802">
        <v>33921</v>
      </c>
      <c r="AF142" s="622" t="s">
        <v>70</v>
      </c>
      <c r="AI142" s="1376"/>
      <c r="AJ142" s="622">
        <v>27.01</v>
      </c>
      <c r="AK142" s="622" t="s">
        <v>49</v>
      </c>
      <c r="AP142" s="1837"/>
      <c r="AQ142" s="1837"/>
      <c r="AS142" s="627" t="str">
        <f t="array" ref="AS142">IFERROR(IF($O$21="Metro",INDEX($AJ$23:$AJ$748,SMALL(IF((County=$AK$23:$AK$748),MATCH(ROW($AK$23:$AK$748),ROW($AK$23:$AK$748)),""),ROWS($A$23:$A142))),INDEX($AM$23:$AM$58,SMALL(IF((County=$AN$23:$AN$58),MATCH(ROW($AN$23:$AN$58),ROW($AN$23:$AN$58)),""),ROWS($A$23:$A142)))),"")</f>
        <v/>
      </c>
      <c r="AU142" s="627" t="str">
        <f t="array" ref="AU142">IFERROR(IF($Q$21="Yes",INDEX($AP$23:$AP$2323,SMALL(IF((County=$AQ$23:$AQ$2323),MATCH(ROW($AQ$23:$AQ$2323),ROW($AQ$23:$AQ$2323)),""),ROWS($A$23:$A142))),""),"")</f>
        <v/>
      </c>
      <c r="AW142" s="1802">
        <v>33143</v>
      </c>
      <c r="AX142" s="622" t="s">
        <v>78</v>
      </c>
      <c r="AZ142" s="622">
        <v>9.0399999999999991</v>
      </c>
      <c r="BA142" s="625" t="s">
        <v>78</v>
      </c>
      <c r="BF142" s="1837"/>
      <c r="BG142" s="1837"/>
      <c r="BI142" s="1364"/>
      <c r="BJ142" s="1364"/>
      <c r="BK142" s="1372"/>
      <c r="BL142" s="1372"/>
      <c r="BM142" s="1372"/>
      <c r="BN142" s="1364"/>
      <c r="BO142" s="1364"/>
      <c r="BP142" s="1364"/>
      <c r="BQ142" s="1364"/>
      <c r="BR142" s="1364"/>
      <c r="BS142" s="1364"/>
    </row>
    <row r="143" spans="1:71" ht="14.5" customHeight="1">
      <c r="A143" s="1802">
        <v>33914</v>
      </c>
      <c r="B143" s="622" t="s">
        <v>70</v>
      </c>
      <c r="E143" s="1"/>
      <c r="F143" s="622">
        <v>114</v>
      </c>
      <c r="G143" s="622" t="s">
        <v>49</v>
      </c>
      <c r="L143" s="626">
        <v>104.01</v>
      </c>
      <c r="M143" s="626" t="s">
        <v>36</v>
      </c>
      <c r="N143" s="203"/>
      <c r="O143" s="627" t="str">
        <f t="array" ref="O143">IFERROR(IF($O$21="Metro",INDEX($F$23:$F$748,SMALL(IF((County=$G$23:$G$748),MATCH(ROW($G$23:$G$748),ROW($G$23:$G$748)),""),ROWS($A$23:A143))),INDEX($I$23:$I$52,SMALL(IF((County=$J$23:$J$52),MATCH(ROW($J$23:$J$52),ROW($J$23:$J$52)),""),ROWS($A$23:A143)))),"")</f>
        <v/>
      </c>
      <c r="Q143" s="627" t="str">
        <f t="array" ref="Q143">IFERROR(IF($Q$21="Yes",INDEX($L$23:$L$2323,SMALL(IF((County=$M$23:$M$2323),MATCH(ROW($M$23:$M$2323),ROW($M$23:$M$2323)),""),ROWS($A$23:A143))),""),"")</f>
        <v/>
      </c>
      <c r="S143" s="623">
        <v>33158</v>
      </c>
      <c r="T143" s="622" t="s">
        <v>78</v>
      </c>
      <c r="V143" s="622">
        <v>13</v>
      </c>
      <c r="W143" s="622" t="s">
        <v>49</v>
      </c>
      <c r="AB143" s="626">
        <v>8.08</v>
      </c>
      <c r="AC143" s="626" t="s">
        <v>75</v>
      </c>
      <c r="AE143" s="1802">
        <v>33924</v>
      </c>
      <c r="AF143" s="622" t="s">
        <v>70</v>
      </c>
      <c r="AI143" s="1376"/>
      <c r="AJ143" s="622">
        <v>27.02</v>
      </c>
      <c r="AK143" s="622" t="s">
        <v>49</v>
      </c>
      <c r="AP143" s="1837"/>
      <c r="AQ143" s="1837"/>
      <c r="AS143" s="627" t="str">
        <f t="array" ref="AS143">IFERROR(IF($O$21="Metro",INDEX($AJ$23:$AJ$748,SMALL(IF((County=$AK$23:$AK$748),MATCH(ROW($AK$23:$AK$748),ROW($AK$23:$AK$748)),""),ROWS($A$23:$A143))),INDEX($AM$23:$AM$58,SMALL(IF((County=$AN$23:$AN$58),MATCH(ROW($AN$23:$AN$58),ROW($AN$23:$AN$58)),""),ROWS($A$23:$A143)))),"")</f>
        <v/>
      </c>
      <c r="AU143" s="627" t="str">
        <f t="array" ref="AU143">IFERROR(IF($Q$21="Yes",INDEX($AP$23:$AP$2323,SMALL(IF((County=$AQ$23:$AQ$2323),MATCH(ROW($AQ$23:$AQ$2323),ROW($AQ$23:$AQ$2323)),""),ROWS($A$23:$A143))),""),"")</f>
        <v/>
      </c>
      <c r="AW143" s="1802">
        <v>33144</v>
      </c>
      <c r="AX143" s="622" t="s">
        <v>78</v>
      </c>
      <c r="AZ143" s="622">
        <v>9.06</v>
      </c>
      <c r="BA143" s="625" t="s">
        <v>78</v>
      </c>
      <c r="BF143" s="1837"/>
      <c r="BG143" s="1837"/>
      <c r="BI143" s="1364"/>
      <c r="BJ143" s="1364"/>
      <c r="BK143" s="1372"/>
      <c r="BL143" s="1372"/>
      <c r="BM143" s="1372"/>
      <c r="BN143" s="1364"/>
      <c r="BO143" s="1364"/>
      <c r="BP143" s="1364"/>
      <c r="BQ143" s="1364"/>
      <c r="BR143" s="1364"/>
      <c r="BS143" s="1364"/>
    </row>
    <row r="144" spans="1:71" ht="14.5" customHeight="1">
      <c r="A144" s="1802">
        <v>33919</v>
      </c>
      <c r="B144" s="622" t="s">
        <v>70</v>
      </c>
      <c r="E144" s="1"/>
      <c r="F144" s="622">
        <v>115</v>
      </c>
      <c r="G144" s="622" t="s">
        <v>49</v>
      </c>
      <c r="L144" s="626">
        <v>104.06</v>
      </c>
      <c r="M144" s="626" t="s">
        <v>36</v>
      </c>
      <c r="N144" s="203"/>
      <c r="O144" s="627" t="str">
        <f t="array" ref="O144">IFERROR(IF($O$21="Metro",INDEX($F$23:$F$748,SMALL(IF((County=$G$23:$G$748),MATCH(ROW($G$23:$G$748),ROW($G$23:$G$748)),""),ROWS($A$23:A144))),INDEX($I$23:$I$52,SMALL(IF((County=$J$23:$J$52),MATCH(ROW($J$23:$J$52),ROW($J$23:$J$52)),""),ROWS($A$23:A144)))),"")</f>
        <v/>
      </c>
      <c r="Q144" s="627" t="str">
        <f t="array" ref="Q144">IFERROR(IF($Q$21="Yes",INDEX($L$23:$L$2323,SMALL(IF((County=$M$23:$M$2323),MATCH(ROW($M$23:$M$2323),ROW($M$23:$M$2323)),""),ROWS($A$23:A144))),""),"")</f>
        <v/>
      </c>
      <c r="S144" s="623">
        <v>33160</v>
      </c>
      <c r="T144" s="622" t="s">
        <v>78</v>
      </c>
      <c r="V144" s="622">
        <v>13</v>
      </c>
      <c r="W144" s="625" t="s">
        <v>51</v>
      </c>
      <c r="AB144" s="626">
        <v>8.09</v>
      </c>
      <c r="AC144" s="626" t="s">
        <v>75</v>
      </c>
      <c r="AE144" s="1802">
        <v>33928</v>
      </c>
      <c r="AF144" s="622" t="s">
        <v>70</v>
      </c>
      <c r="AI144" s="1376"/>
      <c r="AJ144" s="622">
        <v>28.01</v>
      </c>
      <c r="AK144" s="622" t="s">
        <v>49</v>
      </c>
      <c r="AP144" s="1837"/>
      <c r="AQ144" s="1837"/>
      <c r="AS144" s="627" t="str">
        <f t="array" ref="AS144">IFERROR(IF($O$21="Metro",INDEX($AJ$23:$AJ$748,SMALL(IF((County=$AK$23:$AK$748),MATCH(ROW($AK$23:$AK$748),ROW($AK$23:$AK$748)),""),ROWS($A$23:$A144))),INDEX($AM$23:$AM$58,SMALL(IF((County=$AN$23:$AN$58),MATCH(ROW($AN$23:$AN$58),ROW($AN$23:$AN$58)),""),ROWS($A$23:$A144)))),"")</f>
        <v/>
      </c>
      <c r="AU144" s="627" t="str">
        <f t="array" ref="AU144">IFERROR(IF($Q$21="Yes",INDEX($AP$23:$AP$2323,SMALL(IF((County=$AQ$23:$AQ$2323),MATCH(ROW($AQ$23:$AQ$2323),ROW($AQ$23:$AQ$2323)),""),ROWS($A$23:$A144))),""),"")</f>
        <v/>
      </c>
      <c r="AW144" s="1802">
        <v>33145</v>
      </c>
      <c r="AX144" s="622" t="s">
        <v>78</v>
      </c>
      <c r="AZ144" s="622">
        <v>9.07</v>
      </c>
      <c r="BA144" s="625" t="s">
        <v>78</v>
      </c>
      <c r="BF144" s="1837"/>
      <c r="BG144" s="1837"/>
      <c r="BI144" s="1364"/>
      <c r="BJ144" s="1364"/>
      <c r="BK144" s="1372"/>
      <c r="BL144" s="1372"/>
      <c r="BM144" s="1372"/>
      <c r="BN144" s="1364"/>
      <c r="BO144" s="1364"/>
      <c r="BP144" s="1364"/>
      <c r="BQ144" s="1364"/>
      <c r="BR144" s="1364"/>
      <c r="BS144" s="1364"/>
    </row>
    <row r="145" spans="1:71" ht="14.5" customHeight="1">
      <c r="A145" s="1802">
        <v>33921</v>
      </c>
      <c r="B145" s="622" t="s">
        <v>70</v>
      </c>
      <c r="E145" s="1"/>
      <c r="F145" s="622">
        <v>116</v>
      </c>
      <c r="G145" s="622" t="s">
        <v>49</v>
      </c>
      <c r="L145" s="626">
        <v>105.02</v>
      </c>
      <c r="M145" s="626" t="s">
        <v>36</v>
      </c>
      <c r="N145" s="203"/>
      <c r="O145" s="627" t="str">
        <f t="array" ref="O145">IFERROR(IF($O$21="Metro",INDEX($F$23:$F$748,SMALL(IF((County=$G$23:$G$748),MATCH(ROW($G$23:$G$748),ROW($G$23:$G$748)),""),ROWS($A$23:A145))),INDEX($I$23:$I$52,SMALL(IF((County=$J$23:$J$52),MATCH(ROW($J$23:$J$52),ROW($J$23:$J$52)),""),ROWS($A$23:A145)))),"")</f>
        <v/>
      </c>
      <c r="Q145" s="627" t="str">
        <f t="array" ref="Q145">IFERROR(IF($Q$21="Yes",INDEX($L$23:$L$2323,SMALL(IF((County=$M$23:$M$2323),MATCH(ROW($M$23:$M$2323),ROW($M$23:$M$2323)),""),ROWS($A$23:A145))),""),"")</f>
        <v/>
      </c>
      <c r="S145" s="623">
        <v>33165</v>
      </c>
      <c r="T145" s="622" t="s">
        <v>78</v>
      </c>
      <c r="V145" s="622">
        <v>13.01</v>
      </c>
      <c r="W145" s="625" t="s">
        <v>78</v>
      </c>
      <c r="AB145" s="626">
        <v>8.1</v>
      </c>
      <c r="AC145" s="626" t="s">
        <v>75</v>
      </c>
      <c r="AE145" s="1802">
        <v>33957</v>
      </c>
      <c r="AF145" s="622" t="s">
        <v>70</v>
      </c>
      <c r="AI145" s="1376"/>
      <c r="AJ145" s="622">
        <v>28.02</v>
      </c>
      <c r="AK145" s="622" t="s">
        <v>49</v>
      </c>
      <c r="AP145" s="1837"/>
      <c r="AQ145" s="1837"/>
      <c r="AS145" s="627" t="str">
        <f t="array" ref="AS145">IFERROR(IF($O$21="Metro",INDEX($AJ$23:$AJ$748,SMALL(IF((County=$AK$23:$AK$748),MATCH(ROW($AK$23:$AK$748),ROW($AK$23:$AK$748)),""),ROWS($A$23:$A145))),INDEX($AM$23:$AM$58,SMALL(IF((County=$AN$23:$AN$58),MATCH(ROW($AN$23:$AN$58),ROW($AN$23:$AN$58)),""),ROWS($A$23:$A145)))),"")</f>
        <v/>
      </c>
      <c r="AU145" s="627" t="str">
        <f t="array" ref="AU145">IFERROR(IF($Q$21="Yes",INDEX($AP$23:$AP$2323,SMALL(IF((County=$AQ$23:$AQ$2323),MATCH(ROW($AQ$23:$AQ$2323),ROW($AQ$23:$AQ$2323)),""),ROWS($A$23:$A145))),""),"")</f>
        <v/>
      </c>
      <c r="AW145" s="1802">
        <v>33146</v>
      </c>
      <c r="AX145" s="622" t="s">
        <v>78</v>
      </c>
      <c r="AZ145" s="622">
        <v>9.08</v>
      </c>
      <c r="BA145" s="622" t="s">
        <v>78</v>
      </c>
      <c r="BF145" s="1837"/>
      <c r="BG145" s="1837"/>
      <c r="BI145" s="1364"/>
      <c r="BJ145" s="1364"/>
      <c r="BK145" s="1372"/>
      <c r="BL145" s="1372"/>
      <c r="BM145" s="1372"/>
      <c r="BN145" s="1364"/>
      <c r="BO145" s="1364"/>
      <c r="BP145" s="1364"/>
      <c r="BQ145" s="1364"/>
      <c r="BR145" s="1364"/>
      <c r="BS145" s="1364"/>
    </row>
    <row r="146" spans="1:71" ht="14.5" customHeight="1">
      <c r="A146" s="1802">
        <v>33924</v>
      </c>
      <c r="B146" s="622" t="s">
        <v>70</v>
      </c>
      <c r="E146" s="1"/>
      <c r="F146" s="622">
        <v>118</v>
      </c>
      <c r="G146" s="622" t="s">
        <v>49</v>
      </c>
      <c r="L146" s="626">
        <v>105.03</v>
      </c>
      <c r="M146" s="626" t="s">
        <v>36</v>
      </c>
      <c r="N146" s="203"/>
      <c r="O146" s="627" t="str">
        <f t="array" ref="O146">IFERROR(IF($O$21="Metro",INDEX($F$23:$F$748,SMALL(IF((County=$G$23:$G$748),MATCH(ROW($G$23:$G$748),ROW($G$23:$G$748)),""),ROWS($A$23:A146))),INDEX($I$23:$I$52,SMALL(IF((County=$J$23:$J$52),MATCH(ROW($J$23:$J$52),ROW($J$23:$J$52)),""),ROWS($A$23:A146)))),"")</f>
        <v/>
      </c>
      <c r="Q146" s="627" t="str">
        <f t="array" ref="Q146">IFERROR(IF($Q$21="Yes",INDEX($L$23:$L$2323,SMALL(IF((County=$M$23:$M$2323),MATCH(ROW($M$23:$M$2323),ROW($M$23:$M$2323)),""),ROWS($A$23:A146))),""),"")</f>
        <v/>
      </c>
      <c r="S146" s="623">
        <v>33172</v>
      </c>
      <c r="T146" s="622" t="s">
        <v>78</v>
      </c>
      <c r="V146" s="622">
        <v>13.01</v>
      </c>
      <c r="W146" s="625" t="s">
        <v>87</v>
      </c>
      <c r="AB146" s="626">
        <v>9</v>
      </c>
      <c r="AC146" s="626" t="s">
        <v>51</v>
      </c>
      <c r="AE146" s="1802">
        <v>33965</v>
      </c>
      <c r="AF146" s="622" t="s">
        <v>70</v>
      </c>
      <c r="AI146" s="1376"/>
      <c r="AJ146" s="622">
        <v>29.01</v>
      </c>
      <c r="AK146" s="622" t="s">
        <v>49</v>
      </c>
      <c r="AP146" s="1837"/>
      <c r="AQ146" s="1837"/>
      <c r="AS146" s="627" t="str">
        <f t="array" ref="AS146">IFERROR(IF($O$21="Metro",INDEX($AJ$23:$AJ$748,SMALL(IF((County=$AK$23:$AK$748),MATCH(ROW($AK$23:$AK$748),ROW($AK$23:$AK$748)),""),ROWS($A$23:$A146))),INDEX($AM$23:$AM$58,SMALL(IF((County=$AN$23:$AN$58),MATCH(ROW($AN$23:$AN$58),ROW($AN$23:$AN$58)),""),ROWS($A$23:$A146)))),"")</f>
        <v/>
      </c>
      <c r="AU146" s="627" t="str">
        <f t="array" ref="AU146">IFERROR(IF($Q$21="Yes",INDEX($AP$23:$AP$2323,SMALL(IF((County=$AQ$23:$AQ$2323),MATCH(ROW($AQ$23:$AQ$2323),ROW($AQ$23:$AQ$2323)),""),ROWS($A$23:$A146))),""),"")</f>
        <v/>
      </c>
      <c r="AW146" s="1802">
        <v>33149</v>
      </c>
      <c r="AX146" s="622" t="s">
        <v>78</v>
      </c>
      <c r="AZ146" s="622">
        <v>10</v>
      </c>
      <c r="BA146" s="625" t="s">
        <v>32</v>
      </c>
      <c r="BF146" s="1837"/>
      <c r="BG146" s="1837"/>
      <c r="BI146" s="1364"/>
      <c r="BJ146" s="1364"/>
      <c r="BK146" s="1372"/>
      <c r="BL146" s="1372"/>
      <c r="BM146" s="1372"/>
      <c r="BN146" s="1364"/>
      <c r="BO146" s="1364"/>
      <c r="BP146" s="1364"/>
      <c r="BQ146" s="1364"/>
      <c r="BR146" s="1364"/>
      <c r="BS146" s="1364"/>
    </row>
    <row r="147" spans="1:71" ht="14.5" customHeight="1">
      <c r="A147" s="1802">
        <v>33928</v>
      </c>
      <c r="B147" s="622" t="s">
        <v>70</v>
      </c>
      <c r="E147" s="1"/>
      <c r="F147" s="622">
        <v>121</v>
      </c>
      <c r="G147" s="622" t="s">
        <v>49</v>
      </c>
      <c r="L147" s="626">
        <v>105.04</v>
      </c>
      <c r="M147" s="626" t="s">
        <v>36</v>
      </c>
      <c r="N147" s="203"/>
      <c r="O147" s="627" t="str">
        <f t="array" ref="O147">IFERROR(IF($O$21="Metro",INDEX($F$23:$F$748,SMALL(IF((County=$G$23:$G$748),MATCH(ROW($G$23:$G$748),ROW($G$23:$G$748)),""),ROWS($A$23:A147))),INDEX($I$23:$I$52,SMALL(IF((County=$J$23:$J$52),MATCH(ROW($J$23:$J$52),ROW($J$23:$J$52)),""),ROWS($A$23:A147)))),"")</f>
        <v/>
      </c>
      <c r="Q147" s="627" t="str">
        <f t="array" ref="Q147">IFERROR(IF($Q$21="Yes",INDEX($L$23:$L$2323,SMALL(IF((County=$M$23:$M$2323),MATCH(ROW($M$23:$M$2323),ROW($M$23:$M$2323)),""),ROWS($A$23:A147))),""),"")</f>
        <v/>
      </c>
      <c r="S147" s="623">
        <v>33173</v>
      </c>
      <c r="T147" s="622" t="s">
        <v>78</v>
      </c>
      <c r="V147" s="622">
        <v>13.02</v>
      </c>
      <c r="W147" s="625" t="s">
        <v>87</v>
      </c>
      <c r="AB147" s="626">
        <v>9</v>
      </c>
      <c r="AC147" s="626" t="s">
        <v>70</v>
      </c>
      <c r="AE147" s="1802">
        <v>33967</v>
      </c>
      <c r="AF147" s="622" t="s">
        <v>70</v>
      </c>
      <c r="AI147" s="1376"/>
      <c r="AJ147" s="622">
        <v>29.02</v>
      </c>
      <c r="AK147" s="622" t="s">
        <v>49</v>
      </c>
      <c r="AP147" s="1837"/>
      <c r="AQ147" s="1837"/>
      <c r="AS147" s="627" t="str">
        <f t="array" ref="AS147">IFERROR(IF($O$21="Metro",INDEX($AJ$23:$AJ$748,SMALL(IF((County=$AK$23:$AK$748),MATCH(ROW($AK$23:$AK$748),ROW($AK$23:$AK$748)),""),ROWS($A$23:$A147))),INDEX($AM$23:$AM$58,SMALL(IF((County=$AN$23:$AN$58),MATCH(ROW($AN$23:$AN$58),ROW($AN$23:$AN$58)),""),ROWS($A$23:$A147)))),"")</f>
        <v/>
      </c>
      <c r="AU147" s="627" t="str">
        <f t="array" ref="AU147">IFERROR(IF($Q$21="Yes",INDEX($AP$23:$AP$2323,SMALL(IF((County=$AQ$23:$AQ$2323),MATCH(ROW($AQ$23:$AQ$2323),ROW($AQ$23:$AQ$2323)),""),ROWS($A$23:$A147))),""),"")</f>
        <v/>
      </c>
      <c r="AW147" s="1802">
        <v>33154</v>
      </c>
      <c r="AX147" s="622" t="s">
        <v>78</v>
      </c>
      <c r="AZ147" s="622">
        <v>10</v>
      </c>
      <c r="BA147" s="622" t="s">
        <v>49</v>
      </c>
      <c r="BF147" s="1837"/>
      <c r="BG147" s="1837"/>
      <c r="BI147" s="1364"/>
      <c r="BJ147" s="1364"/>
      <c r="BK147" s="1372"/>
      <c r="BL147" s="1372"/>
      <c r="BM147" s="1372"/>
      <c r="BN147" s="1364"/>
      <c r="BO147" s="1364"/>
      <c r="BP147" s="1364"/>
      <c r="BQ147" s="1364"/>
      <c r="BR147" s="1364"/>
      <c r="BS147" s="1364"/>
    </row>
    <row r="148" spans="1:71" ht="14.5" customHeight="1">
      <c r="A148" s="1802">
        <v>33957</v>
      </c>
      <c r="B148" s="622" t="s">
        <v>70</v>
      </c>
      <c r="E148" s="1"/>
      <c r="F148" s="622">
        <v>122</v>
      </c>
      <c r="G148" s="622" t="s">
        <v>49</v>
      </c>
      <c r="L148" s="626">
        <v>106.01</v>
      </c>
      <c r="M148" s="626" t="s">
        <v>36</v>
      </c>
      <c r="N148" s="203"/>
      <c r="O148" s="627" t="str">
        <f t="array" ref="O148">IFERROR(IF($O$21="Metro",INDEX($F$23:$F$748,SMALL(IF((County=$G$23:$G$748),MATCH(ROW($G$23:$G$748),ROW($G$23:$G$748)),""),ROWS($A$23:A148))),INDEX($I$23:$I$52,SMALL(IF((County=$J$23:$J$52),MATCH(ROW($J$23:$J$52),ROW($J$23:$J$52)),""),ROWS($A$23:A148)))),"")</f>
        <v/>
      </c>
      <c r="Q148" s="627" t="str">
        <f t="array" ref="Q148">IFERROR(IF($Q$21="Yes",INDEX($L$23:$L$2323,SMALL(IF((County=$M$23:$M$2323),MATCH(ROW($M$23:$M$2323),ROW($M$23:$M$2323)),""),ROWS($A$23:A148))),""),"")</f>
        <v/>
      </c>
      <c r="S148" s="623">
        <v>33175</v>
      </c>
      <c r="T148" s="622" t="s">
        <v>78</v>
      </c>
      <c r="V148" s="622">
        <v>14</v>
      </c>
      <c r="W148" s="622" t="s">
        <v>49</v>
      </c>
      <c r="AB148" s="626">
        <v>9</v>
      </c>
      <c r="AC148" s="626" t="s">
        <v>96</v>
      </c>
      <c r="AE148" s="1802">
        <v>33991</v>
      </c>
      <c r="AF148" s="622" t="s">
        <v>70</v>
      </c>
      <c r="AI148" s="1376"/>
      <c r="AJ148" s="622">
        <v>104.02</v>
      </c>
      <c r="AK148" s="622" t="s">
        <v>49</v>
      </c>
      <c r="AP148" s="1837"/>
      <c r="AQ148" s="1837"/>
      <c r="AS148" s="627" t="str">
        <f t="array" ref="AS148">IFERROR(IF($O$21="Metro",INDEX($AJ$23:$AJ$748,SMALL(IF((County=$AK$23:$AK$748),MATCH(ROW($AK$23:$AK$748),ROW($AK$23:$AK$748)),""),ROWS($A$23:$A148))),INDEX($AM$23:$AM$58,SMALL(IF((County=$AN$23:$AN$58),MATCH(ROW($AN$23:$AN$58),ROW($AN$23:$AN$58)),""),ROWS($A$23:$A148)))),"")</f>
        <v/>
      </c>
      <c r="AU148" s="627" t="str">
        <f t="array" ref="AU148">IFERROR(IF($Q$21="Yes",INDEX($AP$23:$AP$2323,SMALL(IF((County=$AQ$23:$AQ$2323),MATCH(ROW($AQ$23:$AQ$2323),ROW($AQ$23:$AQ$2323)),""),ROWS($A$23:$A148))),""),"")</f>
        <v/>
      </c>
      <c r="AW148" s="1802">
        <v>33155</v>
      </c>
      <c r="AX148" s="622" t="s">
        <v>78</v>
      </c>
      <c r="AZ148" s="622">
        <v>10</v>
      </c>
      <c r="BA148" s="622" t="s">
        <v>96</v>
      </c>
      <c r="BF148" s="1837"/>
      <c r="BG148" s="1837"/>
      <c r="BI148" s="1364"/>
      <c r="BJ148" s="1364"/>
      <c r="BK148" s="1373"/>
      <c r="BL148" s="1373"/>
      <c r="BM148" s="1372"/>
      <c r="BN148" s="1364"/>
      <c r="BO148" s="1364"/>
      <c r="BP148" s="1364"/>
      <c r="BQ148" s="1364"/>
      <c r="BR148" s="1364"/>
      <c r="BS148" s="1364"/>
    </row>
    <row r="149" spans="1:71" ht="14.5" customHeight="1">
      <c r="A149" s="1802">
        <v>33965</v>
      </c>
      <c r="B149" s="622" t="s">
        <v>70</v>
      </c>
      <c r="E149" s="1"/>
      <c r="F149" s="622">
        <v>125</v>
      </c>
      <c r="G149" s="622" t="s">
        <v>49</v>
      </c>
      <c r="L149" s="626">
        <v>106.03</v>
      </c>
      <c r="M149" s="626" t="s">
        <v>36</v>
      </c>
      <c r="N149" s="203"/>
      <c r="O149" s="627" t="str">
        <f t="array" ref="O149">IFERROR(IF($O$21="Metro",INDEX($F$23:$F$748,SMALL(IF((County=$G$23:$G$748),MATCH(ROW($G$23:$G$748),ROW($G$23:$G$748)),""),ROWS($A$23:A149))),INDEX($I$23:$I$52,SMALL(IF((County=$J$23:$J$52),MATCH(ROW($J$23:$J$52),ROW($J$23:$J$52)),""),ROWS($A$23:A149)))),"")</f>
        <v/>
      </c>
      <c r="Q149" s="627" t="str">
        <f t="array" ref="Q149">IFERROR(IF($Q$21="Yes",INDEX($L$23:$L$2323,SMALL(IF((County=$M$23:$M$2323),MATCH(ROW($M$23:$M$2323),ROW($M$23:$M$2323)),""),ROWS($A$23:A149))),""),"")</f>
        <v/>
      </c>
      <c r="S149" s="623">
        <v>33176</v>
      </c>
      <c r="T149" s="622" t="s">
        <v>78</v>
      </c>
      <c r="V149" s="622">
        <v>14</v>
      </c>
      <c r="W149" s="625" t="s">
        <v>63</v>
      </c>
      <c r="AB149" s="626">
        <v>9.01</v>
      </c>
      <c r="AC149" s="626" t="s">
        <v>71</v>
      </c>
      <c r="AE149" s="1802">
        <v>33993</v>
      </c>
      <c r="AF149" s="622" t="s">
        <v>70</v>
      </c>
      <c r="AI149" s="1376"/>
      <c r="AJ149" s="622">
        <v>107</v>
      </c>
      <c r="AK149" s="622" t="s">
        <v>49</v>
      </c>
      <c r="AP149" s="1837"/>
      <c r="AQ149" s="1837"/>
      <c r="AS149" s="627" t="str">
        <f t="array" ref="AS149">IFERROR(IF($O$21="Metro",INDEX($AJ$23:$AJ$748,SMALL(IF((County=$AK$23:$AK$748),MATCH(ROW($AK$23:$AK$748),ROW($AK$23:$AK$748)),""),ROWS($A$23:$A149))),INDEX($AM$23:$AM$58,SMALL(IF((County=$AN$23:$AN$58),MATCH(ROW($AN$23:$AN$58),ROW($AN$23:$AN$58)),""),ROWS($A$23:$A149)))),"")</f>
        <v/>
      </c>
      <c r="AU149" s="627" t="str">
        <f t="array" ref="AU149">IFERROR(IF($Q$21="Yes",INDEX($AP$23:$AP$2323,SMALL(IF((County=$AQ$23:$AQ$2323),MATCH(ROW($AQ$23:$AQ$2323),ROW($AQ$23:$AQ$2323)),""),ROWS($A$23:$A149))),""),"")</f>
        <v/>
      </c>
      <c r="AW149" s="1802">
        <v>33156</v>
      </c>
      <c r="AX149" s="622" t="s">
        <v>78</v>
      </c>
      <c r="AZ149" s="622">
        <v>10.01</v>
      </c>
      <c r="BA149" s="625" t="s">
        <v>63</v>
      </c>
      <c r="BF149" s="1837"/>
      <c r="BG149" s="1837"/>
      <c r="BI149" s="1364"/>
      <c r="BJ149" s="1365"/>
      <c r="BK149" s="1373"/>
      <c r="BL149" s="1373"/>
      <c r="BM149" s="1373"/>
      <c r="BN149" s="1364"/>
      <c r="BO149" s="1364"/>
      <c r="BP149" s="1364"/>
      <c r="BQ149" s="1364"/>
      <c r="BR149" s="1364"/>
      <c r="BS149" s="1364"/>
    </row>
    <row r="150" spans="1:71" ht="14.5" customHeight="1">
      <c r="A150" s="1802">
        <v>33967</v>
      </c>
      <c r="B150" s="622" t="s">
        <v>70</v>
      </c>
      <c r="E150" s="1"/>
      <c r="F150" s="622">
        <v>126.01</v>
      </c>
      <c r="G150" s="622" t="s">
        <v>49</v>
      </c>
      <c r="L150" s="626">
        <v>106.04</v>
      </c>
      <c r="M150" s="626" t="s">
        <v>36</v>
      </c>
      <c r="N150" s="203"/>
      <c r="O150" s="627" t="str">
        <f t="array" ref="O150">IFERROR(IF($O$21="Metro",INDEX($F$23:$F$748,SMALL(IF((County=$G$23:$G$748),MATCH(ROW($G$23:$G$748),ROW($G$23:$G$748)),""),ROWS($A$23:A150))),INDEX($I$23:$I$52,SMALL(IF((County=$J$23:$J$52),MATCH(ROW($J$23:$J$52),ROW($J$23:$J$52)),""),ROWS($A$23:A150)))),"")</f>
        <v/>
      </c>
      <c r="Q150" s="627" t="str">
        <f t="array" ref="Q150">IFERROR(IF($Q$21="Yes",INDEX($L$23:$L$2323,SMALL(IF((County=$M$23:$M$2323),MATCH(ROW($M$23:$M$2323),ROW($M$23:$M$2323)),""),ROWS($A$23:A150))),""),"")</f>
        <v/>
      </c>
      <c r="S150" s="623">
        <v>33178</v>
      </c>
      <c r="T150" s="622" t="s">
        <v>78</v>
      </c>
      <c r="V150" s="622">
        <v>14.01</v>
      </c>
      <c r="W150" s="625" t="s">
        <v>71</v>
      </c>
      <c r="AB150" s="626">
        <v>9.01</v>
      </c>
      <c r="AC150" s="626" t="s">
        <v>75</v>
      </c>
      <c r="AE150" s="1802">
        <v>32312</v>
      </c>
      <c r="AF150" s="622" t="s">
        <v>71</v>
      </c>
      <c r="AI150" s="1376"/>
      <c r="AJ150" s="622">
        <v>108</v>
      </c>
      <c r="AK150" s="622" t="s">
        <v>49</v>
      </c>
      <c r="AP150" s="1837"/>
      <c r="AQ150" s="1837"/>
      <c r="AS150" s="627" t="str">
        <f t="array" ref="AS150">IFERROR(IF($O$21="Metro",INDEX($AJ$23:$AJ$748,SMALL(IF((County=$AK$23:$AK$748),MATCH(ROW($AK$23:$AK$748),ROW($AK$23:$AK$748)),""),ROWS($A$23:$A150))),INDEX($AM$23:$AM$58,SMALL(IF((County=$AN$23:$AN$58),MATCH(ROW($AN$23:$AN$58),ROW($AN$23:$AN$58)),""),ROWS($A$23:$A150)))),"")</f>
        <v/>
      </c>
      <c r="AU150" s="627" t="str">
        <f t="array" ref="AU150">IFERROR(IF($Q$21="Yes",INDEX($AP$23:$AP$2323,SMALL(IF((County=$AQ$23:$AQ$2323),MATCH(ROW($AQ$23:$AQ$2323),ROW($AQ$23:$AQ$2323)),""),ROWS($A$23:$A150))),""),"")</f>
        <v/>
      </c>
      <c r="AW150" s="1802">
        <v>33158</v>
      </c>
      <c r="AX150" s="622" t="s">
        <v>78</v>
      </c>
      <c r="AZ150" s="622">
        <v>10.01</v>
      </c>
      <c r="BA150" s="625" t="s">
        <v>71</v>
      </c>
      <c r="BF150" s="1837"/>
      <c r="BG150" s="1837"/>
      <c r="BI150" s="1364"/>
      <c r="BJ150" s="1365"/>
      <c r="BK150" s="1373"/>
      <c r="BL150" s="1373"/>
      <c r="BM150" s="1373"/>
      <c r="BN150" s="1364"/>
      <c r="BO150" s="1364"/>
      <c r="BP150" s="1364"/>
      <c r="BQ150" s="1364"/>
      <c r="BR150" s="1364"/>
      <c r="BS150" s="1364"/>
    </row>
    <row r="151" spans="1:71" ht="14.5" customHeight="1">
      <c r="A151" s="1802">
        <v>33991</v>
      </c>
      <c r="B151" s="622" t="s">
        <v>70</v>
      </c>
      <c r="E151" s="1"/>
      <c r="F151" s="622">
        <v>134.02000000000001</v>
      </c>
      <c r="G151" s="622" t="s">
        <v>49</v>
      </c>
      <c r="L151" s="626">
        <v>106.05</v>
      </c>
      <c r="M151" s="626" t="s">
        <v>36</v>
      </c>
      <c r="N151" s="203"/>
      <c r="O151" s="627" t="str">
        <f t="array" ref="O151">IFERROR(IF($O$21="Metro",INDEX($F$23:$F$748,SMALL(IF((County=$G$23:$G$748),MATCH(ROW($G$23:$G$748),ROW($G$23:$G$748)),""),ROWS($A$23:A151))),INDEX($I$23:$I$52,SMALL(IF((County=$J$23:$J$52),MATCH(ROW($J$23:$J$52),ROW($J$23:$J$52)),""),ROWS($A$23:A151)))),"")</f>
        <v/>
      </c>
      <c r="Q151" s="627" t="str">
        <f t="array" ref="Q151">IFERROR(IF($Q$21="Yes",INDEX($L$23:$L$2323,SMALL(IF((County=$M$23:$M$2323),MATCH(ROW($M$23:$M$2323),ROW($M$23:$M$2323)),""),ROWS($A$23:A151))),""),"")</f>
        <v/>
      </c>
      <c r="S151" s="623">
        <v>33180</v>
      </c>
      <c r="T151" s="622" t="s">
        <v>78</v>
      </c>
      <c r="V151" s="622">
        <v>14.01</v>
      </c>
      <c r="W151" s="625" t="s">
        <v>76</v>
      </c>
      <c r="AB151" s="626">
        <v>9.01</v>
      </c>
      <c r="AC151" s="626" t="s">
        <v>77</v>
      </c>
      <c r="AE151" s="1802">
        <v>32317</v>
      </c>
      <c r="AF151" s="622" t="s">
        <v>71</v>
      </c>
      <c r="AI151" s="1376"/>
      <c r="AJ151" s="622">
        <v>110</v>
      </c>
      <c r="AK151" s="622" t="s">
        <v>49</v>
      </c>
      <c r="AP151" s="1837"/>
      <c r="AQ151" s="1837"/>
      <c r="AS151" s="627" t="str">
        <f t="array" ref="AS151">IFERROR(IF($O$21="Metro",INDEX($AJ$23:$AJ$748,SMALL(IF((County=$AK$23:$AK$748),MATCH(ROW($AK$23:$AK$748),ROW($AK$23:$AK$748)),""),ROWS($A$23:$A151))),INDEX($AM$23:$AM$58,SMALL(IF((County=$AN$23:$AN$58),MATCH(ROW($AN$23:$AN$58),ROW($AN$23:$AN$58)),""),ROWS($A$23:$A151)))),"")</f>
        <v/>
      </c>
      <c r="AU151" s="627" t="str">
        <f t="array" ref="AU151">IFERROR(IF($Q$21="Yes",INDEX($AP$23:$AP$2323,SMALL(IF((County=$AQ$23:$AQ$2323),MATCH(ROW($AQ$23:$AQ$2323),ROW($AQ$23:$AQ$2323)),""),ROWS($A$23:$A151))),""),"")</f>
        <v/>
      </c>
      <c r="AW151" s="1802">
        <v>33160</v>
      </c>
      <c r="AX151" s="622" t="s">
        <v>78</v>
      </c>
      <c r="AZ151" s="622">
        <v>10.02</v>
      </c>
      <c r="BA151" s="625" t="s">
        <v>63</v>
      </c>
      <c r="BF151" s="1837"/>
      <c r="BG151" s="1837"/>
      <c r="BI151" s="1364"/>
      <c r="BJ151" s="1365"/>
      <c r="BK151" s="1373"/>
      <c r="BL151" s="1373"/>
      <c r="BM151" s="1373"/>
      <c r="BN151" s="1364"/>
      <c r="BO151" s="1364"/>
      <c r="BP151" s="1364"/>
      <c r="BQ151" s="1364"/>
      <c r="BR151" s="1364"/>
      <c r="BS151" s="1364"/>
    </row>
    <row r="152" spans="1:71" ht="14.5" customHeight="1">
      <c r="A152" s="1802">
        <v>33993</v>
      </c>
      <c r="B152" s="622" t="s">
        <v>70</v>
      </c>
      <c r="E152" s="1"/>
      <c r="F152" s="622">
        <v>148</v>
      </c>
      <c r="G152" s="622" t="s">
        <v>49</v>
      </c>
      <c r="L152" s="626">
        <v>106.06</v>
      </c>
      <c r="M152" s="626" t="s">
        <v>36</v>
      </c>
      <c r="N152" s="203"/>
      <c r="O152" s="627" t="str">
        <f t="array" ref="O152">IFERROR(IF($O$21="Metro",INDEX($F$23:$F$748,SMALL(IF((County=$G$23:$G$748),MATCH(ROW($G$23:$G$748),ROW($G$23:$G$748)),""),ROWS($A$23:A152))),INDEX($I$23:$I$52,SMALL(IF((County=$J$23:$J$52),MATCH(ROW($J$23:$J$52),ROW($J$23:$J$52)),""),ROWS($A$23:A152)))),"")</f>
        <v/>
      </c>
      <c r="Q152" s="627" t="str">
        <f t="array" ref="Q152">IFERROR(IF($Q$21="Yes",INDEX($L$23:$L$2323,SMALL(IF((County=$M$23:$M$2323),MATCH(ROW($M$23:$M$2323),ROW($M$23:$M$2323)),""),ROWS($A$23:A152))),""),"")</f>
        <v/>
      </c>
      <c r="S152" s="623">
        <v>33182</v>
      </c>
      <c r="T152" s="622" t="s">
        <v>78</v>
      </c>
      <c r="V152" s="622">
        <v>14.01</v>
      </c>
      <c r="W152" s="625" t="s">
        <v>78</v>
      </c>
      <c r="AB152" s="626">
        <v>9.02</v>
      </c>
      <c r="AC152" s="626" t="s">
        <v>75</v>
      </c>
      <c r="AE152" s="1802">
        <v>34201</v>
      </c>
      <c r="AF152" s="622" t="s">
        <v>75</v>
      </c>
      <c r="AI152" s="1376"/>
      <c r="AJ152" s="622">
        <v>111</v>
      </c>
      <c r="AK152" s="622" t="s">
        <v>49</v>
      </c>
      <c r="AP152" s="1837"/>
      <c r="AQ152" s="1837"/>
      <c r="AS152" s="627" t="str">
        <f t="array" ref="AS152">IFERROR(IF($O$21="Metro",INDEX($AJ$23:$AJ$748,SMALL(IF((County=$AK$23:$AK$748),MATCH(ROW($AK$23:$AK$748),ROW($AK$23:$AK$748)),""),ROWS($A$23:$A158))),INDEX($AM$23:$AM$58,SMALL(IF((County=$AN$23:$AN$58),MATCH(ROW($AN$23:$AN$58),ROW($AN$23:$AN$58)),""),ROWS($A$23:$A158)))),"")</f>
        <v/>
      </c>
      <c r="AU152" s="627" t="str">
        <f t="array" ref="AU152">IFERROR(IF($Q$21="Yes",INDEX($AP$23:$AP$2323,SMALL(IF((County=$AQ$23:$AQ$2323),MATCH(ROW($AQ$23:$AQ$2323),ROW($AQ$23:$AQ$2323)),""),ROWS($A$23:$A152))),""),"")</f>
        <v/>
      </c>
      <c r="AW152" s="1802">
        <v>33165</v>
      </c>
      <c r="AX152" s="622" t="s">
        <v>78</v>
      </c>
      <c r="AZ152" s="622">
        <v>10.029999999999999</v>
      </c>
      <c r="BA152" s="622" t="s">
        <v>78</v>
      </c>
      <c r="BF152" s="1837"/>
      <c r="BG152" s="1837"/>
      <c r="BI152" s="1364"/>
      <c r="BJ152" s="1365"/>
      <c r="BK152" s="1373"/>
      <c r="BL152" s="1373"/>
      <c r="BM152" s="1373"/>
      <c r="BN152" s="1365"/>
      <c r="BO152" s="1365"/>
      <c r="BP152" s="1365"/>
      <c r="BQ152" s="1364"/>
      <c r="BR152" s="1364"/>
      <c r="BS152" s="1364"/>
    </row>
    <row r="153" spans="1:71" ht="14.5" customHeight="1">
      <c r="A153" s="1802">
        <v>34134</v>
      </c>
      <c r="B153" s="622" t="s">
        <v>70</v>
      </c>
      <c r="E153" s="1"/>
      <c r="F153" s="622">
        <v>155.01</v>
      </c>
      <c r="G153" s="622" t="s">
        <v>49</v>
      </c>
      <c r="L153" s="626">
        <v>106.07</v>
      </c>
      <c r="M153" s="626" t="s">
        <v>36</v>
      </c>
      <c r="N153" s="203"/>
      <c r="O153" s="627" t="str">
        <f t="array" ref="O153">IFERROR(IF($O$21="Metro",INDEX($F$23:$F$748,SMALL(IF((County=$G$23:$G$748),MATCH(ROW($G$23:$G$748),ROW($G$23:$G$748)),""),ROWS($A$23:A153))),INDEX($I$23:$I$52,SMALL(IF((County=$J$23:$J$52),MATCH(ROW($J$23:$J$52),ROW($J$23:$J$52)),""),ROWS($A$23:A153)))),"")</f>
        <v/>
      </c>
      <c r="Q153" s="627" t="str">
        <f t="array" ref="Q153">IFERROR(IF($Q$21="Yes",INDEX($L$23:$L$2323,SMALL(IF((County=$M$23:$M$2323),MATCH(ROW($M$23:$M$2323),ROW($M$23:$M$2323)),""),ROWS($A$23:A153))),""),"")</f>
        <v/>
      </c>
      <c r="S153" s="623">
        <v>33183</v>
      </c>
      <c r="T153" s="622" t="s">
        <v>78</v>
      </c>
      <c r="V153" s="622">
        <v>14.02</v>
      </c>
      <c r="W153" s="625" t="s">
        <v>71</v>
      </c>
      <c r="AB153" s="626">
        <v>9.02</v>
      </c>
      <c r="AC153" s="626" t="s">
        <v>76</v>
      </c>
      <c r="AE153" s="1802">
        <v>34202</v>
      </c>
      <c r="AF153" s="622" t="s">
        <v>75</v>
      </c>
      <c r="AI153" s="1376"/>
      <c r="AJ153" s="622">
        <v>112</v>
      </c>
      <c r="AK153" s="622" t="s">
        <v>49</v>
      </c>
      <c r="AP153" s="1837"/>
      <c r="AQ153" s="1837"/>
      <c r="AS153" s="627" t="str">
        <f t="array" ref="AS153">IFERROR(IF($O$21="Metro",INDEX($AJ$23:$AJ$748,SMALL(IF((County=$AK$23:$AK$748),MATCH(ROW($AK$23:$AK$748),ROW($AK$23:$AK$748)),""),ROWS($A$23:$A153))),INDEX($AM$23:$AM$58,SMALL(IF((County=$AN$23:$AN$58),MATCH(ROW($AN$23:$AN$58),ROW($AN$23:$AN$58)),""),ROWS($A$23:$A153)))),"")</f>
        <v/>
      </c>
      <c r="AU153" s="627" t="str">
        <f t="array" ref="AU153">IFERROR(IF($Q$21="Yes",INDEX($AP$23:$AP$2323,SMALL(IF((County=$AQ$23:$AQ$2323),MATCH(ROW($AQ$23:$AQ$2323),ROW($AQ$23:$AQ$2323)),""),ROWS($A$23:$A153))),""),"")</f>
        <v/>
      </c>
      <c r="AW153" s="1802">
        <v>33168</v>
      </c>
      <c r="AX153" s="622" t="s">
        <v>78</v>
      </c>
      <c r="AZ153" s="622">
        <v>10.039999999999999</v>
      </c>
      <c r="BA153" s="625" t="s">
        <v>78</v>
      </c>
      <c r="BF153" s="1837"/>
      <c r="BG153" s="1837"/>
      <c r="BI153" s="1365"/>
      <c r="BJ153" s="1365"/>
      <c r="BK153" s="1373"/>
      <c r="BL153" s="1373"/>
      <c r="BM153" s="1373"/>
      <c r="BN153" s="1365"/>
      <c r="BO153" s="1365"/>
      <c r="BP153" s="1365"/>
      <c r="BQ153" s="1364"/>
      <c r="BR153" s="1364"/>
      <c r="BS153" s="1364"/>
    </row>
    <row r="154" spans="1:71" ht="14.5" customHeight="1">
      <c r="A154" s="1802">
        <v>34135</v>
      </c>
      <c r="B154" s="622" t="s">
        <v>70</v>
      </c>
      <c r="E154" s="1"/>
      <c r="F154" s="622">
        <v>155.02000000000001</v>
      </c>
      <c r="G154" s="622" t="s">
        <v>49</v>
      </c>
      <c r="L154" s="626">
        <v>106.09</v>
      </c>
      <c r="M154" s="626" t="s">
        <v>36</v>
      </c>
      <c r="N154" s="203"/>
      <c r="O154" s="627" t="str">
        <f t="array" ref="O154">IFERROR(IF($O$21="Metro",INDEX($F$23:$F$748,SMALL(IF((County=$G$23:$G$748),MATCH(ROW($G$23:$G$748),ROW($G$23:$G$748)),""),ROWS($A$23:A154))),INDEX($I$23:$I$52,SMALL(IF((County=$J$23:$J$52),MATCH(ROW($J$23:$J$52),ROW($J$23:$J$52)),""),ROWS($A$23:A154)))),"")</f>
        <v/>
      </c>
      <c r="Q154" s="627" t="str">
        <f t="array" ref="Q154">IFERROR(IF($Q$21="Yes",INDEX($L$23:$L$2323,SMALL(IF((County=$M$23:$M$2323),MATCH(ROW($M$23:$M$2323),ROW($M$23:$M$2323)),""),ROWS($A$23:A154))),""),"")</f>
        <v/>
      </c>
      <c r="S154" s="623">
        <v>33184</v>
      </c>
      <c r="T154" s="622" t="s">
        <v>78</v>
      </c>
      <c r="V154" s="622">
        <v>14.02</v>
      </c>
      <c r="W154" s="625" t="s">
        <v>78</v>
      </c>
      <c r="AB154" s="626">
        <v>9.02</v>
      </c>
      <c r="AC154" s="626" t="s">
        <v>87</v>
      </c>
      <c r="AE154" s="1802">
        <v>34211</v>
      </c>
      <c r="AF154" s="622" t="s">
        <v>75</v>
      </c>
      <c r="AI154" s="1376"/>
      <c r="AJ154" s="622">
        <v>113</v>
      </c>
      <c r="AK154" s="622" t="s">
        <v>49</v>
      </c>
      <c r="AP154" s="1837"/>
      <c r="AQ154" s="1837"/>
      <c r="AS154" s="627" t="str">
        <f t="array" ref="AS154">IFERROR(IF($O$21="Metro",INDEX($AJ$23:$AJ$748,SMALL(IF((County=$AK$23:$AK$748),MATCH(ROW($AK$23:$AK$748),ROW($AK$23:$AK$748)),""),ROWS($A$23:$A154))),INDEX($AM$23:$AM$58,SMALL(IF((County=$AN$23:$AN$58),MATCH(ROW($AN$23:$AN$58),ROW($AN$23:$AN$58)),""),ROWS($A$23:$A154)))),"")</f>
        <v/>
      </c>
      <c r="AU154" s="627" t="str">
        <f t="array" ref="AU154">IFERROR(IF($Q$21="Yes",INDEX($AP$23:$AP$2323,SMALL(IF((County=$AQ$23:$AQ$2323),MATCH(ROW($AQ$23:$AQ$2323),ROW($AQ$23:$AQ$2323)),""),ROWS($A$23:$A154))),""),"")</f>
        <v/>
      </c>
      <c r="AW154" s="1802">
        <v>33172</v>
      </c>
      <c r="AX154" s="622" t="s">
        <v>78</v>
      </c>
      <c r="AZ154" s="622">
        <v>10.050000000000001</v>
      </c>
      <c r="BA154" s="622" t="s">
        <v>78</v>
      </c>
      <c r="BF154" s="1837"/>
      <c r="BG154" s="1837"/>
      <c r="BI154" s="1365"/>
      <c r="BJ154" s="1365"/>
      <c r="BK154" s="1373"/>
      <c r="BL154" s="1373"/>
      <c r="BM154" s="1373"/>
      <c r="BN154" s="1365"/>
      <c r="BO154" s="1365"/>
      <c r="BP154" s="1365"/>
      <c r="BQ154" s="1364"/>
      <c r="BR154" s="1364"/>
      <c r="BS154" s="1364"/>
    </row>
    <row r="155" spans="1:71" ht="14.5" customHeight="1">
      <c r="A155" s="1802">
        <v>32317</v>
      </c>
      <c r="B155" s="622" t="s">
        <v>71</v>
      </c>
      <c r="E155" s="1"/>
      <c r="F155" s="622">
        <v>159.25</v>
      </c>
      <c r="G155" s="622" t="s">
        <v>49</v>
      </c>
      <c r="L155" s="626">
        <v>106.1</v>
      </c>
      <c r="M155" s="626" t="s">
        <v>36</v>
      </c>
      <c r="N155" s="203"/>
      <c r="O155" s="627" t="str">
        <f t="array" ref="O155">IFERROR(IF($O$21="Metro",INDEX($F$23:$F$748,SMALL(IF((County=$G$23:$G$748),MATCH(ROW($G$23:$G$748),ROW($G$23:$G$748)),""),ROWS($A$23:A155))),INDEX($I$23:$I$52,SMALL(IF((County=$J$23:$J$52),MATCH(ROW($J$23:$J$52),ROW($J$23:$J$52)),""),ROWS($A$23:A155)))),"")</f>
        <v/>
      </c>
      <c r="Q155" s="627" t="str">
        <f t="array" ref="Q155">IFERROR(IF($Q$21="Yes",INDEX($L$23:$L$2323,SMALL(IF((County=$M$23:$M$2323),MATCH(ROW($M$23:$M$2323),ROW($M$23:$M$2323)),""),ROWS($A$23:A155))),""),"")</f>
        <v/>
      </c>
      <c r="S155" s="623">
        <v>33185</v>
      </c>
      <c r="T155" s="622" t="s">
        <v>78</v>
      </c>
      <c r="V155" s="622">
        <v>14.02</v>
      </c>
      <c r="W155" s="625" t="s">
        <v>87</v>
      </c>
      <c r="AB155" s="626">
        <v>9.0299999999999994</v>
      </c>
      <c r="AC155" s="626" t="s">
        <v>71</v>
      </c>
      <c r="AE155" s="1802">
        <v>34212</v>
      </c>
      <c r="AF155" s="622" t="s">
        <v>75</v>
      </c>
      <c r="AI155" s="1376"/>
      <c r="AJ155" s="622">
        <v>114</v>
      </c>
      <c r="AK155" s="622" t="s">
        <v>49</v>
      </c>
      <c r="AP155" s="1837"/>
      <c r="AQ155" s="1837"/>
      <c r="AS155" s="627" t="str">
        <f t="array" ref="AS155">IFERROR(IF($O$21="Metro",INDEX($AJ$23:$AJ$748,SMALL(IF((County=$AK$23:$AK$748),MATCH(ROW($AK$23:$AK$748),ROW($AK$23:$AK$748)),""),ROWS($A$23:$A155))),INDEX($AM$23:$AM$58,SMALL(IF((County=$AN$23:$AN$58),MATCH(ROW($AN$23:$AN$58),ROW($AN$23:$AN$58)),""),ROWS($A$23:$A155)))),"")</f>
        <v/>
      </c>
      <c r="AU155" s="627" t="str">
        <f t="array" ref="AU155">IFERROR(IF($Q$21="Yes",INDEX($AP$23:$AP$2323,SMALL(IF((County=$AQ$23:$AQ$2323),MATCH(ROW($AQ$23:$AQ$2323),ROW($AQ$23:$AQ$2323)),""),ROWS($A$23:$A155))),""),"")</f>
        <v/>
      </c>
      <c r="AW155" s="1802">
        <v>33173</v>
      </c>
      <c r="AX155" s="622" t="s">
        <v>78</v>
      </c>
      <c r="AZ155" s="622">
        <v>10.06</v>
      </c>
      <c r="BA155" s="625" t="s">
        <v>78</v>
      </c>
      <c r="BF155" s="1837"/>
      <c r="BG155" s="1837"/>
      <c r="BI155" s="1365"/>
      <c r="BJ155" s="1365"/>
      <c r="BK155" s="1373"/>
      <c r="BL155" s="1373"/>
      <c r="BM155" s="1373"/>
      <c r="BN155" s="1365"/>
      <c r="BO155" s="1365"/>
      <c r="BP155" s="1365"/>
      <c r="BQ155" s="1364"/>
      <c r="BR155" s="1364"/>
      <c r="BS155" s="1364"/>
    </row>
    <row r="156" spans="1:71" ht="14.5" customHeight="1">
      <c r="A156" s="1802">
        <v>34201</v>
      </c>
      <c r="B156" s="622" t="s">
        <v>75</v>
      </c>
      <c r="E156" s="1"/>
      <c r="F156" s="622">
        <v>160</v>
      </c>
      <c r="G156" s="622" t="s">
        <v>49</v>
      </c>
      <c r="L156" s="626">
        <v>106.11</v>
      </c>
      <c r="M156" s="626" t="s">
        <v>36</v>
      </c>
      <c r="N156" s="203"/>
      <c r="O156" s="627" t="str">
        <f t="array" ref="O156">IFERROR(IF($O$21="Metro",INDEX($F$23:$F$748,SMALL(IF((County=$G$23:$G$748),MATCH(ROW($G$23:$G$748),ROW($G$23:$G$748)),""),ROWS($A$23:A156))),INDEX($I$23:$I$52,SMALL(IF((County=$J$23:$J$52),MATCH(ROW($J$23:$J$52),ROW($J$23:$J$52)),""),ROWS($A$23:A156)))),"")</f>
        <v/>
      </c>
      <c r="Q156" s="627" t="str">
        <f t="array" ref="Q156">IFERROR(IF($Q$21="Yes",INDEX($L$23:$L$2323,SMALL(IF((County=$M$23:$M$2323),MATCH(ROW($M$23:$M$2323),ROW($M$23:$M$2323)),""),ROWS($A$23:A156))),""),"")</f>
        <v/>
      </c>
      <c r="S156" s="623">
        <v>33186</v>
      </c>
      <c r="T156" s="622" t="s">
        <v>78</v>
      </c>
      <c r="V156" s="622">
        <v>14.03</v>
      </c>
      <c r="W156" s="625" t="s">
        <v>87</v>
      </c>
      <c r="AB156" s="626">
        <v>9.0299999999999994</v>
      </c>
      <c r="AC156" s="626" t="s">
        <v>87</v>
      </c>
      <c r="AE156" s="1802">
        <v>34216</v>
      </c>
      <c r="AF156" s="622" t="s">
        <v>75</v>
      </c>
      <c r="AI156" s="1376"/>
      <c r="AJ156" s="622">
        <v>115</v>
      </c>
      <c r="AK156" s="622" t="s">
        <v>49</v>
      </c>
      <c r="AP156" s="1837"/>
      <c r="AQ156" s="1837"/>
      <c r="AS156" s="627" t="str">
        <f t="array" ref="AS156">IFERROR(IF($O$21="Metro",INDEX($AJ$23:$AJ$748,SMALL(IF((County=$AK$23:$AK$748),MATCH(ROW($AK$23:$AK$748),ROW($AK$23:$AK$748)),""),ROWS($A$23:$A156))),INDEX($AM$23:$AM$58,SMALL(IF((County=$AN$23:$AN$58),MATCH(ROW($AN$23:$AN$58),ROW($AN$23:$AN$58)),""),ROWS($A$23:$A156)))),"")</f>
        <v/>
      </c>
      <c r="AU156" s="627" t="str">
        <f t="array" ref="AU156">IFERROR(IF($Q$21="Yes",INDEX($AP$23:$AP$2323,SMALL(IF((County=$AQ$23:$AQ$2323),MATCH(ROW($AQ$23:$AQ$2323),ROW($AQ$23:$AQ$2323)),""),ROWS($A$23:$A156))),""),"")</f>
        <v/>
      </c>
      <c r="AW156" s="1802">
        <v>33174</v>
      </c>
      <c r="AX156" s="622" t="s">
        <v>78</v>
      </c>
      <c r="AZ156" s="622">
        <v>10.07</v>
      </c>
      <c r="BA156" s="625" t="s">
        <v>78</v>
      </c>
      <c r="BF156" s="1837"/>
      <c r="BG156" s="1837"/>
      <c r="BI156" s="1365"/>
      <c r="BJ156" s="1365"/>
      <c r="BK156" s="1373"/>
      <c r="BL156" s="1373"/>
      <c r="BM156" s="1373"/>
      <c r="BN156" s="1365"/>
      <c r="BO156" s="1365"/>
      <c r="BP156" s="1365"/>
      <c r="BQ156" s="1365"/>
      <c r="BR156" s="1365"/>
      <c r="BS156" s="1365"/>
    </row>
    <row r="157" spans="1:71" ht="14.5" customHeight="1">
      <c r="A157" s="1802">
        <v>34202</v>
      </c>
      <c r="B157" s="622" t="s">
        <v>75</v>
      </c>
      <c r="E157" s="1"/>
      <c r="F157" s="622">
        <v>163</v>
      </c>
      <c r="G157" s="622" t="s">
        <v>49</v>
      </c>
      <c r="L157" s="626">
        <v>106.12</v>
      </c>
      <c r="M157" s="626" t="s">
        <v>36</v>
      </c>
      <c r="N157" s="203"/>
      <c r="O157" s="627" t="str">
        <f t="array" ref="O157">IFERROR(IF($O$21="Metro",INDEX($F$23:$F$748,SMALL(IF((County=$G$23:$G$748),MATCH(ROW($G$23:$G$748),ROW($G$23:$G$748)),""),ROWS($A$23:A157))),INDEX($I$23:$I$52,SMALL(IF((County=$J$23:$J$52),MATCH(ROW($J$23:$J$52),ROW($J$23:$J$52)),""),ROWS($A$23:A157)))),"")</f>
        <v/>
      </c>
      <c r="Q157" s="627" t="str">
        <f t="array" ref="Q157">IFERROR(IF($Q$21="Yes",INDEX($L$23:$L$2323,SMALL(IF((County=$M$23:$M$2323),MATCH(ROW($M$23:$M$2323),ROW($M$23:$M$2323)),""),ROWS($A$23:A157))),""),"")</f>
        <v/>
      </c>
      <c r="S157" s="623">
        <v>33187</v>
      </c>
      <c r="T157" s="622" t="s">
        <v>78</v>
      </c>
      <c r="V157" s="622">
        <v>14.04</v>
      </c>
      <c r="W157" s="625" t="s">
        <v>87</v>
      </c>
      <c r="AB157" s="626">
        <v>9.0399999999999991</v>
      </c>
      <c r="AC157" s="626" t="s">
        <v>71</v>
      </c>
      <c r="AE157" s="1802">
        <v>34217</v>
      </c>
      <c r="AF157" s="622" t="s">
        <v>75</v>
      </c>
      <c r="AI157" s="1376"/>
      <c r="AJ157" s="622">
        <v>116</v>
      </c>
      <c r="AK157" s="622" t="s">
        <v>49</v>
      </c>
      <c r="AP157" s="1837"/>
      <c r="AQ157" s="1837"/>
      <c r="AS157" s="627" t="str">
        <f t="array" ref="AS157">IFERROR(IF($O$21="Metro",INDEX($AJ$23:$AJ$748,SMALL(IF((County=$AK$23:$AK$748),MATCH(ROW($AK$23:$AK$748),ROW($AK$23:$AK$748)),""),ROWS($A$23:$A157))),INDEX($AM$23:$AM$58,SMALL(IF((County=$AN$23:$AN$58),MATCH(ROW($AN$23:$AN$58),ROW($AN$23:$AN$58)),""),ROWS($A$23:$A157)))),"")</f>
        <v/>
      </c>
      <c r="AU157" s="627" t="str">
        <f t="array" ref="AU157">IFERROR(IF($Q$21="Yes",INDEX($AP$23:$AP$2323,SMALL(IF((County=$AQ$23:$AQ$2323),MATCH(ROW($AQ$23:$AQ$2323),ROW($AQ$23:$AQ$2323)),""),ROWS($A$23:$A157))),""),"")</f>
        <v/>
      </c>
      <c r="AW157" s="1802">
        <v>33175</v>
      </c>
      <c r="AX157" s="622" t="s">
        <v>78</v>
      </c>
      <c r="AZ157" s="622">
        <v>10.08</v>
      </c>
      <c r="BA157" s="625" t="s">
        <v>78</v>
      </c>
      <c r="BF157" s="1837"/>
      <c r="BG157" s="1837"/>
      <c r="BI157" s="1365"/>
      <c r="BJ157" s="1365"/>
      <c r="BK157" s="1373"/>
      <c r="BL157" s="1373"/>
      <c r="BM157" s="1373"/>
      <c r="BN157" s="1365"/>
      <c r="BO157" s="1365"/>
      <c r="BP157" s="1365"/>
      <c r="BQ157" s="1365"/>
      <c r="BR157" s="1365"/>
      <c r="BS157" s="1365"/>
    </row>
    <row r="158" spans="1:71" ht="14.5" customHeight="1">
      <c r="A158" s="1802">
        <v>34211</v>
      </c>
      <c r="B158" s="622" t="s">
        <v>75</v>
      </c>
      <c r="E158" s="1"/>
      <c r="F158" s="622">
        <v>166.01</v>
      </c>
      <c r="G158" s="622" t="s">
        <v>49</v>
      </c>
      <c r="L158" s="626">
        <v>109.01</v>
      </c>
      <c r="M158" s="626" t="s">
        <v>36</v>
      </c>
      <c r="N158" s="203"/>
      <c r="O158" s="627" t="str">
        <f t="array" ref="O158">IFERROR(IF($O$21="Metro",INDEX($F$23:$F$748,SMALL(IF((County=$G$23:$G$748),MATCH(ROW($G$23:$G$748),ROW($G$23:$G$748)),""),ROWS($A$23:A158))),INDEX($I$23:$I$52,SMALL(IF((County=$J$23:$J$52),MATCH(ROW($J$23:$J$52),ROW($J$23:$J$52)),""),ROWS($A$23:A158)))),"")</f>
        <v/>
      </c>
      <c r="Q158" s="627" t="str">
        <f t="array" ref="Q158">IFERROR(IF($Q$21="Yes",INDEX($L$23:$L$2323,SMALL(IF((County=$M$23:$M$2323),MATCH(ROW($M$23:$M$2323),ROW($M$23:$M$2323)),""),ROWS($A$23:A158))),""),"")</f>
        <v/>
      </c>
      <c r="S158" s="623">
        <v>33193</v>
      </c>
      <c r="T158" s="622" t="s">
        <v>78</v>
      </c>
      <c r="V158" s="622">
        <v>14.07</v>
      </c>
      <c r="W158" s="625" t="s">
        <v>77</v>
      </c>
      <c r="AB158" s="626">
        <v>9.0399999999999991</v>
      </c>
      <c r="AC158" s="626" t="s">
        <v>87</v>
      </c>
      <c r="AE158" s="1802">
        <v>34219</v>
      </c>
      <c r="AF158" s="622" t="s">
        <v>75</v>
      </c>
      <c r="AI158" s="1376"/>
      <c r="AJ158" s="622">
        <v>118</v>
      </c>
      <c r="AK158" s="622" t="s">
        <v>49</v>
      </c>
      <c r="AP158" s="1837"/>
      <c r="AQ158" s="1837"/>
      <c r="AS158" s="627" t="str">
        <f t="array" ref="AS158">IFERROR(IF($O$21="Metro",INDEX($AJ$23:$AJ$748,SMALL(IF((County=$AK$23:$AK$748),MATCH(ROW($AK$23:$AK$748),ROW($AK$23:$AK$748)),""),ROWS($A$23:$A158))),INDEX($AM$23:$AM$58,SMALL(IF((County=$AN$23:$AN$58),MATCH(ROW($AN$23:$AN$58),ROW($AN$23:$AN$58)),""),ROWS($A$23:$A158)))),"")</f>
        <v/>
      </c>
      <c r="AU158" s="627" t="str">
        <f t="array" ref="AU158">IFERROR(IF($Q$21="Yes",INDEX($AP$23:$AP$2323,SMALL(IF((County=$AQ$23:$AQ$2323),MATCH(ROW($AQ$23:$AQ$2323),ROW($AQ$23:$AQ$2323)),""),ROWS($A$23:$A158))),""),"")</f>
        <v/>
      </c>
      <c r="AW158" s="1802">
        <v>33176</v>
      </c>
      <c r="AX158" s="622" t="s">
        <v>78</v>
      </c>
      <c r="AZ158" s="622">
        <v>11</v>
      </c>
      <c r="BA158" s="625" t="s">
        <v>32</v>
      </c>
      <c r="BF158" s="1837"/>
      <c r="BG158" s="1837"/>
      <c r="BI158" s="1365"/>
      <c r="BJ158" s="1365"/>
      <c r="BK158" s="1373"/>
      <c r="BL158" s="1373"/>
      <c r="BM158" s="1373"/>
      <c r="BN158" s="1365"/>
      <c r="BO158" s="1365"/>
      <c r="BP158" s="1365"/>
      <c r="BQ158" s="1365"/>
      <c r="BR158" s="1365"/>
      <c r="BS158" s="1365"/>
    </row>
    <row r="159" spans="1:71" ht="14.5" customHeight="1">
      <c r="A159" s="1802">
        <v>34212</v>
      </c>
      <c r="B159" s="622" t="s">
        <v>75</v>
      </c>
      <c r="E159" s="1"/>
      <c r="F159" s="622">
        <v>172</v>
      </c>
      <c r="G159" s="622" t="s">
        <v>49</v>
      </c>
      <c r="L159" s="626">
        <v>109.02</v>
      </c>
      <c r="M159" s="626" t="s">
        <v>36</v>
      </c>
      <c r="N159" s="203"/>
      <c r="O159" s="627" t="str">
        <f t="array" ref="O159">IFERROR(IF($O$21="Metro",INDEX($F$23:$F$748,SMALL(IF((County=$G$23:$G$748),MATCH(ROW($G$23:$G$748),ROW($G$23:$G$748)),""),ROWS($A$23:A159))),INDEX($I$23:$I$52,SMALL(IF((County=$J$23:$J$52),MATCH(ROW($J$23:$J$52),ROW($J$23:$J$52)),""),ROWS($A$23:A159)))),"")</f>
        <v/>
      </c>
      <c r="Q159" s="627" t="str">
        <f t="array" ref="Q159">IFERROR(IF($Q$21="Yes",INDEX($L$23:$L$2323,SMALL(IF((County=$M$23:$M$2323),MATCH(ROW($M$23:$M$2323),ROW($M$23:$M$2323)),""),ROWS($A$23:A159))),""),"")</f>
        <v/>
      </c>
      <c r="S159" s="623">
        <v>33194</v>
      </c>
      <c r="T159" s="622" t="s">
        <v>78</v>
      </c>
      <c r="V159" s="622">
        <v>15</v>
      </c>
      <c r="W159" s="622" t="s">
        <v>49</v>
      </c>
      <c r="AB159" s="626">
        <v>9.0500000000000007</v>
      </c>
      <c r="AC159" s="626" t="s">
        <v>71</v>
      </c>
      <c r="AE159" s="1802">
        <v>34243</v>
      </c>
      <c r="AF159" s="622" t="s">
        <v>75</v>
      </c>
      <c r="AI159" s="1376"/>
      <c r="AJ159" s="622">
        <v>121</v>
      </c>
      <c r="AK159" s="622" t="s">
        <v>49</v>
      </c>
      <c r="AP159" s="1837"/>
      <c r="AQ159" s="1837"/>
      <c r="AS159" s="627" t="str">
        <f t="array" ref="AS159">IFERROR(IF($O$21="Metro",INDEX($AJ$23:$AJ$748,SMALL(IF((County=$AK$23:$AK$748),MATCH(ROW($AK$23:$AK$748),ROW($AK$23:$AK$748)),""),ROWS($A$23:$A159))),INDEX($AM$23:$AM$58,SMALL(IF((County=$AN$23:$AN$58),MATCH(ROW($AN$23:$AN$58),ROW($AN$23:$AN$58)),""),ROWS($A$23:$A159)))),"")</f>
        <v/>
      </c>
      <c r="AU159" s="627" t="str">
        <f t="array" ref="AU159">IFERROR(IF($Q$21="Yes",INDEX($AP$23:$AP$2323,SMALL(IF((County=$AQ$23:$AQ$2323),MATCH(ROW($AQ$23:$AQ$2323),ROW($AQ$23:$AQ$2323)),""),ROWS($A$23:$A159))),""),"")</f>
        <v/>
      </c>
      <c r="AW159" s="1802">
        <v>33178</v>
      </c>
      <c r="AX159" s="622" t="s">
        <v>78</v>
      </c>
      <c r="AZ159" s="622">
        <v>11.01</v>
      </c>
      <c r="BA159" s="625" t="s">
        <v>70</v>
      </c>
      <c r="BF159" s="1837"/>
      <c r="BG159" s="1837"/>
      <c r="BI159" s="1365"/>
      <c r="BJ159" s="1365"/>
      <c r="BK159" s="1373"/>
      <c r="BL159" s="1373"/>
      <c r="BM159" s="1373"/>
      <c r="BN159" s="1365"/>
      <c r="BO159" s="1365"/>
      <c r="BP159" s="1365"/>
      <c r="BQ159" s="1365"/>
      <c r="BR159" s="1365"/>
      <c r="BS159" s="1365"/>
    </row>
    <row r="160" spans="1:71" ht="14.5" customHeight="1">
      <c r="A160" s="1802">
        <v>34216</v>
      </c>
      <c r="B160" s="622" t="s">
        <v>75</v>
      </c>
      <c r="E160" s="1"/>
      <c r="F160" s="622">
        <v>174</v>
      </c>
      <c r="G160" s="622" t="s">
        <v>49</v>
      </c>
      <c r="L160" s="626">
        <v>110</v>
      </c>
      <c r="M160" s="626" t="s">
        <v>36</v>
      </c>
      <c r="N160" s="203"/>
      <c r="O160" s="627" t="str">
        <f t="array" ref="O160">IFERROR(IF($O$21="Metro",INDEX($F$23:$F$748,SMALL(IF((County=$G$23:$G$748),MATCH(ROW($G$23:$G$748),ROW($G$23:$G$748)),""),ROWS($A$23:A160))),INDEX($I$23:$I$52,SMALL(IF((County=$J$23:$J$52),MATCH(ROW($J$23:$J$52),ROW($J$23:$J$52)),""),ROWS($A$23:A160)))),"")</f>
        <v/>
      </c>
      <c r="Q160" s="627" t="str">
        <f t="array" ref="Q160">IFERROR(IF($Q$21="Yes",INDEX($L$23:$L$2323,SMALL(IF((County=$M$23:$M$2323),MATCH(ROW($M$23:$M$2323),ROW($M$23:$M$2323)),""),ROWS($A$23:A160))),""),"")</f>
        <v/>
      </c>
      <c r="S160" s="623">
        <v>33196</v>
      </c>
      <c r="T160" s="622" t="s">
        <v>78</v>
      </c>
      <c r="V160" s="622">
        <v>15</v>
      </c>
      <c r="W160" s="625" t="s">
        <v>51</v>
      </c>
      <c r="AB160" s="626">
        <v>9.0500000000000007</v>
      </c>
      <c r="AC160" s="626" t="s">
        <v>87</v>
      </c>
      <c r="AE160" s="1802">
        <v>34251</v>
      </c>
      <c r="AF160" s="622" t="s">
        <v>75</v>
      </c>
      <c r="AI160" s="1376"/>
      <c r="AJ160" s="622">
        <v>122.01</v>
      </c>
      <c r="AK160" s="622" t="s">
        <v>49</v>
      </c>
      <c r="AP160" s="1837"/>
      <c r="AQ160" s="1837"/>
      <c r="AS160" s="627" t="str">
        <f t="array" ref="AS160">IFERROR(IF($O$21="Metro",INDEX($AJ$23:$AJ$748,SMALL(IF((County=$AK$23:$AK$748),MATCH(ROW($AK$23:$AK$748),ROW($AK$23:$AK$748)),""),ROWS($A$23:$A160))),INDEX($AM$23:$AM$58,SMALL(IF((County=$AN$23:$AN$58),MATCH(ROW($AN$23:$AN$58),ROW($AN$23:$AN$58)),""),ROWS($A$23:$A160)))),"")</f>
        <v/>
      </c>
      <c r="AU160" s="627" t="str">
        <f t="array" ref="AU160">IFERROR(IF($Q$21="Yes",INDEX($AP$23:$AP$2323,SMALL(IF((County=$AQ$23:$AQ$2323),MATCH(ROW($AQ$23:$AQ$2323),ROW($AQ$23:$AQ$2323)),""),ROWS($A$23:$A160))),""),"")</f>
        <v/>
      </c>
      <c r="AW160" s="1802">
        <v>33179</v>
      </c>
      <c r="AX160" s="622" t="s">
        <v>78</v>
      </c>
      <c r="AZ160" s="622">
        <v>11.01</v>
      </c>
      <c r="BA160" s="625" t="s">
        <v>71</v>
      </c>
      <c r="BF160" s="1837"/>
      <c r="BG160" s="1837"/>
      <c r="BI160" s="1365"/>
      <c r="BJ160" s="1365"/>
      <c r="BK160" s="1373"/>
      <c r="BL160" s="1373"/>
      <c r="BM160" s="1373"/>
      <c r="BN160" s="1365"/>
      <c r="BO160" s="1365"/>
      <c r="BP160" s="1365"/>
      <c r="BQ160" s="1365"/>
      <c r="BR160" s="1365"/>
      <c r="BS160" s="1365"/>
    </row>
    <row r="161" spans="1:71" ht="14.5" customHeight="1">
      <c r="A161" s="1802">
        <v>34217</v>
      </c>
      <c r="B161" s="622" t="s">
        <v>75</v>
      </c>
      <c r="E161" s="1"/>
      <c r="F161" s="622">
        <v>3</v>
      </c>
      <c r="G161" s="625" t="s">
        <v>51</v>
      </c>
      <c r="L161" s="626">
        <v>202.04</v>
      </c>
      <c r="M161" s="626" t="s">
        <v>36</v>
      </c>
      <c r="N161" s="203"/>
      <c r="O161" s="627" t="str">
        <f t="array" ref="O161">IFERROR(IF($O$21="Metro",INDEX($F$23:$F$748,SMALL(IF((County=$G$23:$G$748),MATCH(ROW($G$23:$G$748),ROW($G$23:$G$748)),""),ROWS($A$23:A161))),INDEX($I$23:$I$52,SMALL(IF((County=$J$23:$J$52),MATCH(ROW($J$23:$J$52),ROW($J$23:$J$52)),""),ROWS($A$23:A161)))),"")</f>
        <v/>
      </c>
      <c r="Q161" s="627" t="str">
        <f t="array" ref="Q161">IFERROR(IF($Q$21="Yes",INDEX($L$23:$L$2323,SMALL(IF((County=$M$23:$M$2323),MATCH(ROW($M$23:$M$2323),ROW($M$23:$M$2323)),""),ROWS($A$23:A161))),""),"")</f>
        <v/>
      </c>
      <c r="S161" s="623">
        <v>33301</v>
      </c>
      <c r="T161" s="622" t="s">
        <v>36</v>
      </c>
      <c r="V161" s="622">
        <v>15</v>
      </c>
      <c r="W161" s="625" t="s">
        <v>76</v>
      </c>
      <c r="AB161" s="626">
        <v>10</v>
      </c>
      <c r="AC161" s="626" t="s">
        <v>26</v>
      </c>
      <c r="AE161" s="1802">
        <v>32133</v>
      </c>
      <c r="AF161" s="622" t="s">
        <v>76</v>
      </c>
      <c r="AI161" s="1376"/>
      <c r="AJ161" s="622">
        <v>122.02</v>
      </c>
      <c r="AK161" s="625" t="s">
        <v>49</v>
      </c>
      <c r="AP161" s="1837"/>
      <c r="AQ161" s="1837"/>
      <c r="AS161" s="627" t="str">
        <f t="array" ref="AS161">IFERROR(IF($O$21="Metro",INDEX($AJ$23:$AJ$748,SMALL(IF((County=$AK$23:$AK$748),MATCH(ROW($AK$23:$AK$748),ROW($AK$23:$AK$748)),""),ROWS($A$23:$A161))),INDEX($AM$23:$AM$58,SMALL(IF((County=$AN$23:$AN$58),MATCH(ROW($AN$23:$AN$58),ROW($AN$23:$AN$58)),""),ROWS($A$23:$A161)))),"")</f>
        <v/>
      </c>
      <c r="AU161" s="627" t="str">
        <f t="array" ref="AU161">IFERROR(IF($Q$21="Yes",INDEX($AP$23:$AP$2323,SMALL(IF((County=$AQ$23:$AQ$2323),MATCH(ROW($AQ$23:$AQ$2323),ROW($AQ$23:$AQ$2323)),""),ROWS($A$23:$A161))),""),"")</f>
        <v/>
      </c>
      <c r="AW161" s="1802">
        <v>33180</v>
      </c>
      <c r="AX161" s="622" t="s">
        <v>78</v>
      </c>
      <c r="AZ161" s="622">
        <v>11.02</v>
      </c>
      <c r="BA161" s="622" t="s">
        <v>96</v>
      </c>
      <c r="BF161" s="1837"/>
      <c r="BG161" s="1837"/>
      <c r="BI161" s="1365"/>
      <c r="BJ161" s="1365"/>
      <c r="BK161" s="1373"/>
      <c r="BL161" s="1373"/>
      <c r="BM161" s="1373"/>
      <c r="BN161" s="1365"/>
      <c r="BO161" s="1365"/>
      <c r="BP161" s="1365"/>
      <c r="BQ161" s="1365"/>
      <c r="BR161" s="1365"/>
      <c r="BS161" s="1365"/>
    </row>
    <row r="162" spans="1:71" ht="14.5" customHeight="1">
      <c r="A162" s="1802">
        <v>34219</v>
      </c>
      <c r="B162" s="622" t="s">
        <v>75</v>
      </c>
      <c r="E162" s="1"/>
      <c r="F162" s="622">
        <v>4</v>
      </c>
      <c r="G162" s="625" t="s">
        <v>51</v>
      </c>
      <c r="L162" s="626">
        <v>202.05</v>
      </c>
      <c r="M162" s="626" t="s">
        <v>36</v>
      </c>
      <c r="N162" s="203"/>
      <c r="O162" s="627" t="str">
        <f t="array" ref="O162">IFERROR(IF($O$21="Metro",INDEX($F$23:$F$748,SMALL(IF((County=$G$23:$G$748),MATCH(ROW($G$23:$G$748),ROW($G$23:$G$748)),""),ROWS($A$23:A162))),INDEX($I$23:$I$52,SMALL(IF((County=$J$23:$J$52),MATCH(ROW($J$23:$J$52),ROW($J$23:$J$52)),""),ROWS($A$23:A162)))),"")</f>
        <v/>
      </c>
      <c r="Q162" s="627" t="str">
        <f t="array" ref="Q162">IFERROR(IF($Q$21="Yes",INDEX($L$23:$L$2323,SMALL(IF((County=$M$23:$M$2323),MATCH(ROW($M$23:$M$2323),ROW($M$23:$M$2323)),""),ROWS($A$23:A162))),""),"")</f>
        <v/>
      </c>
      <c r="S162" s="623">
        <v>33308</v>
      </c>
      <c r="T162" s="622" t="s">
        <v>36</v>
      </c>
      <c r="V162" s="622">
        <v>15.01</v>
      </c>
      <c r="W162" s="625" t="s">
        <v>78</v>
      </c>
      <c r="AB162" s="626">
        <v>10</v>
      </c>
      <c r="AC162" s="626" t="s">
        <v>70</v>
      </c>
      <c r="AE162" s="1802">
        <v>32195</v>
      </c>
      <c r="AF162" s="622" t="s">
        <v>76</v>
      </c>
      <c r="AI162" s="1376"/>
      <c r="AJ162" s="622">
        <v>126.01</v>
      </c>
      <c r="AK162" s="625" t="s">
        <v>49</v>
      </c>
      <c r="AP162" s="1837"/>
      <c r="AQ162" s="1837"/>
      <c r="AS162" s="627" t="str">
        <f t="array" ref="AS162">IFERROR(IF($O$21="Metro",INDEX($AJ$23:$AJ$748,SMALL(IF((County=$AK$23:$AK$748),MATCH(ROW($AK$23:$AK$748),ROW($AK$23:$AK$748)),""),ROWS($A$23:$A162))),INDEX($AM$23:$AM$58,SMALL(IF((County=$AN$23:$AN$58),MATCH(ROW($AN$23:$AN$58),ROW($AN$23:$AN$58)),""),ROWS($A$23:$A162)))),"")</f>
        <v/>
      </c>
      <c r="AU162" s="627" t="str">
        <f t="array" ref="AU162">IFERROR(IF($Q$21="Yes",INDEX($AP$23:$AP$2323,SMALL(IF((County=$AQ$23:$AQ$2323),MATCH(ROW($AQ$23:$AQ$2323),ROW($AQ$23:$AQ$2323)),""),ROWS($A$23:$A162))),""),"")</f>
        <v/>
      </c>
      <c r="AW162" s="1802">
        <v>33182</v>
      </c>
      <c r="AX162" s="622" t="s">
        <v>78</v>
      </c>
      <c r="AZ162" s="622">
        <v>11.03</v>
      </c>
      <c r="BA162" s="625" t="s">
        <v>70</v>
      </c>
      <c r="BF162" s="1837"/>
      <c r="BG162" s="1837"/>
      <c r="BI162" s="1365"/>
      <c r="BJ162" s="1365"/>
      <c r="BK162" s="1373"/>
      <c r="BL162" s="1373"/>
      <c r="BM162" s="1373"/>
      <c r="BN162" s="1365"/>
      <c r="BO162" s="1365"/>
      <c r="BP162" s="1365"/>
      <c r="BQ162" s="1365"/>
      <c r="BR162" s="1365"/>
      <c r="BS162" s="1365"/>
    </row>
    <row r="163" spans="1:71" ht="14.5" customHeight="1">
      <c r="A163" s="1802">
        <v>34243</v>
      </c>
      <c r="B163" s="622" t="s">
        <v>75</v>
      </c>
      <c r="E163" s="1"/>
      <c r="F163" s="622">
        <v>6</v>
      </c>
      <c r="G163" s="625" t="s">
        <v>51</v>
      </c>
      <c r="L163" s="626">
        <v>203.09</v>
      </c>
      <c r="M163" s="626" t="s">
        <v>36</v>
      </c>
      <c r="N163" s="203"/>
      <c r="O163" s="627" t="str">
        <f t="array" ref="O163">IFERROR(IF($O$21="Metro",INDEX($F$23:$F$748,SMALL(IF((County=$G$23:$G$748),MATCH(ROW($G$23:$G$748),ROW($G$23:$G$748)),""),ROWS($A$23:A163))),INDEX($I$23:$I$52,SMALL(IF((County=$J$23:$J$52),MATCH(ROW($J$23:$J$52),ROW($J$23:$J$52)),""),ROWS($A$23:A163)))),"")</f>
        <v/>
      </c>
      <c r="Q163" s="627" t="str">
        <f t="array" ref="Q163">IFERROR(IF($Q$21="Yes",INDEX($L$23:$L$2323,SMALL(IF((County=$M$23:$M$2323),MATCH(ROW($M$23:$M$2323),ROW($M$23:$M$2323)),""),ROWS($A$23:A163))),""),"")</f>
        <v/>
      </c>
      <c r="S163" s="623">
        <v>33321</v>
      </c>
      <c r="T163" s="622" t="s">
        <v>36</v>
      </c>
      <c r="V163" s="622">
        <v>15.02</v>
      </c>
      <c r="W163" s="625" t="s">
        <v>70</v>
      </c>
      <c r="AB163" s="626">
        <v>10.01</v>
      </c>
      <c r="AC163" s="626" t="s">
        <v>51</v>
      </c>
      <c r="AE163" s="1802">
        <v>34472</v>
      </c>
      <c r="AF163" s="622" t="s">
        <v>76</v>
      </c>
      <c r="AI163" s="1376"/>
      <c r="AJ163" s="622">
        <v>134.02000000000001</v>
      </c>
      <c r="AK163" s="625" t="s">
        <v>49</v>
      </c>
      <c r="AP163" s="1837"/>
      <c r="AQ163" s="1837"/>
      <c r="AS163" s="627" t="str">
        <f t="array" ref="AS163">IFERROR(IF($O$21="Metro",INDEX($AJ$23:$AJ$748,SMALL(IF((County=$AK$23:$AK$748),MATCH(ROW($AK$23:$AK$748),ROW($AK$23:$AK$748)),""),ROWS($A$23:$A163))),INDEX($AM$23:$AM$58,SMALL(IF((County=$AN$23:$AN$58),MATCH(ROW($AN$23:$AN$58),ROW($AN$23:$AN$58)),""),ROWS($A$23:$A163)))),"")</f>
        <v/>
      </c>
      <c r="AU163" s="627" t="str">
        <f t="array" ref="AU163">IFERROR(IF($Q$21="Yes",INDEX($AP$23:$AP$2323,SMALL(IF((County=$AQ$23:$AQ$2323),MATCH(ROW($AQ$23:$AQ$2323),ROW($AQ$23:$AQ$2323)),""),ROWS($A$23:$A163))),""),"")</f>
        <v/>
      </c>
      <c r="AW163" s="1802">
        <v>33183</v>
      </c>
      <c r="AX163" s="622" t="s">
        <v>78</v>
      </c>
      <c r="AZ163" s="622">
        <v>11.03</v>
      </c>
      <c r="BA163" s="625" t="s">
        <v>78</v>
      </c>
      <c r="BF163" s="1837"/>
      <c r="BG163" s="1837"/>
      <c r="BI163" s="1365"/>
      <c r="BJ163" s="1365"/>
      <c r="BK163" s="1373"/>
      <c r="BL163" s="1373"/>
      <c r="BM163" s="1373"/>
      <c r="BN163" s="1365"/>
      <c r="BO163" s="1365"/>
      <c r="BP163" s="1365"/>
      <c r="BQ163" s="1365"/>
      <c r="BR163" s="1365"/>
      <c r="BS163" s="1365"/>
    </row>
    <row r="164" spans="1:71" ht="14.5" customHeight="1">
      <c r="A164" s="1802">
        <v>34251</v>
      </c>
      <c r="B164" s="622" t="s">
        <v>75</v>
      </c>
      <c r="E164" s="1"/>
      <c r="F164" s="622">
        <v>13</v>
      </c>
      <c r="G164" s="625" t="s">
        <v>51</v>
      </c>
      <c r="L164" s="626">
        <v>203.12</v>
      </c>
      <c r="M164" s="626" t="s">
        <v>36</v>
      </c>
      <c r="N164" s="203"/>
      <c r="O164" s="627" t="str">
        <f t="array" ref="O164">IFERROR(IF($O$21="Metro",INDEX($F$23:$F$748,SMALL(IF((County=$G$23:$G$748),MATCH(ROW($G$23:$G$748),ROW($G$23:$G$748)),""),ROWS($A$23:A164))),INDEX($I$23:$I$52,SMALL(IF((County=$J$23:$J$52),MATCH(ROW($J$23:$J$52),ROW($J$23:$J$52)),""),ROWS($A$23:A164)))),"")</f>
        <v/>
      </c>
      <c r="Q164" s="627" t="str">
        <f t="array" ref="Q164">IFERROR(IF($Q$21="Yes",INDEX($L$23:$L$2323,SMALL(IF((County=$M$23:$M$2323),MATCH(ROW($M$23:$M$2323),ROW($M$23:$M$2323)),""),ROWS($A$23:A164))),""),"")</f>
        <v/>
      </c>
      <c r="S164" s="623">
        <v>33322</v>
      </c>
      <c r="T164" s="622" t="s">
        <v>36</v>
      </c>
      <c r="V164" s="622">
        <v>15.02</v>
      </c>
      <c r="W164" s="625" t="s">
        <v>75</v>
      </c>
      <c r="AB164" s="626">
        <v>10.02</v>
      </c>
      <c r="AC164" s="626" t="s">
        <v>51</v>
      </c>
      <c r="AE164" s="1802">
        <v>34473</v>
      </c>
      <c r="AF164" s="622" t="s">
        <v>76</v>
      </c>
      <c r="AI164" s="1376"/>
      <c r="AJ164" s="622">
        <v>143.11000000000001</v>
      </c>
      <c r="AK164" s="625" t="s">
        <v>49</v>
      </c>
      <c r="AP164" s="1837"/>
      <c r="AQ164" s="1837"/>
      <c r="AS164" s="627" t="str">
        <f t="array" ref="AS164">IFERROR(IF($O$21="Metro",INDEX($AJ$23:$AJ$748,SMALL(IF((County=$AK$23:$AK$748),MATCH(ROW($AK$23:$AK$748),ROW($AK$23:$AK$748)),""),ROWS($A$23:$A164))),INDEX($AM$23:$AM$58,SMALL(IF((County=$AN$23:$AN$58),MATCH(ROW($AN$23:$AN$58),ROW($AN$23:$AN$58)),""),ROWS($A$23:$A164)))),"")</f>
        <v/>
      </c>
      <c r="AU164" s="627" t="str">
        <f t="array" ref="AU164">IFERROR(IF($Q$21="Yes",INDEX($AP$23:$AP$2323,SMALL(IF((County=$AQ$23:$AQ$2323),MATCH(ROW($AQ$23:$AQ$2323),ROW($AQ$23:$AQ$2323)),""),ROWS($A$23:$A164))),""),"")</f>
        <v/>
      </c>
      <c r="AW164" s="1802">
        <v>33184</v>
      </c>
      <c r="AX164" s="622" t="s">
        <v>78</v>
      </c>
      <c r="AZ164" s="622">
        <v>11.04</v>
      </c>
      <c r="BA164" s="625" t="s">
        <v>70</v>
      </c>
      <c r="BF164" s="1837"/>
      <c r="BG164" s="1837"/>
      <c r="BI164" s="1365"/>
      <c r="BJ164" s="1365"/>
      <c r="BK164" s="1373"/>
      <c r="BL164" s="1373"/>
      <c r="BM164" s="1373"/>
      <c r="BN164" s="1365"/>
      <c r="BO164" s="1365"/>
      <c r="BP164" s="1365"/>
      <c r="BQ164" s="1365"/>
      <c r="BR164" s="1365"/>
      <c r="BS164" s="1365"/>
    </row>
    <row r="165" spans="1:71" ht="14.5" customHeight="1">
      <c r="A165" s="1802">
        <v>32133</v>
      </c>
      <c r="B165" s="622" t="s">
        <v>76</v>
      </c>
      <c r="E165" s="1"/>
      <c r="F165" s="622">
        <v>15</v>
      </c>
      <c r="G165" s="625" t="s">
        <v>51</v>
      </c>
      <c r="L165" s="626">
        <v>203.13</v>
      </c>
      <c r="M165" s="626" t="s">
        <v>36</v>
      </c>
      <c r="N165" s="203"/>
      <c r="O165" s="627" t="str">
        <f t="array" ref="O165">IFERROR(IF($O$21="Metro",INDEX($F$23:$F$748,SMALL(IF((County=$G$23:$G$748),MATCH(ROW($G$23:$G$748),ROW($G$23:$G$748)),""),ROWS($A$23:A165))),INDEX($I$23:$I$52,SMALL(IF((County=$J$23:$J$52),MATCH(ROW($J$23:$J$52),ROW($J$23:$J$52)),""),ROWS($A$23:A165)))),"")</f>
        <v/>
      </c>
      <c r="Q165" s="627" t="str">
        <f t="array" ref="Q165">IFERROR(IF($Q$21="Yes",INDEX($L$23:$L$2323,SMALL(IF((County=$M$23:$M$2323),MATCH(ROW($M$23:$M$2323),ROW($M$23:$M$2323)),""),ROWS($A$23:A165))),""),"")</f>
        <v/>
      </c>
      <c r="S165" s="623">
        <v>33323</v>
      </c>
      <c r="T165" s="622" t="s">
        <v>36</v>
      </c>
      <c r="V165" s="622">
        <v>15.02</v>
      </c>
      <c r="W165" s="625" t="s">
        <v>78</v>
      </c>
      <c r="AB165" s="626">
        <v>10.029999999999999</v>
      </c>
      <c r="AC165" s="626" t="s">
        <v>87</v>
      </c>
      <c r="AE165" s="1802">
        <v>34474</v>
      </c>
      <c r="AF165" s="622" t="s">
        <v>76</v>
      </c>
      <c r="AI165" s="1376"/>
      <c r="AJ165" s="622">
        <v>148</v>
      </c>
      <c r="AK165" s="625" t="s">
        <v>49</v>
      </c>
      <c r="AP165" s="1837"/>
      <c r="AQ165" s="1837"/>
      <c r="AS165" s="627" t="str">
        <f t="array" ref="AS165">IFERROR(IF($O$21="Metro",INDEX($AJ$23:$AJ$748,SMALL(IF((County=$AK$23:$AK$748),MATCH(ROW($AK$23:$AK$748),ROW($AK$23:$AK$748)),""),ROWS($A$23:$A165))),INDEX($AM$23:$AM$58,SMALL(IF((County=$AN$23:$AN$58),MATCH(ROW($AN$23:$AN$58),ROW($AN$23:$AN$58)),""),ROWS($A$23:$A165)))),"")</f>
        <v/>
      </c>
      <c r="AU165" s="627" t="str">
        <f t="array" ref="AU165">IFERROR(IF($Q$21="Yes",INDEX($AP$23:$AP$2323,SMALL(IF((County=$AQ$23:$AQ$2323),MATCH(ROW($AQ$23:$AQ$2323),ROW($AQ$23:$AQ$2323)),""),ROWS($A$23:$A165))),""),"")</f>
        <v/>
      </c>
      <c r="AW165" s="1802">
        <v>33185</v>
      </c>
      <c r="AX165" s="622" t="s">
        <v>78</v>
      </c>
      <c r="AZ165" s="622">
        <v>12</v>
      </c>
      <c r="BA165" s="625" t="s">
        <v>49</v>
      </c>
      <c r="BF165" s="1837"/>
      <c r="BG165" s="1837"/>
      <c r="BI165" s="1365"/>
      <c r="BJ165" s="1365"/>
      <c r="BK165" s="1373"/>
      <c r="BL165" s="1373"/>
      <c r="BM165" s="1373"/>
      <c r="BN165" s="1365"/>
      <c r="BO165" s="1365"/>
      <c r="BP165" s="1365"/>
      <c r="BQ165" s="1365"/>
      <c r="BR165" s="1365"/>
      <c r="BS165" s="1365"/>
    </row>
    <row r="166" spans="1:71" ht="14.5" customHeight="1">
      <c r="A166" s="1802">
        <v>32195</v>
      </c>
      <c r="B166" s="622" t="s">
        <v>76</v>
      </c>
      <c r="E166" s="1"/>
      <c r="F166" s="622">
        <v>16</v>
      </c>
      <c r="G166" s="625" t="s">
        <v>51</v>
      </c>
      <c r="L166" s="626">
        <v>203.15</v>
      </c>
      <c r="M166" s="626" t="s">
        <v>36</v>
      </c>
      <c r="N166" s="203"/>
      <c r="O166" s="627" t="str">
        <f t="array" ref="O166">IFERROR(IF($O$21="Metro",INDEX($F$23:$F$748,SMALL(IF((County=$G$23:$G$748),MATCH(ROW($G$23:$G$748),ROW($G$23:$G$748)),""),ROWS($A$23:A166))),INDEX($I$23:$I$52,SMALL(IF((County=$J$23:$J$52),MATCH(ROW($J$23:$J$52),ROW($J$23:$J$52)),""),ROWS($A$23:A166)))),"")</f>
        <v/>
      </c>
      <c r="Q166" s="627" t="str">
        <f t="array" ref="Q166">IFERROR(IF($Q$21="Yes",INDEX($L$23:$L$2323,SMALL(IF((County=$M$23:$M$2323),MATCH(ROW($M$23:$M$2323),ROW($M$23:$M$2323)),""),ROWS($A$23:A166))),""),"")</f>
        <v/>
      </c>
      <c r="S166" s="623">
        <v>33324</v>
      </c>
      <c r="T166" s="622" t="s">
        <v>36</v>
      </c>
      <c r="V166" s="622">
        <v>15.14</v>
      </c>
      <c r="W166" s="622" t="s">
        <v>26</v>
      </c>
      <c r="AB166" s="626">
        <v>10.039999999999999</v>
      </c>
      <c r="AC166" s="626" t="s">
        <v>76</v>
      </c>
      <c r="AE166" s="1802">
        <v>34990</v>
      </c>
      <c r="AF166" s="622" t="s">
        <v>77</v>
      </c>
      <c r="AI166" s="1376"/>
      <c r="AJ166" s="622">
        <v>154</v>
      </c>
      <c r="AK166" s="625" t="s">
        <v>49</v>
      </c>
      <c r="AP166" s="1837"/>
      <c r="AQ166" s="1837"/>
      <c r="AS166" s="627" t="str">
        <f t="array" ref="AS166">IFERROR(IF($O$21="Metro",INDEX($AJ$23:$AJ$748,SMALL(IF((County=$AK$23:$AK$748),MATCH(ROW($AK$23:$AK$748),ROW($AK$23:$AK$748)),""),ROWS($A$23:$A166))),INDEX($AM$23:$AM$58,SMALL(IF((County=$AN$23:$AN$58),MATCH(ROW($AN$23:$AN$58),ROW($AN$23:$AN$58)),""),ROWS($A$23:$A166)))),"")</f>
        <v/>
      </c>
      <c r="AU166" s="627" t="str">
        <f t="array" ref="AU166">IFERROR(IF($Q$21="Yes",INDEX($AP$23:$AP$2323,SMALL(IF((County=$AQ$23:$AQ$2323),MATCH(ROW($AQ$23:$AQ$2323),ROW($AQ$23:$AQ$2323)),""),ROWS($A$23:$A166))),""),"")</f>
        <v/>
      </c>
      <c r="AW166" s="1802">
        <v>33186</v>
      </c>
      <c r="AX166" s="622" t="s">
        <v>78</v>
      </c>
      <c r="AZ166" s="622">
        <v>12</v>
      </c>
      <c r="BA166" s="625" t="s">
        <v>63</v>
      </c>
      <c r="BF166" s="1837"/>
      <c r="BG166" s="1837"/>
      <c r="BI166" s="1365"/>
      <c r="BJ166" s="1365"/>
      <c r="BK166" s="1373"/>
      <c r="BL166" s="1373"/>
      <c r="BM166" s="1373"/>
      <c r="BN166" s="1365"/>
      <c r="BO166" s="1365"/>
      <c r="BP166" s="1365"/>
      <c r="BQ166" s="1365"/>
      <c r="BR166" s="1365"/>
      <c r="BS166" s="1365"/>
    </row>
    <row r="167" spans="1:71" ht="14.5" customHeight="1">
      <c r="A167" s="1802">
        <v>34472</v>
      </c>
      <c r="B167" s="622" t="s">
        <v>76</v>
      </c>
      <c r="E167" s="1"/>
      <c r="F167" s="622">
        <v>17</v>
      </c>
      <c r="G167" s="625" t="s">
        <v>51</v>
      </c>
      <c r="L167" s="626">
        <v>203.16</v>
      </c>
      <c r="M167" s="626" t="s">
        <v>36</v>
      </c>
      <c r="N167" s="203"/>
      <c r="O167" s="627" t="str">
        <f t="array" ref="O167">IFERROR(IF($O$21="Metro",INDEX($F$23:$F$748,SMALL(IF((County=$G$23:$G$748),MATCH(ROW($G$23:$G$748),ROW($G$23:$G$748)),""),ROWS($A$23:A167))),INDEX($I$23:$I$52,SMALL(IF((County=$J$23:$J$52),MATCH(ROW($J$23:$J$52),ROW($J$23:$J$52)),""),ROWS($A$23:A167)))),"")</f>
        <v/>
      </c>
      <c r="Q167" s="627" t="str">
        <f t="array" ref="Q167">IFERROR(IF($Q$21="Yes",INDEX($L$23:$L$2323,SMALL(IF((County=$M$23:$M$2323),MATCH(ROW($M$23:$M$2323),ROW($M$23:$M$2323)),""),ROWS($A$23:A167))),""),"")</f>
        <v/>
      </c>
      <c r="S167" s="623">
        <v>33325</v>
      </c>
      <c r="T167" s="622" t="s">
        <v>36</v>
      </c>
      <c r="V167" s="622">
        <v>15.15</v>
      </c>
      <c r="W167" s="622" t="s">
        <v>26</v>
      </c>
      <c r="AB167" s="626">
        <v>10.050000000000001</v>
      </c>
      <c r="AC167" s="626" t="s">
        <v>76</v>
      </c>
      <c r="AE167" s="1802">
        <v>33014</v>
      </c>
      <c r="AF167" s="622" t="s">
        <v>78</v>
      </c>
      <c r="AI167" s="1376"/>
      <c r="AJ167" s="622">
        <v>155.02000000000001</v>
      </c>
      <c r="AK167" s="625" t="s">
        <v>49</v>
      </c>
      <c r="AP167" s="1837"/>
      <c r="AQ167" s="1837"/>
      <c r="AS167" s="627" t="str">
        <f t="array" ref="AS167">IFERROR(IF($O$21="Metro",INDEX($AJ$23:$AJ$748,SMALL(IF((County=$AK$23:$AK$748),MATCH(ROW($AK$23:$AK$748),ROW($AK$23:$AK$748)),""),ROWS($A$23:$A167))),INDEX($AM$23:$AM$58,SMALL(IF((County=$AN$23:$AN$58),MATCH(ROW($AN$23:$AN$58),ROW($AN$23:$AN$58)),""),ROWS($A$23:$A167)))),"")</f>
        <v/>
      </c>
      <c r="AU167" s="627" t="str">
        <f t="array" ref="AU167">IFERROR(IF($Q$21="Yes",INDEX($AP$23:$AP$2323,SMALL(IF((County=$AQ$23:$AQ$2323),MATCH(ROW($AQ$23:$AQ$2323),ROW($AQ$23:$AQ$2323)),""),ROWS($A$23:$A167))),""),"")</f>
        <v/>
      </c>
      <c r="AW167" s="1802">
        <v>33187</v>
      </c>
      <c r="AX167" s="622" t="s">
        <v>78</v>
      </c>
      <c r="AZ167" s="622">
        <v>12</v>
      </c>
      <c r="BA167" s="625" t="s">
        <v>71</v>
      </c>
      <c r="BF167" s="1837"/>
      <c r="BG167" s="1837"/>
      <c r="BI167" s="1365"/>
      <c r="BJ167" s="1365"/>
      <c r="BK167" s="1373"/>
      <c r="BL167" s="1373"/>
      <c r="BM167" s="1373"/>
      <c r="BN167" s="1365"/>
      <c r="BO167" s="1365"/>
      <c r="BP167" s="1365"/>
      <c r="BQ167" s="1365"/>
      <c r="BR167" s="1365"/>
      <c r="BS167" s="1365"/>
    </row>
    <row r="168" spans="1:71" ht="14.5" customHeight="1">
      <c r="A168" s="1802">
        <v>34473</v>
      </c>
      <c r="B168" s="622" t="s">
        <v>76</v>
      </c>
      <c r="E168" s="1"/>
      <c r="F168" s="622">
        <v>18</v>
      </c>
      <c r="G168" s="625" t="s">
        <v>51</v>
      </c>
      <c r="L168" s="626">
        <v>203.17</v>
      </c>
      <c r="M168" s="626" t="s">
        <v>36</v>
      </c>
      <c r="N168" s="203"/>
      <c r="O168" s="627" t="str">
        <f t="array" ref="O168">IFERROR(IF($O$21="Metro",INDEX($F$23:$F$748,SMALL(IF((County=$G$23:$G$748),MATCH(ROW($G$23:$G$748),ROW($G$23:$G$748)),""),ROWS($A$23:A168))),INDEX($I$23:$I$52,SMALL(IF((County=$J$23:$J$52),MATCH(ROW($J$23:$J$52),ROW($J$23:$J$52)),""),ROWS($A$23:A168)))),"")</f>
        <v/>
      </c>
      <c r="Q168" s="627" t="str">
        <f t="array" ref="Q168">IFERROR(IF($Q$21="Yes",INDEX($L$23:$L$2323,SMALL(IF((County=$M$23:$M$2323),MATCH(ROW($M$23:$M$2323),ROW($M$23:$M$2323)),""),ROWS($A$23:A168))),""),"")</f>
        <v/>
      </c>
      <c r="S168" s="623">
        <v>33326</v>
      </c>
      <c r="T168" s="622" t="s">
        <v>36</v>
      </c>
      <c r="V168" s="622">
        <v>15.16</v>
      </c>
      <c r="W168" s="622" t="s">
        <v>26</v>
      </c>
      <c r="AB168" s="626">
        <v>10.06</v>
      </c>
      <c r="AC168" s="626" t="s">
        <v>76</v>
      </c>
      <c r="AE168" s="1802">
        <v>33015</v>
      </c>
      <c r="AF168" s="622" t="s">
        <v>78</v>
      </c>
      <c r="AI168" s="1376"/>
      <c r="AJ168" s="622">
        <v>160.01</v>
      </c>
      <c r="AK168" s="625" t="s">
        <v>49</v>
      </c>
      <c r="AP168" s="1837"/>
      <c r="AQ168" s="1837"/>
      <c r="AS168" s="627" t="str">
        <f t="array" ref="AS168">IFERROR(IF($O$21="Metro",INDEX($AJ$23:$AJ$748,SMALL(IF((County=$AK$23:$AK$748),MATCH(ROW($AK$23:$AK$748),ROW($AK$23:$AK$748)),""),ROWS($A$23:$A168))),INDEX($AM$23:$AM$58,SMALL(IF((County=$AN$23:$AN$58),MATCH(ROW($AN$23:$AN$58),ROW($AN$23:$AN$58)),""),ROWS($A$23:$A168)))),"")</f>
        <v/>
      </c>
      <c r="AU168" s="627" t="str">
        <f t="array" ref="AU168">IFERROR(IF($Q$21="Yes",INDEX($AP$23:$AP$2323,SMALL(IF((County=$AQ$23:$AQ$2323),MATCH(ROW($AQ$23:$AQ$2323),ROW($AQ$23:$AQ$2323)),""),ROWS($A$23:$A168))),""),"")</f>
        <v/>
      </c>
      <c r="AW168" s="1802">
        <v>33190</v>
      </c>
      <c r="AX168" s="622" t="s">
        <v>78</v>
      </c>
      <c r="AZ168" s="622">
        <v>12</v>
      </c>
      <c r="BA168" s="625" t="s">
        <v>77</v>
      </c>
      <c r="BF168" s="1837"/>
      <c r="BG168" s="1837"/>
      <c r="BI168" s="1365"/>
      <c r="BJ168" s="1365"/>
      <c r="BK168" s="1373"/>
      <c r="BL168" s="1373"/>
      <c r="BM168" s="1373"/>
      <c r="BN168" s="1365"/>
      <c r="BO168" s="1365"/>
      <c r="BP168" s="1365"/>
      <c r="BQ168" s="1365"/>
      <c r="BR168" s="1365"/>
      <c r="BS168" s="1365"/>
    </row>
    <row r="169" spans="1:71" ht="14.5" customHeight="1">
      <c r="A169" s="1802">
        <v>34474</v>
      </c>
      <c r="B169" s="622" t="s">
        <v>76</v>
      </c>
      <c r="E169" s="1"/>
      <c r="F169" s="622">
        <v>19</v>
      </c>
      <c r="G169" s="625" t="s">
        <v>51</v>
      </c>
      <c r="L169" s="626">
        <v>203.18</v>
      </c>
      <c r="M169" s="626" t="s">
        <v>36</v>
      </c>
      <c r="N169" s="203"/>
      <c r="O169" s="627" t="str">
        <f t="array" ref="O169">IFERROR(IF($O$21="Metro",INDEX($F$23:$F$748,SMALL(IF((County=$G$23:$G$748),MATCH(ROW($G$23:$G$748),ROW($G$23:$G$748)),""),ROWS($A$23:A169))),INDEX($I$23:$I$52,SMALL(IF((County=$J$23:$J$52),MATCH(ROW($J$23:$J$52),ROW($J$23:$J$52)),""),ROWS($A$23:A169)))),"")</f>
        <v/>
      </c>
      <c r="Q169" s="627" t="str">
        <f t="array" ref="Q169">IFERROR(IF($Q$21="Yes",INDEX($L$23:$L$2323,SMALL(IF((County=$M$23:$M$2323),MATCH(ROW($M$23:$M$2323),ROW($M$23:$M$2323)),""),ROWS($A$23:A169))),""),"")</f>
        <v/>
      </c>
      <c r="S169" s="623">
        <v>33327</v>
      </c>
      <c r="T169" s="622" t="s">
        <v>36</v>
      </c>
      <c r="V169" s="622">
        <v>15.17</v>
      </c>
      <c r="W169" s="622" t="s">
        <v>26</v>
      </c>
      <c r="AB169" s="626">
        <v>10.07</v>
      </c>
      <c r="AC169" s="626" t="s">
        <v>76</v>
      </c>
      <c r="AE169" s="1802">
        <v>33016</v>
      </c>
      <c r="AF169" s="622" t="s">
        <v>78</v>
      </c>
      <c r="AI169" s="1376"/>
      <c r="AJ169" s="622">
        <v>160.02000000000001</v>
      </c>
      <c r="AK169" s="625" t="s">
        <v>49</v>
      </c>
      <c r="AP169" s="1837"/>
      <c r="AQ169" s="1837"/>
      <c r="AS169" s="627" t="str">
        <f t="array" ref="AS169">IFERROR(IF($O$21="Metro",INDEX($AJ$23:$AJ$748,SMALL(IF((County=$AK$23:$AK$748),MATCH(ROW($AK$23:$AK$748),ROW($AK$23:$AK$748)),""),ROWS($A$23:$A169))),INDEX($AM$23:$AM$58,SMALL(IF((County=$AN$23:$AN$58),MATCH(ROW($AN$23:$AN$58),ROW($AN$23:$AN$58)),""),ROWS($A$23:$A169)))),"")</f>
        <v/>
      </c>
      <c r="AU169" s="627" t="str">
        <f t="array" ref="AU169">IFERROR(IF($Q$21="Yes",INDEX($AP$23:$AP$2323,SMALL(IF((County=$AQ$23:$AQ$2323),MATCH(ROW($AQ$23:$AQ$2323),ROW($AQ$23:$AQ$2323)),""),ROWS($A$23:$A169))),""),"")</f>
        <v/>
      </c>
      <c r="AW169" s="1802">
        <v>33193</v>
      </c>
      <c r="AX169" s="622" t="s">
        <v>78</v>
      </c>
      <c r="AZ169" s="622">
        <v>12.07</v>
      </c>
      <c r="BA169" s="622" t="s">
        <v>78</v>
      </c>
      <c r="BF169" s="1837"/>
      <c r="BG169" s="1837"/>
      <c r="BI169" s="1365"/>
      <c r="BJ169" s="1365"/>
      <c r="BK169" s="1373"/>
      <c r="BL169" s="1373"/>
      <c r="BM169" s="1373"/>
      <c r="BN169" s="1365"/>
      <c r="BO169" s="1365"/>
      <c r="BP169" s="1365"/>
      <c r="BQ169" s="1365"/>
      <c r="BR169" s="1365"/>
      <c r="BS169" s="1365"/>
    </row>
    <row r="170" spans="1:71" ht="14.5" customHeight="1">
      <c r="A170" s="1802">
        <v>34481</v>
      </c>
      <c r="B170" s="622" t="s">
        <v>76</v>
      </c>
      <c r="E170" s="1"/>
      <c r="F170" s="622">
        <v>20</v>
      </c>
      <c r="G170" s="625" t="s">
        <v>51</v>
      </c>
      <c r="L170" s="626">
        <v>203.19</v>
      </c>
      <c r="M170" s="626" t="s">
        <v>36</v>
      </c>
      <c r="N170" s="203"/>
      <c r="O170" s="627" t="str">
        <f t="array" ref="O170">IFERROR(IF($O$21="Metro",INDEX($F$23:$F$748,SMALL(IF((County=$G$23:$G$748),MATCH(ROW($G$23:$G$748),ROW($G$23:$G$748)),""),ROWS($A$23:A170))),INDEX($I$23:$I$52,SMALL(IF((County=$J$23:$J$52),MATCH(ROW($J$23:$J$52),ROW($J$23:$J$52)),""),ROWS($A$23:A170)))),"")</f>
        <v/>
      </c>
      <c r="Q170" s="627" t="str">
        <f t="array" ref="Q170">IFERROR(IF($Q$21="Yes",INDEX($L$23:$L$2323,SMALL(IF((County=$M$23:$M$2323),MATCH(ROW($M$23:$M$2323),ROW($M$23:$M$2323)),""),ROWS($A$23:A170))),""),"")</f>
        <v/>
      </c>
      <c r="S170" s="623">
        <v>33328</v>
      </c>
      <c r="T170" s="622" t="s">
        <v>36</v>
      </c>
      <c r="V170" s="622">
        <v>15.19</v>
      </c>
      <c r="W170" s="622" t="s">
        <v>26</v>
      </c>
      <c r="AB170" s="626">
        <v>10.08</v>
      </c>
      <c r="AC170" s="626" t="s">
        <v>76</v>
      </c>
      <c r="AE170" s="1802">
        <v>33018</v>
      </c>
      <c r="AF170" s="622" t="s">
        <v>78</v>
      </c>
      <c r="AI170" s="1376"/>
      <c r="AJ170" s="622">
        <v>163</v>
      </c>
      <c r="AK170" s="625" t="s">
        <v>49</v>
      </c>
      <c r="AP170" s="1837"/>
      <c r="AQ170" s="1837"/>
      <c r="AS170" s="627" t="str">
        <f t="array" ref="AS170">IFERROR(IF($O$21="Metro",INDEX($AJ$23:$AJ$748,SMALL(IF((County=$AK$23:$AK$748),MATCH(ROW($AK$23:$AK$748),ROW($AK$23:$AK$748)),""),ROWS($A$23:$A170))),INDEX($AM$23:$AM$58,SMALL(IF((County=$AN$23:$AN$58),MATCH(ROW($AN$23:$AN$58),ROW($AN$23:$AN$58)),""),ROWS($A$23:$A170)))),"")</f>
        <v/>
      </c>
      <c r="AU170" s="627" t="str">
        <f t="array" ref="AU170">IFERROR(IF($Q$21="Yes",INDEX($AP$23:$AP$2323,SMALL(IF((County=$AQ$23:$AQ$2323),MATCH(ROW($AQ$23:$AQ$2323),ROW($AQ$23:$AQ$2323)),""),ROWS($A$23:$A170))),""),"")</f>
        <v/>
      </c>
      <c r="AW170" s="1802">
        <v>33194</v>
      </c>
      <c r="AX170" s="622" t="s">
        <v>78</v>
      </c>
      <c r="AZ170" s="622">
        <v>12.08</v>
      </c>
      <c r="BA170" s="622" t="s">
        <v>78</v>
      </c>
      <c r="BF170" s="1837"/>
      <c r="BG170" s="1837"/>
      <c r="BI170" s="1365"/>
      <c r="BJ170" s="1365"/>
      <c r="BK170" s="1373"/>
      <c r="BL170" s="1373"/>
      <c r="BM170" s="1373"/>
      <c r="BN170" s="1365"/>
      <c r="BO170" s="1365"/>
      <c r="BP170" s="1365"/>
      <c r="BQ170" s="1365"/>
      <c r="BR170" s="1365"/>
      <c r="BS170" s="1365"/>
    </row>
    <row r="171" spans="1:71" ht="14.5" customHeight="1">
      <c r="A171" s="1802">
        <v>34491</v>
      </c>
      <c r="B171" s="622" t="s">
        <v>76</v>
      </c>
      <c r="E171" s="1"/>
      <c r="F171" s="622">
        <v>21</v>
      </c>
      <c r="G171" s="625" t="s">
        <v>51</v>
      </c>
      <c r="L171" s="626">
        <v>203.2</v>
      </c>
      <c r="M171" s="626" t="s">
        <v>36</v>
      </c>
      <c r="N171" s="203"/>
      <c r="O171" s="627" t="str">
        <f t="array" ref="O171">IFERROR(IF($O$21="Metro",INDEX($F$23:$F$748,SMALL(IF((County=$G$23:$G$748),MATCH(ROW($G$23:$G$748),ROW($G$23:$G$748)),""),ROWS($A$23:A171))),INDEX($I$23:$I$52,SMALL(IF((County=$J$23:$J$52),MATCH(ROW($J$23:$J$52),ROW($J$23:$J$52)),""),ROWS($A$23:A171)))),"")</f>
        <v/>
      </c>
      <c r="Q171" s="627" t="str">
        <f t="array" ref="Q171">IFERROR(IF($Q$21="Yes",INDEX($L$23:$L$2323,SMALL(IF((County=$M$23:$M$2323),MATCH(ROW($M$23:$M$2323),ROW($M$23:$M$2323)),""),ROWS($A$23:A171))),""),"")</f>
        <v/>
      </c>
      <c r="S171" s="623">
        <v>33330</v>
      </c>
      <c r="T171" s="622" t="s">
        <v>36</v>
      </c>
      <c r="V171" s="622">
        <v>15.21</v>
      </c>
      <c r="W171" s="622" t="s">
        <v>26</v>
      </c>
      <c r="AB171" s="626">
        <v>11</v>
      </c>
      <c r="AC171" s="626" t="s">
        <v>26</v>
      </c>
      <c r="AE171" s="1802">
        <v>33035</v>
      </c>
      <c r="AF171" s="622" t="s">
        <v>78</v>
      </c>
      <c r="AI171" s="1376"/>
      <c r="AJ171" s="622">
        <v>166.05</v>
      </c>
      <c r="AK171" s="625" t="s">
        <v>49</v>
      </c>
      <c r="AP171" s="1837"/>
      <c r="AQ171" s="1837"/>
      <c r="AS171" s="627" t="str">
        <f t="array" ref="AS171">IFERROR(IF($O$21="Metro",INDEX($AJ$23:$AJ$748,SMALL(IF((County=$AK$23:$AK$748),MATCH(ROW($AK$23:$AK$748),ROW($AK$23:$AK$748)),""),ROWS($A$23:$A171))),INDEX($AM$23:$AM$58,SMALL(IF((County=$AN$23:$AN$58),MATCH(ROW($AN$23:$AN$58),ROW($AN$23:$AN$58)),""),ROWS($A$23:$A171)))),"")</f>
        <v/>
      </c>
      <c r="AU171" s="627" t="str">
        <f t="array" ref="AU171">IFERROR(IF($Q$21="Yes",INDEX($AP$23:$AP$2323,SMALL(IF((County=$AQ$23:$AQ$2323),MATCH(ROW($AQ$23:$AQ$2323),ROW($AQ$23:$AQ$2323)),""),ROWS($A$23:$A171))),""),"")</f>
        <v/>
      </c>
      <c r="AW171" s="1802">
        <v>33196</v>
      </c>
      <c r="AX171" s="622" t="s">
        <v>78</v>
      </c>
      <c r="AZ171" s="622">
        <v>12.09</v>
      </c>
      <c r="BA171" s="622" t="s">
        <v>78</v>
      </c>
      <c r="BF171" s="1837"/>
      <c r="BG171" s="1837"/>
      <c r="BI171" s="1365"/>
      <c r="BJ171" s="1365"/>
      <c r="BK171" s="1373"/>
      <c r="BL171" s="1373"/>
      <c r="BM171" s="1373"/>
      <c r="BN171" s="1365"/>
      <c r="BO171" s="1365"/>
      <c r="BP171" s="1365"/>
      <c r="BQ171" s="1365"/>
      <c r="BR171" s="1365"/>
      <c r="BS171" s="1365"/>
    </row>
    <row r="172" spans="1:71" ht="14.5" customHeight="1">
      <c r="A172" s="1802">
        <v>34990</v>
      </c>
      <c r="B172" s="622" t="s">
        <v>77</v>
      </c>
      <c r="E172" s="1"/>
      <c r="F172" s="622">
        <v>22</v>
      </c>
      <c r="G172" s="625" t="s">
        <v>51</v>
      </c>
      <c r="L172" s="626">
        <v>203.21</v>
      </c>
      <c r="M172" s="626" t="s">
        <v>36</v>
      </c>
      <c r="N172" s="203"/>
      <c r="O172" s="627" t="str">
        <f t="array" ref="O172">IFERROR(IF($O$21="Metro",INDEX($F$23:$F$748,SMALL(IF((County=$G$23:$G$748),MATCH(ROW($G$23:$G$748),ROW($G$23:$G$748)),""),ROWS($A$23:A172))),INDEX($I$23:$I$52,SMALL(IF((County=$J$23:$J$52),MATCH(ROW($J$23:$J$52),ROW($J$23:$J$52)),""),ROWS($A$23:A172)))),"")</f>
        <v/>
      </c>
      <c r="Q172" s="627" t="str">
        <f t="array" ref="Q172">IFERROR(IF($Q$21="Yes",INDEX($L$23:$L$2323,SMALL(IF((County=$M$23:$M$2323),MATCH(ROW($M$23:$M$2323),ROW($M$23:$M$2323)),""),ROWS($A$23:A172))),""),"")</f>
        <v/>
      </c>
      <c r="S172" s="623">
        <v>33331</v>
      </c>
      <c r="T172" s="622" t="s">
        <v>36</v>
      </c>
      <c r="V172" s="622">
        <v>16</v>
      </c>
      <c r="W172" s="625" t="s">
        <v>32</v>
      </c>
      <c r="AB172" s="626">
        <v>11</v>
      </c>
      <c r="AC172" s="626" t="s">
        <v>63</v>
      </c>
      <c r="AE172" s="1802">
        <v>33055</v>
      </c>
      <c r="AF172" s="622" t="s">
        <v>78</v>
      </c>
      <c r="AI172" s="1376"/>
      <c r="AJ172" s="622">
        <v>166.06</v>
      </c>
      <c r="AK172" s="625" t="s">
        <v>49</v>
      </c>
      <c r="AP172" s="1837"/>
      <c r="AQ172" s="1837"/>
      <c r="AS172" s="627" t="str">
        <f t="array" ref="AS172">IFERROR(IF($O$21="Metro",INDEX($AJ$23:$AJ$748,SMALL(IF((County=$AK$23:$AK$748),MATCH(ROW($AK$23:$AK$748),ROW($AK$23:$AK$748)),""),ROWS($A$23:$A172))),INDEX($AM$23:$AM$58,SMALL(IF((County=$AN$23:$AN$58),MATCH(ROW($AN$23:$AN$58),ROW($AN$23:$AN$58)),""),ROWS($A$23:$A172)))),"")</f>
        <v/>
      </c>
      <c r="AU172" s="627" t="str">
        <f t="array" ref="AU172">IFERROR(IF($Q$21="Yes",INDEX($AP$23:$AP$2323,SMALL(IF((County=$AQ$23:$AQ$2323),MATCH(ROW($AQ$23:$AQ$2323),ROW($AQ$23:$AQ$2323)),""),ROWS($A$23:$A172))),""),"")</f>
        <v/>
      </c>
      <c r="AW172" s="1802">
        <v>33301</v>
      </c>
      <c r="AX172" s="622" t="s">
        <v>36</v>
      </c>
      <c r="AZ172" s="622">
        <v>13</v>
      </c>
      <c r="BA172" s="625" t="s">
        <v>49</v>
      </c>
      <c r="BF172" s="1837"/>
      <c r="BG172" s="1837"/>
      <c r="BI172" s="1365"/>
      <c r="BJ172" s="1365"/>
      <c r="BK172" s="1373"/>
      <c r="BL172" s="1373"/>
      <c r="BM172" s="1373"/>
      <c r="BN172" s="1365"/>
      <c r="BO172" s="1365"/>
      <c r="BP172" s="1365"/>
      <c r="BQ172" s="1365"/>
      <c r="BR172" s="1365"/>
      <c r="BS172" s="1365"/>
    </row>
    <row r="173" spans="1:71" ht="14.5" customHeight="1">
      <c r="A173" s="1802">
        <v>33014</v>
      </c>
      <c r="B173" s="622" t="s">
        <v>78</v>
      </c>
      <c r="E173" s="1"/>
      <c r="F173" s="622">
        <v>27.03</v>
      </c>
      <c r="G173" s="625" t="s">
        <v>51</v>
      </c>
      <c r="L173" s="626">
        <v>203.22</v>
      </c>
      <c r="M173" s="626" t="s">
        <v>36</v>
      </c>
      <c r="N173" s="203"/>
      <c r="O173" s="627" t="str">
        <f t="array" ref="O173">IFERROR(IF($O$21="Metro",INDEX($F$23:$F$748,SMALL(IF((County=$G$23:$G$748),MATCH(ROW($G$23:$G$748),ROW($G$23:$G$748)),""),ROWS($A$23:A173))),INDEX($I$23:$I$52,SMALL(IF((County=$J$23:$J$52),MATCH(ROW($J$23:$J$52),ROW($J$23:$J$52)),""),ROWS($A$23:A173)))),"")</f>
        <v/>
      </c>
      <c r="Q173" s="627" t="str">
        <f t="array" ref="Q173">IFERROR(IF($Q$21="Yes",INDEX($L$23:$L$2323,SMALL(IF((County=$M$23:$M$2323),MATCH(ROW($M$23:$M$2323),ROW($M$23:$M$2323)),""),ROWS($A$23:A173))),""),"")</f>
        <v/>
      </c>
      <c r="S173" s="623">
        <v>33332</v>
      </c>
      <c r="T173" s="622" t="s">
        <v>36</v>
      </c>
      <c r="V173" s="622">
        <v>16</v>
      </c>
      <c r="W173" s="622" t="s">
        <v>49</v>
      </c>
      <c r="AB173" s="626">
        <v>11.01</v>
      </c>
      <c r="AC173" s="626" t="s">
        <v>51</v>
      </c>
      <c r="AE173" s="1802">
        <v>33109</v>
      </c>
      <c r="AF173" s="622" t="s">
        <v>78</v>
      </c>
      <c r="AI173" s="1376"/>
      <c r="AJ173" s="622">
        <v>172</v>
      </c>
      <c r="AK173" s="625" t="s">
        <v>49</v>
      </c>
      <c r="AP173" s="1837"/>
      <c r="AQ173" s="1837"/>
      <c r="AS173" s="627" t="str">
        <f t="array" ref="AS173">IFERROR(IF($O$21="Metro",INDEX($AJ$23:$AJ$748,SMALL(IF((County=$AK$23:$AK$748),MATCH(ROW($AK$23:$AK$748),ROW($AK$23:$AK$748)),""),ROWS($A$23:$A173))),INDEX($AM$23:$AM$58,SMALL(IF((County=$AN$23:$AN$58),MATCH(ROW($AN$23:$AN$58),ROW($AN$23:$AN$58)),""),ROWS($A$23:$A173)))),"")</f>
        <v/>
      </c>
      <c r="AU173" s="627" t="str">
        <f t="array" ref="AU173">IFERROR(IF($Q$21="Yes",INDEX($AP$23:$AP$2323,SMALL(IF((County=$AQ$23:$AQ$2323),MATCH(ROW($AQ$23:$AQ$2323),ROW($AQ$23:$AQ$2323)),""),ROWS($A$23:$A173))),""),"")</f>
        <v/>
      </c>
      <c r="AW173" s="1836">
        <v>33304</v>
      </c>
      <c r="AX173" s="622" t="s">
        <v>36</v>
      </c>
      <c r="AZ173" s="622">
        <v>13.01</v>
      </c>
      <c r="BA173" s="625" t="s">
        <v>78</v>
      </c>
      <c r="BF173" s="1837"/>
      <c r="BG173" s="1837"/>
      <c r="BI173" s="1365"/>
      <c r="BJ173" s="1365"/>
      <c r="BK173" s="1373"/>
      <c r="BL173" s="1373"/>
      <c r="BM173" s="1373"/>
      <c r="BN173" s="1365"/>
      <c r="BO173" s="1365"/>
      <c r="BP173" s="1365"/>
      <c r="BQ173" s="1365"/>
      <c r="BR173" s="1365"/>
      <c r="BS173" s="1365"/>
    </row>
    <row r="174" spans="1:71" ht="14.5" customHeight="1">
      <c r="A174" s="1802">
        <v>33015</v>
      </c>
      <c r="B174" s="622" t="s">
        <v>78</v>
      </c>
      <c r="E174" s="1"/>
      <c r="F174" s="622">
        <v>29</v>
      </c>
      <c r="G174" s="625" t="s">
        <v>51</v>
      </c>
      <c r="L174" s="626">
        <v>203.25</v>
      </c>
      <c r="M174" s="626" t="s">
        <v>36</v>
      </c>
      <c r="N174" s="203"/>
      <c r="O174" s="627" t="str">
        <f t="array" ref="O174">IFERROR(IF($O$21="Metro",INDEX($F$23:$F$748,SMALL(IF((County=$G$23:$G$748),MATCH(ROW($G$23:$G$748),ROW($G$23:$G$748)),""),ROWS($A$23:A174))),INDEX($I$23:$I$52,SMALL(IF((County=$J$23:$J$52),MATCH(ROW($J$23:$J$52),ROW($J$23:$J$52)),""),ROWS($A$23:A174)))),"")</f>
        <v/>
      </c>
      <c r="Q174" s="627" t="str">
        <f t="array" ref="Q174">IFERROR(IF($Q$21="Yes",INDEX($L$23:$L$2323,SMALL(IF((County=$M$23:$M$2323),MATCH(ROW($M$23:$M$2323),ROW($M$23:$M$2323)),""),ROWS($A$23:A174))),""),"")</f>
        <v/>
      </c>
      <c r="S174" s="623">
        <v>33351</v>
      </c>
      <c r="T174" s="622" t="s">
        <v>36</v>
      </c>
      <c r="V174" s="622">
        <v>16</v>
      </c>
      <c r="W174" s="625" t="s">
        <v>51</v>
      </c>
      <c r="AB174" s="626">
        <v>11.01</v>
      </c>
      <c r="AC174" s="626" t="s">
        <v>87</v>
      </c>
      <c r="AE174" s="1802">
        <v>33126</v>
      </c>
      <c r="AF174" s="622" t="s">
        <v>78</v>
      </c>
      <c r="AI174" s="1376"/>
      <c r="AJ174" s="622">
        <v>174</v>
      </c>
      <c r="AK174" s="625" t="s">
        <v>49</v>
      </c>
      <c r="AP174" s="1837"/>
      <c r="AQ174" s="1837"/>
      <c r="AS174" s="627" t="str">
        <f t="array" ref="AS174">IFERROR(IF($O$21="Metro",INDEX($AJ$23:$AJ$748,SMALL(IF((County=$AK$23:$AK$748),MATCH(ROW($AK$23:$AK$748),ROW($AK$23:$AK$748)),""),ROWS($A$23:$A174))),INDEX($AM$23:$AM$58,SMALL(IF((County=$AN$23:$AN$58),MATCH(ROW($AN$23:$AN$58),ROW($AN$23:$AN$58)),""),ROWS($A$23:$A174)))),"")</f>
        <v/>
      </c>
      <c r="AU174" s="627" t="str">
        <f t="array" ref="AU174">IFERROR(IF($Q$21="Yes",INDEX($AP$23:$AP$2323,SMALL(IF((County=$AQ$23:$AQ$2323),MATCH(ROW($AQ$23:$AQ$2323),ROW($AQ$23:$AQ$2323)),""),ROWS($A$23:$A174))),""),"")</f>
        <v/>
      </c>
      <c r="AW174" s="1802">
        <v>33308</v>
      </c>
      <c r="AX174" s="622" t="s">
        <v>36</v>
      </c>
      <c r="AZ174" s="622">
        <v>13.01</v>
      </c>
      <c r="BA174" s="622" t="s">
        <v>87</v>
      </c>
      <c r="BF174" s="1837"/>
      <c r="BG174" s="1837"/>
      <c r="BI174" s="1365"/>
      <c r="BJ174" s="1365"/>
      <c r="BK174" s="1373"/>
      <c r="BL174" s="1373"/>
      <c r="BM174" s="1373"/>
      <c r="BN174" s="1365"/>
      <c r="BO174" s="1365"/>
      <c r="BP174" s="1365"/>
      <c r="BQ174" s="1365"/>
      <c r="BR174" s="1365"/>
      <c r="BS174" s="1365"/>
    </row>
    <row r="175" spans="1:71" ht="14.5" customHeight="1">
      <c r="A175" s="1802">
        <v>33018</v>
      </c>
      <c r="B175" s="622" t="s">
        <v>78</v>
      </c>
      <c r="E175" s="1"/>
      <c r="F175" s="622">
        <v>35.06</v>
      </c>
      <c r="G175" s="625" t="s">
        <v>51</v>
      </c>
      <c r="L175" s="626">
        <v>203.26</v>
      </c>
      <c r="M175" s="626" t="s">
        <v>36</v>
      </c>
      <c r="N175" s="203"/>
      <c r="O175" s="627" t="str">
        <f t="array" ref="O175">IFERROR(IF($O$21="Metro",INDEX($F$23:$F$748,SMALL(IF((County=$G$23:$G$748),MATCH(ROW($G$23:$G$748),ROW($G$23:$G$748)),""),ROWS($A$23:A175))),INDEX($I$23:$I$52,SMALL(IF((County=$J$23:$J$52),MATCH(ROW($J$23:$J$52),ROW($J$23:$J$52)),""),ROWS($A$23:A175)))),"")</f>
        <v/>
      </c>
      <c r="Q175" s="627" t="str">
        <f t="array" ref="Q175">IFERROR(IF($Q$21="Yes",INDEX($L$23:$L$2323,SMALL(IF((County=$M$23:$M$2323),MATCH(ROW($M$23:$M$2323),ROW($M$23:$M$2323)),""),ROWS($A$23:A175))),""),"")</f>
        <v/>
      </c>
      <c r="S175" s="623">
        <v>33410</v>
      </c>
      <c r="T175" s="622" t="s">
        <v>87</v>
      </c>
      <c r="V175" s="622">
        <v>16</v>
      </c>
      <c r="W175" s="625" t="s">
        <v>76</v>
      </c>
      <c r="AB175" s="626">
        <v>11.02</v>
      </c>
      <c r="AC175" s="626" t="s">
        <v>77</v>
      </c>
      <c r="AE175" s="1802">
        <v>33129</v>
      </c>
      <c r="AF175" s="622" t="s">
        <v>78</v>
      </c>
      <c r="AI175" s="1376"/>
      <c r="AJ175" s="622">
        <v>3</v>
      </c>
      <c r="AK175" s="625" t="s">
        <v>51</v>
      </c>
      <c r="AP175" s="1837"/>
      <c r="AQ175" s="1837"/>
      <c r="AS175" s="627" t="str">
        <f t="array" ref="AS175">IFERROR(IF($O$21="Metro",INDEX($AJ$23:$AJ$748,SMALL(IF((County=$AK$23:$AK$748),MATCH(ROW($AK$23:$AK$748),ROW($AK$23:$AK$748)),""),ROWS($A$23:$A175))),INDEX($AM$23:$AM$58,SMALL(IF((County=$AN$23:$AN$58),MATCH(ROW($AN$23:$AN$58),ROW($AN$23:$AN$58)),""),ROWS($A$23:$A175)))),"")</f>
        <v/>
      </c>
      <c r="AU175" s="627" t="str">
        <f t="array" ref="AU175">IFERROR(IF($Q$21="Yes",INDEX($AP$23:$AP$2323,SMALL(IF((County=$AQ$23:$AQ$2323),MATCH(ROW($AQ$23:$AQ$2323),ROW($AQ$23:$AQ$2323)),""),ROWS($A$23:$A175))),""),"")</f>
        <v/>
      </c>
      <c r="AW175" s="1802">
        <v>33315</v>
      </c>
      <c r="AX175" s="622" t="s">
        <v>36</v>
      </c>
      <c r="AZ175" s="622">
        <v>13.02</v>
      </c>
      <c r="BA175" s="622" t="s">
        <v>87</v>
      </c>
      <c r="BF175" s="1837"/>
      <c r="BG175" s="1837"/>
      <c r="BI175" s="1365"/>
      <c r="BJ175" s="1365"/>
      <c r="BK175" s="1373"/>
      <c r="BL175" s="1373"/>
      <c r="BM175" s="1373"/>
      <c r="BN175" s="1365"/>
      <c r="BO175" s="1365"/>
      <c r="BP175" s="1365"/>
      <c r="BQ175" s="1365"/>
      <c r="BR175" s="1365"/>
      <c r="BS175" s="1365"/>
    </row>
    <row r="176" spans="1:71" ht="14.5" customHeight="1">
      <c r="A176" s="1802">
        <v>33031</v>
      </c>
      <c r="B176" s="622" t="s">
        <v>78</v>
      </c>
      <c r="E176" s="1"/>
      <c r="F176" s="622">
        <v>36.07</v>
      </c>
      <c r="G176" s="625" t="s">
        <v>51</v>
      </c>
      <c r="L176" s="626">
        <v>204.06</v>
      </c>
      <c r="M176" s="626" t="s">
        <v>36</v>
      </c>
      <c r="N176" s="203"/>
      <c r="O176" s="627" t="str">
        <f t="array" ref="O176">IFERROR(IF($O$21="Metro",INDEX($F$23:$F$748,SMALL(IF((County=$G$23:$G$748),MATCH(ROW($G$23:$G$748),ROW($G$23:$G$748)),""),ROWS($A$23:A176))),INDEX($I$23:$I$52,SMALL(IF((County=$J$23:$J$52),MATCH(ROW($J$23:$J$52),ROW($J$23:$J$52)),""),ROWS($A$23:A176)))),"")</f>
        <v/>
      </c>
      <c r="Q176" s="627" t="str">
        <f t="array" ref="Q176">IFERROR(IF($Q$21="Yes",INDEX($L$23:$L$2323,SMALL(IF((County=$M$23:$M$2323),MATCH(ROW($M$23:$M$2323),ROW($M$23:$M$2323)),""),ROWS($A$23:A176))),""),"")</f>
        <v/>
      </c>
      <c r="S176" s="623">
        <v>33412</v>
      </c>
      <c r="T176" s="622" t="s">
        <v>87</v>
      </c>
      <c r="V176" s="622">
        <v>16</v>
      </c>
      <c r="W176" s="625" t="s">
        <v>87</v>
      </c>
      <c r="AB176" s="626">
        <v>11.02</v>
      </c>
      <c r="AC176" s="626" t="s">
        <v>87</v>
      </c>
      <c r="AE176" s="1802">
        <v>33131</v>
      </c>
      <c r="AF176" s="622" t="s">
        <v>78</v>
      </c>
      <c r="AI176" s="1376"/>
      <c r="AJ176" s="622">
        <v>4</v>
      </c>
      <c r="AK176" s="625" t="s">
        <v>51</v>
      </c>
      <c r="AP176" s="1837"/>
      <c r="AQ176" s="1837"/>
      <c r="AS176" s="627" t="str">
        <f t="array" ref="AS176">IFERROR(IF($O$21="Metro",INDEX($AJ$23:$AJ$748,SMALL(IF((County=$AK$23:$AK$748),MATCH(ROW($AK$23:$AK$748),ROW($AK$23:$AK$748)),""),ROWS($A$23:$A176))),INDEX($AM$23:$AM$58,SMALL(IF((County=$AN$23:$AN$58),MATCH(ROW($AN$23:$AN$58),ROW($AN$23:$AN$58)),""),ROWS($A$23:$A176)))),"")</f>
        <v/>
      </c>
      <c r="AU176" s="627" t="str">
        <f t="array" ref="AU176">IFERROR(IF($Q$21="Yes",INDEX($AP$23:$AP$2323,SMALL(IF((County=$AQ$23:$AQ$2323),MATCH(ROW($AQ$23:$AQ$2323),ROW($AQ$23:$AQ$2323)),""),ROWS($A$23:$A176))),""),"")</f>
        <v/>
      </c>
      <c r="AW176" s="1802">
        <v>33321</v>
      </c>
      <c r="AX176" s="622" t="s">
        <v>36</v>
      </c>
      <c r="AZ176" s="622">
        <v>14</v>
      </c>
      <c r="BA176" s="625" t="s">
        <v>63</v>
      </c>
      <c r="BF176" s="1837"/>
      <c r="BG176" s="1837"/>
      <c r="BI176" s="1365"/>
      <c r="BJ176" s="1365"/>
      <c r="BK176" s="1373"/>
      <c r="BL176" s="1373"/>
      <c r="BM176" s="1373"/>
      <c r="BN176" s="1365"/>
      <c r="BO176" s="1365"/>
      <c r="BP176" s="1365"/>
      <c r="BQ176" s="1365"/>
      <c r="BR176" s="1365"/>
      <c r="BS176" s="1365"/>
    </row>
    <row r="177" spans="1:71" ht="14.5" customHeight="1">
      <c r="A177" s="1802">
        <v>33035</v>
      </c>
      <c r="B177" s="622" t="s">
        <v>78</v>
      </c>
      <c r="E177" s="1"/>
      <c r="F177" s="622">
        <v>207.01</v>
      </c>
      <c r="G177" s="625" t="s">
        <v>54</v>
      </c>
      <c r="L177" s="626">
        <v>204.11</v>
      </c>
      <c r="M177" s="626" t="s">
        <v>36</v>
      </c>
      <c r="N177" s="203"/>
      <c r="O177" s="627" t="str">
        <f t="array" ref="O177">IFERROR(IF($O$21="Metro",INDEX($F$23:$F$748,SMALL(IF((County=$G$23:$G$748),MATCH(ROW($G$23:$G$748),ROW($G$23:$G$748)),""),ROWS($A$23:A177))),INDEX($I$23:$I$52,SMALL(IF((County=$J$23:$J$52),MATCH(ROW($J$23:$J$52),ROW($J$23:$J$52)),""),ROWS($A$23:A177)))),"")</f>
        <v/>
      </c>
      <c r="Q177" s="627" t="str">
        <f t="array" ref="Q177">IFERROR(IF($Q$21="Yes",INDEX($L$23:$L$2323,SMALL(IF((County=$M$23:$M$2323),MATCH(ROW($M$23:$M$2323),ROW($M$23:$M$2323)),""),ROWS($A$23:A177))),""),"")</f>
        <v/>
      </c>
      <c r="S177" s="623">
        <v>33413</v>
      </c>
      <c r="T177" s="622" t="s">
        <v>87</v>
      </c>
      <c r="V177" s="622">
        <v>16.03</v>
      </c>
      <c r="W177" s="622" t="s">
        <v>26</v>
      </c>
      <c r="AB177" s="626">
        <v>11.03</v>
      </c>
      <c r="AC177" s="626" t="s">
        <v>51</v>
      </c>
      <c r="AE177" s="1802">
        <v>33132</v>
      </c>
      <c r="AF177" s="622" t="s">
        <v>78</v>
      </c>
      <c r="AI177" s="1376"/>
      <c r="AJ177" s="622">
        <v>15</v>
      </c>
      <c r="AK177" s="625" t="s">
        <v>51</v>
      </c>
      <c r="AP177" s="1837"/>
      <c r="AQ177" s="1837"/>
      <c r="AS177" s="627" t="str">
        <f t="array" ref="AS177">IFERROR(IF($O$21="Metro",INDEX($AJ$23:$AJ$748,SMALL(IF((County=$AK$23:$AK$748),MATCH(ROW($AK$23:$AK$748),ROW($AK$23:$AK$748)),""),ROWS($A$23:$A177))),INDEX($AM$23:$AM$58,SMALL(IF((County=$AN$23:$AN$58),MATCH(ROW($AN$23:$AN$58),ROW($AN$23:$AN$58)),""),ROWS($A$23:$A177)))),"")</f>
        <v/>
      </c>
      <c r="AU177" s="627" t="str">
        <f t="array" ref="AU177">IFERROR(IF($Q$21="Yes",INDEX($AP$23:$AP$2323,SMALL(IF((County=$AQ$23:$AQ$2323),MATCH(ROW($AQ$23:$AQ$2323),ROW($AQ$23:$AQ$2323)),""),ROWS($A$23:$A177))),""),"")</f>
        <v/>
      </c>
      <c r="AW177" s="1802">
        <v>33322</v>
      </c>
      <c r="AX177" s="622" t="s">
        <v>36</v>
      </c>
      <c r="AZ177" s="622">
        <v>14.01</v>
      </c>
      <c r="BA177" s="622" t="s">
        <v>49</v>
      </c>
      <c r="BF177" s="1837"/>
      <c r="BG177" s="1837"/>
      <c r="BI177" s="1365"/>
      <c r="BJ177" s="1365"/>
      <c r="BK177" s="1373"/>
      <c r="BL177" s="1373"/>
      <c r="BM177" s="1373"/>
      <c r="BN177" s="1365"/>
      <c r="BO177" s="1365"/>
      <c r="BP177" s="1365"/>
      <c r="BQ177" s="1365"/>
      <c r="BR177" s="1365"/>
      <c r="BS177" s="1365"/>
    </row>
    <row r="178" spans="1:71" ht="14.5" customHeight="1">
      <c r="A178" s="1802">
        <v>33055</v>
      </c>
      <c r="B178" s="622" t="s">
        <v>78</v>
      </c>
      <c r="E178" s="1"/>
      <c r="F178" s="622">
        <v>207.02</v>
      </c>
      <c r="G178" s="625" t="s">
        <v>54</v>
      </c>
      <c r="L178" s="626">
        <v>204.14</v>
      </c>
      <c r="M178" s="626" t="s">
        <v>36</v>
      </c>
      <c r="N178" s="203"/>
      <c r="O178" s="627" t="str">
        <f t="array" ref="O178">IFERROR(IF($O$21="Metro",INDEX($F$23:$F$748,SMALL(IF((County=$G$23:$G$748),MATCH(ROW($G$23:$G$748),ROW($G$23:$G$748)),""),ROWS($A$23:A178))),INDEX($I$23:$I$52,SMALL(IF((County=$J$23:$J$52),MATCH(ROW($J$23:$J$52),ROW($J$23:$J$52)),""),ROWS($A$23:A178)))),"")</f>
        <v/>
      </c>
      <c r="Q178" s="627" t="str">
        <f t="array" ref="Q178">IFERROR(IF($Q$21="Yes",INDEX($L$23:$L$2323,SMALL(IF((County=$M$23:$M$2323),MATCH(ROW($M$23:$M$2323),ROW($M$23:$M$2323)),""),ROWS($A$23:A178))),""),"")</f>
        <v/>
      </c>
      <c r="S178" s="623">
        <v>33414</v>
      </c>
      <c r="T178" s="622" t="s">
        <v>87</v>
      </c>
      <c r="V178" s="622">
        <v>16.04</v>
      </c>
      <c r="W178" s="622" t="s">
        <v>26</v>
      </c>
      <c r="AB178" s="626">
        <v>11.03</v>
      </c>
      <c r="AC178" s="626" t="s">
        <v>76</v>
      </c>
      <c r="AE178" s="1802">
        <v>33133</v>
      </c>
      <c r="AF178" s="622" t="s">
        <v>78</v>
      </c>
      <c r="AI178" s="1376"/>
      <c r="AJ178" s="622">
        <v>16</v>
      </c>
      <c r="AK178" s="625" t="s">
        <v>51</v>
      </c>
      <c r="AP178" s="1837"/>
      <c r="AQ178" s="1837"/>
      <c r="AS178" s="627" t="str">
        <f t="array" ref="AS178">IFERROR(IF($O$21="Metro",INDEX($AJ$23:$AJ$748,SMALL(IF((County=$AK$23:$AK$748),MATCH(ROW($AK$23:$AK$748),ROW($AK$23:$AK$748)),""),ROWS($A$23:$A178))),INDEX($AM$23:$AM$58,SMALL(IF((County=$AN$23:$AN$58),MATCH(ROW($AN$23:$AN$58),ROW($AN$23:$AN$58)),""),ROWS($A$23:$A178)))),"")</f>
        <v/>
      </c>
      <c r="AU178" s="627" t="str">
        <f t="array" ref="AU178">IFERROR(IF($Q$21="Yes",INDEX($AP$23:$AP$2323,SMALL(IF((County=$AQ$23:$AQ$2323),MATCH(ROW($AQ$23:$AQ$2323),ROW($AQ$23:$AQ$2323)),""),ROWS($A$23:$A178))),""),"")</f>
        <v/>
      </c>
      <c r="AW178" s="1836">
        <v>33323</v>
      </c>
      <c r="AX178" s="622" t="s">
        <v>36</v>
      </c>
      <c r="AZ178" s="622">
        <v>14.01</v>
      </c>
      <c r="BA178" s="625" t="s">
        <v>71</v>
      </c>
      <c r="BF178" s="1837"/>
      <c r="BG178" s="1837"/>
      <c r="BI178" s="1365"/>
      <c r="BJ178" s="1365"/>
      <c r="BK178" s="1373"/>
      <c r="BL178" s="1373"/>
      <c r="BM178" s="1373"/>
      <c r="BN178" s="1365"/>
      <c r="BO178" s="1365"/>
      <c r="BP178" s="1365"/>
      <c r="BQ178" s="1365"/>
      <c r="BR178" s="1365"/>
      <c r="BS178" s="1365"/>
    </row>
    <row r="179" spans="1:71" ht="14.5" customHeight="1">
      <c r="A179" s="1802">
        <v>33109</v>
      </c>
      <c r="B179" s="622" t="s">
        <v>78</v>
      </c>
      <c r="E179" s="1"/>
      <c r="F179" s="622">
        <v>404</v>
      </c>
      <c r="G179" s="625" t="s">
        <v>61</v>
      </c>
      <c r="L179" s="626">
        <v>205.01</v>
      </c>
      <c r="M179" s="626" t="s">
        <v>36</v>
      </c>
      <c r="N179" s="203"/>
      <c r="O179" s="627" t="str">
        <f t="array" ref="O179">IFERROR(IF($O$21="Metro",INDEX($F$23:$F$748,SMALL(IF((County=$G$23:$G$748),MATCH(ROW($G$23:$G$748),ROW($G$23:$G$748)),""),ROWS($A$23:A179))),INDEX($I$23:$I$52,SMALL(IF((County=$J$23:$J$52),MATCH(ROW($J$23:$J$52),ROW($J$23:$J$52)),""),ROWS($A$23:A179)))),"")</f>
        <v/>
      </c>
      <c r="Q179" s="627" t="str">
        <f t="array" ref="Q179">IFERROR(IF($Q$21="Yes",INDEX($L$23:$L$2323,SMALL(IF((County=$M$23:$M$2323),MATCH(ROW($M$23:$M$2323),ROW($M$23:$M$2323)),""),ROWS($A$23:A179))),""),"")</f>
        <v/>
      </c>
      <c r="S179" s="623">
        <v>33418</v>
      </c>
      <c r="T179" s="622" t="s">
        <v>87</v>
      </c>
      <c r="V179" s="622">
        <v>16.05</v>
      </c>
      <c r="W179" s="625" t="s">
        <v>78</v>
      </c>
      <c r="AB179" s="626">
        <v>11.03</v>
      </c>
      <c r="AC179" s="626" t="s">
        <v>77</v>
      </c>
      <c r="AE179" s="1802">
        <v>33134</v>
      </c>
      <c r="AF179" s="622" t="s">
        <v>78</v>
      </c>
      <c r="AI179" s="1376"/>
      <c r="AJ179" s="622">
        <v>17</v>
      </c>
      <c r="AK179" s="625" t="s">
        <v>51</v>
      </c>
      <c r="AP179" s="1837"/>
      <c r="AQ179" s="1837"/>
      <c r="AS179" s="627" t="str">
        <f t="array" ref="AS179">IFERROR(IF($O$21="Metro",INDEX($AJ$23:$AJ$748,SMALL(IF((County=$AK$23:$AK$748),MATCH(ROW($AK$23:$AK$748),ROW($AK$23:$AK$748)),""),ROWS($A$23:$A179))),INDEX($AM$23:$AM$58,SMALL(IF((County=$AN$23:$AN$58),MATCH(ROW($AN$23:$AN$58),ROW($AN$23:$AN$58)),""),ROWS($A$23:$A179)))),"")</f>
        <v/>
      </c>
      <c r="AU179" s="627" t="str">
        <f t="array" ref="AU179">IFERROR(IF($Q$21="Yes",INDEX($AP$23:$AP$2323,SMALL(IF((County=$AQ$23:$AQ$2323),MATCH(ROW($AQ$23:$AQ$2323),ROW($AQ$23:$AQ$2323)),""),ROWS($A$23:$A179))),""),"")</f>
        <v/>
      </c>
      <c r="AW179" s="1802">
        <v>33324</v>
      </c>
      <c r="AX179" s="622" t="s">
        <v>36</v>
      </c>
      <c r="AZ179" s="622">
        <v>14.01</v>
      </c>
      <c r="BA179" s="625" t="s">
        <v>76</v>
      </c>
      <c r="BF179" s="1837"/>
      <c r="BG179" s="1837"/>
      <c r="BI179" s="1365"/>
      <c r="BJ179" s="1365"/>
      <c r="BK179" s="1373"/>
      <c r="BL179" s="1373"/>
      <c r="BM179" s="1373"/>
      <c r="BN179" s="1365"/>
      <c r="BO179" s="1365"/>
      <c r="BP179" s="1365"/>
      <c r="BQ179" s="1365"/>
      <c r="BR179" s="1365"/>
      <c r="BS179" s="1365"/>
    </row>
    <row r="180" spans="1:71" ht="14.5" customHeight="1">
      <c r="A180" s="1802">
        <v>33126</v>
      </c>
      <c r="B180" s="622" t="s">
        <v>78</v>
      </c>
      <c r="E180" s="1"/>
      <c r="F180" s="622">
        <v>405.01</v>
      </c>
      <c r="G180" s="625" t="s">
        <v>61</v>
      </c>
      <c r="L180" s="626">
        <v>301</v>
      </c>
      <c r="M180" s="626" t="s">
        <v>36</v>
      </c>
      <c r="N180" s="203"/>
      <c r="O180" s="627" t="str">
        <f t="array" ref="O180">IFERROR(IF($O$21="Metro",INDEX($F$23:$F$748,SMALL(IF((County=$G$23:$G$748),MATCH(ROW($G$23:$G$748),ROW($G$23:$G$748)),""),ROWS($A$23:A180))),INDEX($I$23:$I$52,SMALL(IF((County=$J$23:$J$52),MATCH(ROW($J$23:$J$52),ROW($J$23:$J$52)),""),ROWS($A$23:A180)))),"")</f>
        <v/>
      </c>
      <c r="Q180" s="627" t="str">
        <f t="array" ref="Q180">IFERROR(IF($Q$21="Yes",INDEX($L$23:$L$2323,SMALL(IF((County=$M$23:$M$2323),MATCH(ROW($M$23:$M$2323),ROW($M$23:$M$2323)),""),ROWS($A$23:A180))),""),"")</f>
        <v/>
      </c>
      <c r="S180" s="623">
        <v>33426</v>
      </c>
      <c r="T180" s="622" t="s">
        <v>87</v>
      </c>
      <c r="V180" s="622">
        <v>16.059999999999999</v>
      </c>
      <c r="W180" s="625" t="s">
        <v>78</v>
      </c>
      <c r="AB180" s="626">
        <v>11.04</v>
      </c>
      <c r="AC180" s="626" t="s">
        <v>51</v>
      </c>
      <c r="AE180" s="1802">
        <v>33137</v>
      </c>
      <c r="AF180" s="622" t="s">
        <v>78</v>
      </c>
      <c r="AI180" s="1376"/>
      <c r="AJ180" s="622">
        <v>18</v>
      </c>
      <c r="AK180" s="625" t="s">
        <v>51</v>
      </c>
      <c r="AP180" s="1837"/>
      <c r="AQ180" s="1837"/>
      <c r="AS180" s="627" t="str">
        <f t="array" ref="AS180">IFERROR(IF($O$21="Metro",INDEX($AJ$23:$AJ$748,SMALL(IF((County=$AK$23:$AK$748),MATCH(ROW($AK$23:$AK$748),ROW($AK$23:$AK$748)),""),ROWS($A$23:$A180))),INDEX($AM$23:$AM$58,SMALL(IF((County=$AN$23:$AN$58),MATCH(ROW($AN$23:$AN$58),ROW($AN$23:$AN$58)),""),ROWS($A$23:$A180)))),"")</f>
        <v/>
      </c>
      <c r="AU180" s="627" t="str">
        <f t="array" ref="AU180">IFERROR(IF($Q$21="Yes",INDEX($AP$23:$AP$2323,SMALL(IF((County=$AQ$23:$AQ$2323),MATCH(ROW($AQ$23:$AQ$2323),ROW($AQ$23:$AQ$2323)),""),ROWS($A$23:$A180))),""),"")</f>
        <v/>
      </c>
      <c r="AW180" s="1802">
        <v>33325</v>
      </c>
      <c r="AX180" s="622" t="s">
        <v>36</v>
      </c>
      <c r="AZ180" s="622">
        <v>14.01</v>
      </c>
      <c r="BA180" s="622" t="s">
        <v>78</v>
      </c>
      <c r="BF180" s="1837"/>
      <c r="BG180" s="1837"/>
      <c r="BI180" s="1365"/>
      <c r="BJ180" s="1365"/>
      <c r="BK180" s="1373"/>
      <c r="BL180" s="1373"/>
      <c r="BM180" s="1373"/>
      <c r="BN180" s="1365"/>
      <c r="BO180" s="1365"/>
      <c r="BP180" s="1365"/>
      <c r="BQ180" s="1365"/>
      <c r="BR180" s="1365"/>
      <c r="BS180" s="1365"/>
    </row>
    <row r="181" spans="1:71" ht="14.5" customHeight="1">
      <c r="A181" s="1802">
        <v>33129</v>
      </c>
      <c r="B181" s="622" t="s">
        <v>78</v>
      </c>
      <c r="E181" s="1"/>
      <c r="F181" s="622">
        <v>405.02</v>
      </c>
      <c r="G181" s="625" t="s">
        <v>61</v>
      </c>
      <c r="L181" s="626">
        <v>307.02</v>
      </c>
      <c r="M181" s="626" t="s">
        <v>36</v>
      </c>
      <c r="N181" s="203"/>
      <c r="O181" s="627" t="str">
        <f t="array" ref="O181">IFERROR(IF($O$21="Metro",INDEX($F$23:$F$748,SMALL(IF((County=$G$23:$G$748),MATCH(ROW($G$23:$G$748),ROW($G$23:$G$748)),""),ROWS($A$23:A181))),INDEX($I$23:$I$52,SMALL(IF((County=$J$23:$J$52),MATCH(ROW($J$23:$J$52),ROW($J$23:$J$52)),""),ROWS($A$23:A181)))),"")</f>
        <v/>
      </c>
      <c r="Q181" s="627" t="str">
        <f t="array" ref="Q181">IFERROR(IF($Q$21="Yes",INDEX($L$23:$L$2323,SMALL(IF((County=$M$23:$M$2323),MATCH(ROW($M$23:$M$2323),ROW($M$23:$M$2323)),""),ROWS($A$23:A181))),""),"")</f>
        <v/>
      </c>
      <c r="S181" s="623">
        <v>33428</v>
      </c>
      <c r="T181" s="622" t="s">
        <v>87</v>
      </c>
      <c r="V181" s="622">
        <v>17</v>
      </c>
      <c r="W181" s="625" t="s">
        <v>51</v>
      </c>
      <c r="AB181" s="626">
        <v>11.04</v>
      </c>
      <c r="AC181" s="626" t="s">
        <v>75</v>
      </c>
      <c r="AE181" s="1802">
        <v>33139</v>
      </c>
      <c r="AF181" s="622" t="s">
        <v>78</v>
      </c>
      <c r="AI181" s="1376"/>
      <c r="AJ181" s="622">
        <v>19</v>
      </c>
      <c r="AK181" s="625" t="s">
        <v>51</v>
      </c>
      <c r="AP181" s="1837"/>
      <c r="AQ181" s="1837"/>
      <c r="AS181" s="627" t="str">
        <f t="array" ref="AS181">IFERROR(IF($O$21="Metro",INDEX($AJ$23:$AJ$748,SMALL(IF((County=$AK$23:$AK$748),MATCH(ROW($AK$23:$AK$748),ROW($AK$23:$AK$748)),""),ROWS($A$23:$A181))),INDEX($AM$23:$AM$58,SMALL(IF((County=$AN$23:$AN$58),MATCH(ROW($AN$23:$AN$58),ROW($AN$23:$AN$58)),""),ROWS($A$23:$A181)))),"")</f>
        <v/>
      </c>
      <c r="AU181" s="627" t="str">
        <f t="array" ref="AU181">IFERROR(IF($Q$21="Yes",INDEX($AP$23:$AP$2323,SMALL(IF((County=$AQ$23:$AQ$2323),MATCH(ROW($AQ$23:$AQ$2323),ROW($AQ$23:$AQ$2323)),""),ROWS($A$23:$A181))),""),"")</f>
        <v/>
      </c>
      <c r="AW181" s="1802">
        <v>33326</v>
      </c>
      <c r="AX181" s="622" t="s">
        <v>36</v>
      </c>
      <c r="AZ181" s="622">
        <v>14.02</v>
      </c>
      <c r="BA181" s="625" t="s">
        <v>49</v>
      </c>
      <c r="BF181" s="1837"/>
      <c r="BG181" s="1837"/>
      <c r="BI181" s="1365"/>
      <c r="BJ181" s="1365"/>
      <c r="BK181" s="1373"/>
      <c r="BL181" s="1373"/>
      <c r="BM181" s="1373"/>
      <c r="BN181" s="1365"/>
      <c r="BO181" s="1365"/>
      <c r="BP181" s="1365"/>
      <c r="BQ181" s="1365"/>
      <c r="BR181" s="1365"/>
      <c r="BS181" s="1365"/>
    </row>
    <row r="182" spans="1:71" ht="14.5" customHeight="1">
      <c r="A182" s="1802">
        <v>33131</v>
      </c>
      <c r="B182" s="622" t="s">
        <v>78</v>
      </c>
      <c r="E182" s="1"/>
      <c r="F182" s="622">
        <v>412.04</v>
      </c>
      <c r="G182" s="625" t="s">
        <v>61</v>
      </c>
      <c r="L182" s="626">
        <v>307.04000000000002</v>
      </c>
      <c r="M182" s="626" t="s">
        <v>36</v>
      </c>
      <c r="N182" s="203"/>
      <c r="O182" s="203"/>
      <c r="Q182" s="627" t="str">
        <f t="array" ref="Q182">IFERROR(IF($Q$21="Yes",INDEX($L$23:$L$2323,SMALL(IF((County=$M$23:$M$2323),MATCH(ROW($M$23:$M$2323),ROW($M$23:$M$2323)),""),ROWS($A$23:A182))),""),"")</f>
        <v/>
      </c>
      <c r="S182" s="623">
        <v>33431</v>
      </c>
      <c r="T182" s="622" t="s">
        <v>87</v>
      </c>
      <c r="V182" s="622">
        <v>17</v>
      </c>
      <c r="W182" s="625" t="s">
        <v>76</v>
      </c>
      <c r="AB182" s="626">
        <v>11.04</v>
      </c>
      <c r="AC182" s="626" t="s">
        <v>77</v>
      </c>
      <c r="AE182" s="1802">
        <v>33140</v>
      </c>
      <c r="AF182" s="622" t="s">
        <v>78</v>
      </c>
      <c r="AI182" s="1376"/>
      <c r="AJ182" s="622">
        <v>20</v>
      </c>
      <c r="AK182" s="625" t="s">
        <v>51</v>
      </c>
      <c r="AP182" s="1837"/>
      <c r="AQ182" s="1837"/>
      <c r="AS182" s="203"/>
      <c r="AU182" s="627" t="str">
        <f t="array" ref="AU182">IFERROR(IF($Q$21="Yes",INDEX($AP$23:$AP$2323,SMALL(IF((County=$AQ$23:$AQ$2323),MATCH(ROW($AQ$23:$AQ$2323),ROW($AQ$23:$AQ$2323)),""),ROWS($A$23:$A182))),""),"")</f>
        <v/>
      </c>
      <c r="AW182" s="1802">
        <v>33327</v>
      </c>
      <c r="AX182" s="622" t="s">
        <v>36</v>
      </c>
      <c r="AZ182" s="622">
        <v>14.02</v>
      </c>
      <c r="BA182" s="625" t="s">
        <v>71</v>
      </c>
      <c r="BF182" s="1837"/>
      <c r="BG182" s="1837"/>
      <c r="BI182" s="1365"/>
      <c r="BJ182" s="1365"/>
      <c r="BK182" s="1373"/>
      <c r="BL182" s="1373"/>
      <c r="BM182" s="1373"/>
      <c r="BN182" s="1365"/>
      <c r="BO182" s="1365"/>
      <c r="BP182" s="1365"/>
      <c r="BQ182" s="1365"/>
      <c r="BR182" s="1365"/>
      <c r="BS182" s="1365"/>
    </row>
    <row r="183" spans="1:71" ht="14.5" customHeight="1">
      <c r="A183" s="1802">
        <v>33132</v>
      </c>
      <c r="B183" s="622" t="s">
        <v>78</v>
      </c>
      <c r="E183" s="1"/>
      <c r="F183" s="622">
        <v>414.01</v>
      </c>
      <c r="G183" s="625" t="s">
        <v>61</v>
      </c>
      <c r="L183" s="626">
        <v>309.02</v>
      </c>
      <c r="M183" s="626" t="s">
        <v>36</v>
      </c>
      <c r="N183" s="203"/>
      <c r="O183" s="203"/>
      <c r="Q183" s="627" t="str">
        <f t="array" ref="Q183">IFERROR(IF($Q$21="Yes",INDEX($L$23:$L$2323,SMALL(IF((County=$M$23:$M$2323),MATCH(ROW($M$23:$M$2323),ROW($M$23:$M$2323)),""),ROWS($A$23:A183))),""),"")</f>
        <v/>
      </c>
      <c r="S183" s="623">
        <v>33432</v>
      </c>
      <c r="T183" s="622" t="s">
        <v>87</v>
      </c>
      <c r="V183" s="622">
        <v>17.010000000000002</v>
      </c>
      <c r="W183" s="625" t="s">
        <v>78</v>
      </c>
      <c r="AB183" s="626">
        <v>11.04</v>
      </c>
      <c r="AC183" s="626" t="s">
        <v>78</v>
      </c>
      <c r="AE183" s="1802">
        <v>33141</v>
      </c>
      <c r="AF183" s="622" t="s">
        <v>78</v>
      </c>
      <c r="AI183" s="1376"/>
      <c r="AJ183" s="622">
        <v>21</v>
      </c>
      <c r="AK183" s="625" t="s">
        <v>51</v>
      </c>
      <c r="AP183" s="1837"/>
      <c r="AQ183" s="1837"/>
      <c r="AS183" s="203"/>
      <c r="AU183" s="627" t="str">
        <f t="array" ref="AU183">IFERROR(IF($Q$21="Yes",INDEX($AP$23:$AP$2323,SMALL(IF((County=$AQ$23:$AQ$2323),MATCH(ROW($AQ$23:$AQ$2323),ROW($AQ$23:$AQ$2323)),""),ROWS($A$23:$A183))),""),"")</f>
        <v/>
      </c>
      <c r="AW183" s="1802">
        <v>33328</v>
      </c>
      <c r="AX183" s="622" t="s">
        <v>36</v>
      </c>
      <c r="AZ183" s="622">
        <v>14.02</v>
      </c>
      <c r="BA183" s="625" t="s">
        <v>78</v>
      </c>
      <c r="BF183" s="1837"/>
      <c r="BG183" s="1837"/>
      <c r="BI183" s="1365"/>
      <c r="BJ183" s="1365"/>
      <c r="BK183" s="1373"/>
      <c r="BL183" s="1373"/>
      <c r="BM183" s="1373"/>
      <c r="BN183" s="1365"/>
      <c r="BO183" s="1365"/>
      <c r="BP183" s="1365"/>
      <c r="BQ183" s="1365"/>
      <c r="BR183" s="1365"/>
      <c r="BS183" s="1365"/>
    </row>
    <row r="184" spans="1:71" ht="14.5" customHeight="1">
      <c r="A184" s="1802">
        <v>33133</v>
      </c>
      <c r="B184" s="622" t="s">
        <v>78</v>
      </c>
      <c r="E184" s="1"/>
      <c r="F184" s="622">
        <v>9603</v>
      </c>
      <c r="G184" s="625" t="s">
        <v>62</v>
      </c>
      <c r="L184" s="626">
        <v>309.04000000000002</v>
      </c>
      <c r="M184" s="626" t="s">
        <v>36</v>
      </c>
      <c r="N184" s="203"/>
      <c r="O184" s="203"/>
      <c r="Q184" s="627" t="str">
        <f t="array" ref="Q184">IFERROR(IF($Q$21="Yes",INDEX($L$23:$L$2323,SMALL(IF((County=$M$23:$M$2323),MATCH(ROW($M$23:$M$2323),ROW($M$23:$M$2323)),""),ROWS($A$23:A184))),""),"")</f>
        <v/>
      </c>
      <c r="S184" s="623">
        <v>33433</v>
      </c>
      <c r="T184" s="622" t="s">
        <v>87</v>
      </c>
      <c r="V184" s="622">
        <v>17.02</v>
      </c>
      <c r="W184" s="625" t="s">
        <v>78</v>
      </c>
      <c r="AB184" s="626">
        <v>11.05</v>
      </c>
      <c r="AC184" s="626" t="s">
        <v>75</v>
      </c>
      <c r="AE184" s="1802">
        <v>33143</v>
      </c>
      <c r="AF184" s="622" t="s">
        <v>78</v>
      </c>
      <c r="AI184" s="1376"/>
      <c r="AJ184" s="622">
        <v>27.03</v>
      </c>
      <c r="AK184" s="625" t="s">
        <v>51</v>
      </c>
      <c r="AP184" s="1837"/>
      <c r="AQ184" s="1837"/>
      <c r="AS184" s="203"/>
      <c r="AU184" s="627" t="str">
        <f t="array" ref="AU184">IFERROR(IF($Q$21="Yes",INDEX($AP$23:$AP$2323,SMALL(IF((County=$AQ$23:$AQ$2323),MATCH(ROW($AQ$23:$AQ$2323),ROW($AQ$23:$AQ$2323)),""),ROWS($A$23:$A184))),""),"")</f>
        <v/>
      </c>
      <c r="AW184" s="1802">
        <v>33330</v>
      </c>
      <c r="AX184" s="622" t="s">
        <v>36</v>
      </c>
      <c r="AZ184" s="622">
        <v>14.02</v>
      </c>
      <c r="BA184" s="625" t="s">
        <v>87</v>
      </c>
      <c r="BF184" s="1837"/>
      <c r="BG184" s="1837"/>
      <c r="BI184" s="1365"/>
      <c r="BJ184" s="1365"/>
      <c r="BK184" s="1373"/>
      <c r="BL184" s="1373"/>
      <c r="BM184" s="1373"/>
      <c r="BN184" s="1365"/>
      <c r="BO184" s="1365"/>
      <c r="BP184" s="1365"/>
      <c r="BQ184" s="1365"/>
      <c r="BR184" s="1365"/>
      <c r="BS184" s="1365"/>
    </row>
    <row r="185" spans="1:71" ht="14.5" customHeight="1">
      <c r="A185" s="1802">
        <v>33134</v>
      </c>
      <c r="B185" s="622" t="s">
        <v>78</v>
      </c>
      <c r="E185" s="1"/>
      <c r="F185" s="622">
        <v>9608</v>
      </c>
      <c r="G185" s="625" t="s">
        <v>62</v>
      </c>
      <c r="L185" s="626">
        <v>310.02</v>
      </c>
      <c r="M185" s="626" t="s">
        <v>36</v>
      </c>
      <c r="N185" s="203"/>
      <c r="O185" s="203"/>
      <c r="Q185" s="627" t="str">
        <f t="array" ref="Q185">IFERROR(IF($Q$21="Yes",INDEX($L$23:$L$2323,SMALL(IF((County=$M$23:$M$2323),MATCH(ROW($M$23:$M$2323),ROW($M$23:$M$2323)),""),ROWS($A$23:A185))),""),"")</f>
        <v/>
      </c>
      <c r="S185" s="623">
        <v>33435</v>
      </c>
      <c r="T185" s="622" t="s">
        <v>87</v>
      </c>
      <c r="V185" s="622">
        <v>17.03</v>
      </c>
      <c r="W185" s="625" t="s">
        <v>78</v>
      </c>
      <c r="AB185" s="626">
        <v>11.08</v>
      </c>
      <c r="AC185" s="626" t="s">
        <v>75</v>
      </c>
      <c r="AE185" s="1802">
        <v>33144</v>
      </c>
      <c r="AF185" s="622" t="s">
        <v>78</v>
      </c>
      <c r="AI185" s="1376"/>
      <c r="AJ185" s="622">
        <v>29</v>
      </c>
      <c r="AK185" s="625" t="s">
        <v>51</v>
      </c>
      <c r="AP185" s="1837"/>
      <c r="AQ185" s="1837"/>
      <c r="AS185" s="203"/>
      <c r="AU185" s="627" t="str">
        <f t="array" ref="AU185">IFERROR(IF($Q$21="Yes",INDEX($AP$23:$AP$2323,SMALL(IF((County=$AQ$23:$AQ$2323),MATCH(ROW($AQ$23:$AQ$2323),ROW($AQ$23:$AQ$2323)),""),ROWS($A$23:$A185))),""),"")</f>
        <v/>
      </c>
      <c r="AW185" s="1802">
        <v>33331</v>
      </c>
      <c r="AX185" s="622" t="s">
        <v>36</v>
      </c>
      <c r="AZ185" s="622">
        <v>14.03</v>
      </c>
      <c r="BA185" s="625" t="s">
        <v>87</v>
      </c>
      <c r="BF185" s="1837"/>
      <c r="BG185" s="1837"/>
      <c r="BI185" s="1365"/>
      <c r="BJ185" s="1365"/>
      <c r="BK185" s="1373"/>
      <c r="BL185" s="1373"/>
      <c r="BM185" s="1373"/>
      <c r="BN185" s="1365"/>
      <c r="BO185" s="1365"/>
      <c r="BP185" s="1365"/>
      <c r="BQ185" s="1365"/>
      <c r="BR185" s="1365"/>
      <c r="BS185" s="1365"/>
    </row>
    <row r="186" spans="1:71">
      <c r="A186" s="1802">
        <v>33137</v>
      </c>
      <c r="B186" s="622" t="s">
        <v>78</v>
      </c>
      <c r="E186" s="1"/>
      <c r="F186" s="622">
        <v>9609</v>
      </c>
      <c r="G186" s="625" t="s">
        <v>62</v>
      </c>
      <c r="L186" s="626">
        <v>311.01</v>
      </c>
      <c r="M186" s="626" t="s">
        <v>36</v>
      </c>
      <c r="N186" s="203"/>
      <c r="O186" s="203"/>
      <c r="Q186" s="627" t="str">
        <f t="array" ref="Q186">IFERROR(IF($Q$21="Yes",INDEX($L$23:$L$2323,SMALL(IF((County=$M$23:$M$2323),MATCH(ROW($M$23:$M$2323),ROW($M$23:$M$2323)),""),ROWS($A$23:A186))),""),"")</f>
        <v/>
      </c>
      <c r="S186" s="623">
        <v>33436</v>
      </c>
      <c r="T186" s="622" t="s">
        <v>87</v>
      </c>
      <c r="V186" s="622">
        <v>18</v>
      </c>
      <c r="W186" s="625" t="s">
        <v>32</v>
      </c>
      <c r="AB186" s="626">
        <v>12.01</v>
      </c>
      <c r="AC186" s="626" t="s">
        <v>26</v>
      </c>
      <c r="AE186" s="1802">
        <v>33145</v>
      </c>
      <c r="AF186" s="622" t="s">
        <v>78</v>
      </c>
      <c r="AI186" s="1376"/>
      <c r="AJ186" s="622">
        <v>31</v>
      </c>
      <c r="AK186" s="625" t="s">
        <v>51</v>
      </c>
      <c r="AP186" s="1837"/>
      <c r="AQ186" s="1837"/>
      <c r="AS186" s="203"/>
      <c r="AU186" s="627" t="str">
        <f t="array" ref="AU186">IFERROR(IF($Q$21="Yes",INDEX($AP$23:$AP$2323,SMALL(IF((County=$AQ$23:$AQ$2323),MATCH(ROW($AQ$23:$AQ$2323),ROW($AQ$23:$AQ$2323)),""),ROWS($A$23:$A186))),""),"")</f>
        <v/>
      </c>
      <c r="AW186" s="1802">
        <v>33332</v>
      </c>
      <c r="AX186" s="622" t="s">
        <v>36</v>
      </c>
      <c r="AZ186" s="622">
        <v>14.04</v>
      </c>
      <c r="BA186" s="625" t="s">
        <v>87</v>
      </c>
      <c r="BF186" s="1837"/>
      <c r="BG186" s="1837"/>
      <c r="BI186" s="1365"/>
      <c r="BJ186" s="1365"/>
      <c r="BK186" s="1373"/>
      <c r="BL186" s="1373"/>
      <c r="BM186" s="1373"/>
      <c r="BN186" s="1365"/>
      <c r="BO186" s="1365"/>
      <c r="BP186" s="1365"/>
      <c r="BQ186" s="1365"/>
      <c r="BR186" s="1365"/>
      <c r="BS186" s="1365"/>
    </row>
    <row r="187" spans="1:71">
      <c r="A187" s="1802">
        <v>33139</v>
      </c>
      <c r="B187" s="622" t="s">
        <v>78</v>
      </c>
      <c r="E187" s="1"/>
      <c r="F187" s="622">
        <v>9611</v>
      </c>
      <c r="G187" s="625" t="s">
        <v>62</v>
      </c>
      <c r="L187" s="626">
        <v>311.02</v>
      </c>
      <c r="M187" s="626" t="s">
        <v>36</v>
      </c>
      <c r="N187" s="203"/>
      <c r="O187" s="203"/>
      <c r="Q187" s="627" t="str">
        <f t="array" ref="Q187">IFERROR(IF($Q$21="Yes",INDEX($L$23:$L$2323,SMALL(IF((County=$M$23:$M$2323),MATCH(ROW($M$23:$M$2323),ROW($M$23:$M$2323)),""),ROWS($A$23:A187))),""),"")</f>
        <v/>
      </c>
      <c r="S187" s="623">
        <v>33437</v>
      </c>
      <c r="T187" s="622" t="s">
        <v>87</v>
      </c>
      <c r="V187" s="622">
        <v>18</v>
      </c>
      <c r="W187" s="625" t="s">
        <v>51</v>
      </c>
      <c r="AB187" s="626">
        <v>12.01</v>
      </c>
      <c r="AC187" s="626" t="s">
        <v>96</v>
      </c>
      <c r="AE187" s="1802">
        <v>33146</v>
      </c>
      <c r="AF187" s="622" t="s">
        <v>78</v>
      </c>
      <c r="AI187" s="1376"/>
      <c r="AJ187" s="622">
        <v>35.06</v>
      </c>
      <c r="AK187" s="625" t="s">
        <v>51</v>
      </c>
      <c r="AP187" s="1837"/>
      <c r="AQ187" s="1837"/>
      <c r="AS187" s="203"/>
      <c r="AU187" s="627" t="str">
        <f t="array" ref="AU187">IFERROR(IF($Q$21="Yes",INDEX($AP$23:$AP$2323,SMALL(IF((County=$AQ$23:$AQ$2323),MATCH(ROW($AQ$23:$AQ$2323),ROW($AQ$23:$AQ$2323)),""),ROWS($A$23:$A187))),""),"")</f>
        <v/>
      </c>
      <c r="AW187" s="1802">
        <v>33351</v>
      </c>
      <c r="AX187" s="622" t="s">
        <v>36</v>
      </c>
      <c r="AZ187" s="622">
        <v>14.07</v>
      </c>
      <c r="BA187" s="625" t="s">
        <v>77</v>
      </c>
      <c r="BF187" s="1837"/>
      <c r="BG187" s="1837"/>
      <c r="BI187" s="1365"/>
      <c r="BJ187" s="1365"/>
      <c r="BK187" s="1373"/>
      <c r="BL187" s="1373"/>
      <c r="BM187" s="1373"/>
      <c r="BN187" s="1365"/>
      <c r="BO187" s="1365"/>
      <c r="BP187" s="1365"/>
      <c r="BQ187" s="1365"/>
      <c r="BR187" s="1365"/>
      <c r="BS187" s="1365"/>
    </row>
    <row r="188" spans="1:71">
      <c r="A188" s="1802">
        <v>33140</v>
      </c>
      <c r="B188" s="622" t="s">
        <v>78</v>
      </c>
      <c r="E188" s="1"/>
      <c r="F188" s="622">
        <v>9616.0300000000007</v>
      </c>
      <c r="G188" s="625" t="s">
        <v>62</v>
      </c>
      <c r="L188" s="626">
        <v>312.02</v>
      </c>
      <c r="M188" s="626" t="s">
        <v>36</v>
      </c>
      <c r="N188" s="203"/>
      <c r="O188" s="203"/>
      <c r="Q188" s="627" t="str">
        <f t="array" ref="Q188">IFERROR(IF($Q$21="Yes",INDEX($L$23:$L$2323,SMALL(IF((County=$M$23:$M$2323),MATCH(ROW($M$23:$M$2323),ROW($M$23:$M$2323)),""),ROWS($A$23:A188))),""),"")</f>
        <v/>
      </c>
      <c r="S188" s="623">
        <v>33442</v>
      </c>
      <c r="T188" s="622" t="s">
        <v>36</v>
      </c>
      <c r="V188" s="622">
        <v>18</v>
      </c>
      <c r="W188" s="625" t="s">
        <v>63</v>
      </c>
      <c r="AB188" s="626">
        <v>12.02</v>
      </c>
      <c r="AC188" s="626" t="s">
        <v>26</v>
      </c>
      <c r="AE188" s="1802">
        <v>33149</v>
      </c>
      <c r="AF188" s="622" t="s">
        <v>78</v>
      </c>
      <c r="AI188" s="1376"/>
      <c r="AJ188" s="622">
        <v>36.07</v>
      </c>
      <c r="AK188" s="625" t="s">
        <v>51</v>
      </c>
      <c r="AP188" s="1837"/>
      <c r="AQ188" s="1837"/>
      <c r="AS188" s="203"/>
      <c r="AU188" s="627" t="str">
        <f t="array" ref="AU188">IFERROR(IF($Q$21="Yes",INDEX($AP$23:$AP$2323,SMALL(IF((County=$AQ$23:$AQ$2323),MATCH(ROW($AQ$23:$AQ$2323),ROW($AQ$23:$AQ$2323)),""),ROWS($A$23:$A188))),""),"")</f>
        <v/>
      </c>
      <c r="AW188" s="1802">
        <v>33410</v>
      </c>
      <c r="AX188" s="622" t="s">
        <v>87</v>
      </c>
      <c r="AZ188" s="622">
        <v>15</v>
      </c>
      <c r="BA188" s="622" t="s">
        <v>49</v>
      </c>
      <c r="BF188" s="1837"/>
      <c r="BG188" s="1837"/>
      <c r="BI188" s="1365"/>
      <c r="BJ188" s="1365"/>
      <c r="BK188" s="1373"/>
      <c r="BL188" s="1373"/>
      <c r="BM188" s="1373"/>
      <c r="BN188" s="1365"/>
      <c r="BO188" s="1365"/>
      <c r="BP188" s="1365"/>
      <c r="BQ188" s="1365"/>
      <c r="BR188" s="1365"/>
      <c r="BS188" s="1365"/>
    </row>
    <row r="189" spans="1:71">
      <c r="A189" s="1802">
        <v>33141</v>
      </c>
      <c r="B189" s="622" t="s">
        <v>78</v>
      </c>
      <c r="E189" s="1"/>
      <c r="F189" s="622">
        <v>1.01</v>
      </c>
      <c r="G189" s="625" t="s">
        <v>63</v>
      </c>
      <c r="L189" s="626">
        <v>312.02999999999997</v>
      </c>
      <c r="M189" s="626" t="s">
        <v>36</v>
      </c>
      <c r="N189" s="203"/>
      <c r="O189" s="203"/>
      <c r="Q189" s="627" t="str">
        <f t="array" ref="Q189">IFERROR(IF($Q$21="Yes",INDEX($L$23:$L$2323,SMALL(IF((County=$M$23:$M$2323),MATCH(ROW($M$23:$M$2323),ROW($M$23:$M$2323)),""),ROWS($A$23:A189))),""),"")</f>
        <v/>
      </c>
      <c r="S189" s="623">
        <v>33445</v>
      </c>
      <c r="T189" s="622" t="s">
        <v>87</v>
      </c>
      <c r="V189" s="622">
        <v>18</v>
      </c>
      <c r="W189" s="625" t="s">
        <v>76</v>
      </c>
      <c r="AB189" s="626">
        <v>12.02</v>
      </c>
      <c r="AC189" s="626" t="s">
        <v>70</v>
      </c>
      <c r="AE189" s="1802">
        <v>33154</v>
      </c>
      <c r="AF189" s="622" t="s">
        <v>78</v>
      </c>
      <c r="AI189" s="1376"/>
      <c r="AJ189" s="622">
        <v>207.01</v>
      </c>
      <c r="AK189" s="625" t="s">
        <v>54</v>
      </c>
      <c r="AP189" s="1837"/>
      <c r="AQ189" s="1837"/>
      <c r="AS189" s="203"/>
      <c r="AU189" s="627" t="str">
        <f t="array" ref="AU189">IFERROR(IF($Q$21="Yes",INDEX($AP$23:$AP$2323,SMALL(IF((County=$AQ$23:$AQ$2323),MATCH(ROW($AQ$23:$AQ$2323),ROW($AQ$23:$AQ$2323)),""),ROWS($A$23:$A189))),""),"")</f>
        <v/>
      </c>
      <c r="AW189" s="1802">
        <v>33412</v>
      </c>
      <c r="AX189" s="622" t="s">
        <v>87</v>
      </c>
      <c r="AZ189" s="622">
        <v>15</v>
      </c>
      <c r="BA189" s="622" t="s">
        <v>51</v>
      </c>
      <c r="BF189" s="1837"/>
      <c r="BG189" s="1837"/>
      <c r="BI189" s="1365"/>
      <c r="BJ189" s="1365"/>
      <c r="BK189" s="1373"/>
      <c r="BL189" s="1373"/>
      <c r="BM189" s="1373"/>
      <c r="BN189" s="1365"/>
      <c r="BO189" s="1365"/>
      <c r="BP189" s="1365"/>
      <c r="BQ189" s="1365"/>
      <c r="BR189" s="1365"/>
      <c r="BS189" s="1365"/>
    </row>
    <row r="190" spans="1:71">
      <c r="A190" s="1802">
        <v>33143</v>
      </c>
      <c r="B190" s="622" t="s">
        <v>78</v>
      </c>
      <c r="E190" s="1"/>
      <c r="F190" s="622">
        <v>1.02</v>
      </c>
      <c r="G190" s="625" t="s">
        <v>63</v>
      </c>
      <c r="L190" s="626">
        <v>312.05</v>
      </c>
      <c r="M190" s="626" t="s">
        <v>36</v>
      </c>
      <c r="N190" s="203"/>
      <c r="O190" s="203"/>
      <c r="Q190" s="627" t="str">
        <f t="array" ref="Q190">IFERROR(IF($Q$21="Yes",INDEX($L$23:$L$2323,SMALL(IF((County=$M$23:$M$2323),MATCH(ROW($M$23:$M$2323),ROW($M$23:$M$2323)),""),ROWS($A$23:A190))),""),"")</f>
        <v/>
      </c>
      <c r="S190" s="623">
        <v>33449</v>
      </c>
      <c r="T190" s="622" t="s">
        <v>87</v>
      </c>
      <c r="V190" s="622">
        <v>18.010000000000002</v>
      </c>
      <c r="W190" s="625" t="s">
        <v>71</v>
      </c>
      <c r="AB190" s="626">
        <v>12.02</v>
      </c>
      <c r="AC190" s="626" t="s">
        <v>75</v>
      </c>
      <c r="AE190" s="1802">
        <v>33155</v>
      </c>
      <c r="AF190" s="622" t="s">
        <v>78</v>
      </c>
      <c r="AI190" s="1376"/>
      <c r="AJ190" s="622">
        <v>207.02</v>
      </c>
      <c r="AK190" s="625" t="s">
        <v>54</v>
      </c>
      <c r="AP190" s="1837"/>
      <c r="AQ190" s="1837"/>
      <c r="AS190" s="203"/>
      <c r="AU190" s="627" t="str">
        <f t="array" ref="AU190">IFERROR(IF($Q$21="Yes",INDEX($AP$23:$AP$2323,SMALL(IF((County=$AQ$23:$AQ$2323),MATCH(ROW($AQ$23:$AQ$2323),ROW($AQ$23:$AQ$2323)),""),ROWS($A$23:$A190))),""),"")</f>
        <v/>
      </c>
      <c r="AW190" s="1802">
        <v>33413</v>
      </c>
      <c r="AX190" s="622" t="s">
        <v>87</v>
      </c>
      <c r="AZ190" s="622">
        <v>15</v>
      </c>
      <c r="BA190" s="625" t="s">
        <v>76</v>
      </c>
      <c r="BF190" s="1837"/>
      <c r="BG190" s="1837"/>
      <c r="BI190" s="1365"/>
      <c r="BJ190" s="1365"/>
      <c r="BK190" s="1373"/>
      <c r="BL190" s="1373"/>
      <c r="BM190" s="1373"/>
      <c r="BN190" s="1365"/>
      <c r="BO190" s="1365"/>
      <c r="BP190" s="1365"/>
      <c r="BQ190" s="1365"/>
      <c r="BR190" s="1365"/>
      <c r="BS190" s="1365"/>
    </row>
    <row r="191" spans="1:71">
      <c r="A191" s="1802">
        <v>33145</v>
      </c>
      <c r="B191" s="622" t="s">
        <v>78</v>
      </c>
      <c r="E191" s="1"/>
      <c r="F191" s="622">
        <v>2.0099999999999998</v>
      </c>
      <c r="G191" s="625" t="s">
        <v>63</v>
      </c>
      <c r="L191" s="626">
        <v>401.01</v>
      </c>
      <c r="M191" s="626" t="s">
        <v>36</v>
      </c>
      <c r="N191" s="203"/>
      <c r="O191" s="203"/>
      <c r="Q191" s="627" t="str">
        <f t="array" ref="Q191">IFERROR(IF($Q$21="Yes",INDEX($L$23:$L$2323,SMALL(IF((County=$M$23:$M$2323),MATCH(ROW($M$23:$M$2323),ROW($M$23:$M$2323)),""),ROWS($A$23:A191))),""),"")</f>
        <v/>
      </c>
      <c r="S191" s="623">
        <v>33458</v>
      </c>
      <c r="T191" s="622" t="s">
        <v>87</v>
      </c>
      <c r="V191" s="622">
        <v>18.010000000000002</v>
      </c>
      <c r="W191" s="625" t="s">
        <v>77</v>
      </c>
      <c r="AB191" s="626">
        <v>12.03</v>
      </c>
      <c r="AC191" s="626" t="s">
        <v>26</v>
      </c>
      <c r="AE191" s="1802">
        <v>33156</v>
      </c>
      <c r="AF191" s="622" t="s">
        <v>78</v>
      </c>
      <c r="AI191" s="1376"/>
      <c r="AJ191" s="622">
        <v>404</v>
      </c>
      <c r="AK191" s="625" t="s">
        <v>61</v>
      </c>
      <c r="AP191" s="1837"/>
      <c r="AQ191" s="1837"/>
      <c r="AS191" s="203"/>
      <c r="AU191" s="627" t="str">
        <f t="array" ref="AU191">IFERROR(IF($Q$21="Yes",INDEX($AP$23:$AP$2323,SMALL(IF((County=$AQ$23:$AQ$2323),MATCH(ROW($AQ$23:$AQ$2323),ROW($AQ$23:$AQ$2323)),""),ROWS($A$23:$A191))),""),"")</f>
        <v/>
      </c>
      <c r="AW191" s="1802">
        <v>33414</v>
      </c>
      <c r="AX191" s="622" t="s">
        <v>87</v>
      </c>
      <c r="AZ191" s="622">
        <v>15.01</v>
      </c>
      <c r="BA191" s="625" t="s">
        <v>78</v>
      </c>
      <c r="BF191" s="1837"/>
      <c r="BG191" s="1837"/>
      <c r="BI191" s="1365"/>
      <c r="BJ191" s="1365"/>
      <c r="BK191" s="1373"/>
      <c r="BL191" s="1373"/>
      <c r="BM191" s="1373"/>
      <c r="BN191" s="1365"/>
      <c r="BO191" s="1365"/>
      <c r="BP191" s="1365"/>
      <c r="BQ191" s="1365"/>
      <c r="BR191" s="1365"/>
      <c r="BS191" s="1365"/>
    </row>
    <row r="192" spans="1:71">
      <c r="A192" s="1802">
        <v>33146</v>
      </c>
      <c r="B192" s="622" t="s">
        <v>78</v>
      </c>
      <c r="E192" s="1"/>
      <c r="F192" s="622">
        <v>2.02</v>
      </c>
      <c r="G192" s="625" t="s">
        <v>63</v>
      </c>
      <c r="L192" s="626">
        <v>401.02</v>
      </c>
      <c r="M192" s="626" t="s">
        <v>36</v>
      </c>
      <c r="N192" s="203"/>
      <c r="O192" s="203"/>
      <c r="Q192" s="627" t="str">
        <f t="array" ref="Q192">IFERROR(IF($Q$21="Yes",INDEX($L$23:$L$2323,SMALL(IF((County=$M$23:$M$2323),MATCH(ROW($M$23:$M$2323),ROW($M$23:$M$2323)),""),ROWS($A$23:A192))),""),"")</f>
        <v/>
      </c>
      <c r="S192" s="623">
        <v>33467</v>
      </c>
      <c r="T192" s="622" t="s">
        <v>87</v>
      </c>
      <c r="V192" s="622">
        <v>18.010000000000002</v>
      </c>
      <c r="W192" s="625" t="s">
        <v>78</v>
      </c>
      <c r="AB192" s="626">
        <v>12.03</v>
      </c>
      <c r="AC192" s="626" t="s">
        <v>75</v>
      </c>
      <c r="AE192" s="1802">
        <v>33158</v>
      </c>
      <c r="AF192" s="622" t="s">
        <v>78</v>
      </c>
      <c r="AI192" s="1376"/>
      <c r="AJ192" s="622">
        <v>405.04</v>
      </c>
      <c r="AK192" s="625" t="s">
        <v>61</v>
      </c>
      <c r="AP192" s="1837"/>
      <c r="AQ192" s="1837"/>
      <c r="AS192" s="203"/>
      <c r="AU192" s="627" t="str">
        <f t="array" ref="AU192">IFERROR(IF($Q$21="Yes",INDEX($AP$23:$AP$2323,SMALL(IF((County=$AQ$23:$AQ$2323),MATCH(ROW($AQ$23:$AQ$2323),ROW($AQ$23:$AQ$2323)),""),ROWS($A$23:$A192))),""),"")</f>
        <v/>
      </c>
      <c r="AW192" s="1802">
        <v>33418</v>
      </c>
      <c r="AX192" s="622" t="s">
        <v>87</v>
      </c>
      <c r="AZ192" s="622">
        <v>15.02</v>
      </c>
      <c r="BA192" s="625" t="s">
        <v>70</v>
      </c>
      <c r="BF192" s="1837"/>
      <c r="BG192" s="1837"/>
      <c r="BI192" s="1365"/>
      <c r="BJ192" s="1365"/>
      <c r="BK192" s="1373"/>
      <c r="BL192" s="1373"/>
      <c r="BM192" s="1373"/>
      <c r="BN192" s="1365"/>
      <c r="BO192" s="1365"/>
      <c r="BP192" s="1365"/>
      <c r="BQ192" s="1365"/>
      <c r="BR192" s="1365"/>
      <c r="BS192" s="1365"/>
    </row>
    <row r="193" spans="1:71">
      <c r="A193" s="1802">
        <v>33149</v>
      </c>
      <c r="B193" s="622" t="s">
        <v>78</v>
      </c>
      <c r="E193" s="1"/>
      <c r="F193" s="622">
        <v>3</v>
      </c>
      <c r="G193" s="625" t="s">
        <v>63</v>
      </c>
      <c r="L193" s="626">
        <v>402.03</v>
      </c>
      <c r="M193" s="626" t="s">
        <v>36</v>
      </c>
      <c r="N193" s="203"/>
      <c r="O193" s="203"/>
      <c r="Q193" s="627" t="str">
        <f t="array" ref="Q193">IFERROR(IF($Q$21="Yes",INDEX($L$23:$L$2323,SMALL(IF((County=$M$23:$M$2323),MATCH(ROW($M$23:$M$2323),ROW($M$23:$M$2323)),""),ROWS($A$23:A193))),""),"")</f>
        <v/>
      </c>
      <c r="S193" s="623">
        <v>33469</v>
      </c>
      <c r="T193" s="622" t="s">
        <v>87</v>
      </c>
      <c r="V193" s="622">
        <v>18.02</v>
      </c>
      <c r="W193" s="622" t="s">
        <v>26</v>
      </c>
      <c r="AB193" s="626">
        <v>12.03</v>
      </c>
      <c r="AC193" s="626" t="s">
        <v>96</v>
      </c>
      <c r="AE193" s="1802">
        <v>33160</v>
      </c>
      <c r="AF193" s="622" t="s">
        <v>78</v>
      </c>
      <c r="AI193" s="1376"/>
      <c r="AJ193" s="622">
        <v>412.04</v>
      </c>
      <c r="AK193" s="625" t="s">
        <v>61</v>
      </c>
      <c r="AP193" s="1837"/>
      <c r="AQ193" s="1837"/>
      <c r="AS193" s="203"/>
      <c r="AU193" s="627" t="str">
        <f t="array" ref="AU193">IFERROR(IF($Q$21="Yes",INDEX($AP$23:$AP$2323,SMALL(IF((County=$AQ$23:$AQ$2323),MATCH(ROW($AQ$23:$AQ$2323),ROW($AQ$23:$AQ$2323)),""),ROWS($A$23:$A193))),""),"")</f>
        <v/>
      </c>
      <c r="AW193" s="1802">
        <v>33426</v>
      </c>
      <c r="AX193" s="622" t="s">
        <v>87</v>
      </c>
      <c r="AZ193" s="622">
        <v>15.02</v>
      </c>
      <c r="BA193" s="625" t="s">
        <v>75</v>
      </c>
      <c r="BF193" s="1837"/>
      <c r="BG193" s="1837"/>
      <c r="BI193" s="1365"/>
      <c r="BJ193" s="1365"/>
      <c r="BK193" s="1373"/>
      <c r="BL193" s="1373"/>
      <c r="BM193" s="1373"/>
      <c r="BN193" s="1365"/>
      <c r="BO193" s="1365"/>
      <c r="BP193" s="1365"/>
      <c r="BQ193" s="1365"/>
      <c r="BR193" s="1365"/>
      <c r="BS193" s="1365"/>
    </row>
    <row r="194" spans="1:71">
      <c r="A194" s="1802">
        <v>33154</v>
      </c>
      <c r="B194" s="622" t="s">
        <v>78</v>
      </c>
      <c r="E194" s="1"/>
      <c r="F194" s="622">
        <v>4.0199999999999996</v>
      </c>
      <c r="G194" s="625" t="s">
        <v>63</v>
      </c>
      <c r="L194" s="626">
        <v>402.04</v>
      </c>
      <c r="M194" s="626" t="s">
        <v>36</v>
      </c>
      <c r="N194" s="203"/>
      <c r="O194" s="203"/>
      <c r="Q194" s="627" t="str">
        <f t="array" ref="Q194">IFERROR(IF($Q$21="Yes",INDEX($L$23:$L$2323,SMALL(IF((County=$M$23:$M$2323),MATCH(ROW($M$23:$M$2323),ROW($M$23:$M$2323)),""),ROWS($A$23:A194))),""),"")</f>
        <v/>
      </c>
      <c r="S194" s="623">
        <v>33470</v>
      </c>
      <c r="T194" s="622" t="s">
        <v>87</v>
      </c>
      <c r="V194" s="622">
        <v>18.02</v>
      </c>
      <c r="W194" s="625" t="s">
        <v>78</v>
      </c>
      <c r="AB194" s="626">
        <v>12.04</v>
      </c>
      <c r="AC194" s="626" t="s">
        <v>75</v>
      </c>
      <c r="AE194" s="1802">
        <v>33165</v>
      </c>
      <c r="AF194" s="622" t="s">
        <v>78</v>
      </c>
      <c r="AI194" s="1376"/>
      <c r="AJ194" s="622">
        <v>414.01</v>
      </c>
      <c r="AK194" s="625" t="s">
        <v>61</v>
      </c>
      <c r="AP194" s="1837"/>
      <c r="AQ194" s="1837"/>
      <c r="AS194" s="203"/>
      <c r="AU194" s="627" t="str">
        <f t="array" ref="AU194">IFERROR(IF($Q$21="Yes",INDEX($AP$23:$AP$2323,SMALL(IF((County=$AQ$23:$AQ$2323),MATCH(ROW($AQ$23:$AQ$2323),ROW($AQ$23:$AQ$2323)),""),ROWS($A$23:$A194))),""),"")</f>
        <v/>
      </c>
      <c r="AW194" s="1802">
        <v>33428</v>
      </c>
      <c r="AX194" s="622" t="s">
        <v>87</v>
      </c>
      <c r="AZ194" s="622">
        <v>15.02</v>
      </c>
      <c r="BA194" s="625" t="s">
        <v>78</v>
      </c>
      <c r="BF194" s="1837"/>
      <c r="BG194" s="1837"/>
      <c r="BI194" s="1365"/>
      <c r="BJ194" s="1365"/>
      <c r="BK194" s="1373"/>
      <c r="BL194" s="1373"/>
      <c r="BM194" s="1373"/>
      <c r="BN194" s="1365"/>
      <c r="BO194" s="1365"/>
      <c r="BP194" s="1365"/>
      <c r="BQ194" s="1365"/>
      <c r="BR194" s="1365"/>
      <c r="BS194" s="1365"/>
    </row>
    <row r="195" spans="1:71">
      <c r="A195" s="1802">
        <v>33155</v>
      </c>
      <c r="B195" s="622" t="s">
        <v>78</v>
      </c>
      <c r="E195" s="1"/>
      <c r="F195" s="622">
        <v>6.01</v>
      </c>
      <c r="G195" s="625" t="s">
        <v>63</v>
      </c>
      <c r="L195" s="626">
        <v>402.05</v>
      </c>
      <c r="M195" s="626" t="s">
        <v>36</v>
      </c>
      <c r="N195" s="203"/>
      <c r="O195" s="203"/>
      <c r="Q195" s="627" t="str">
        <f t="array" ref="Q195">IFERROR(IF($Q$21="Yes",INDEX($L$23:$L$2323,SMALL(IF((County=$M$23:$M$2323),MATCH(ROW($M$23:$M$2323),ROW($M$23:$M$2323)),""),ROWS($A$23:A195))),""),"")</f>
        <v/>
      </c>
      <c r="S195" s="623">
        <v>33472</v>
      </c>
      <c r="T195" s="622" t="s">
        <v>87</v>
      </c>
      <c r="V195" s="622">
        <v>18.03</v>
      </c>
      <c r="W195" s="625" t="s">
        <v>78</v>
      </c>
      <c r="AB195" s="626">
        <v>12.04</v>
      </c>
      <c r="AC195" s="626" t="s">
        <v>78</v>
      </c>
      <c r="AE195" s="1802">
        <v>33168</v>
      </c>
      <c r="AF195" s="622" t="s">
        <v>78</v>
      </c>
      <c r="AI195" s="1376"/>
      <c r="AJ195" s="622">
        <v>9603</v>
      </c>
      <c r="AK195" s="625" t="s">
        <v>62</v>
      </c>
      <c r="AP195" s="1837"/>
      <c r="AQ195" s="1837"/>
      <c r="AS195" s="203"/>
      <c r="AU195" s="627" t="str">
        <f t="array" ref="AU195">IFERROR(IF($Q$21="Yes",INDEX($AP$23:$AP$2323,SMALL(IF((County=$AQ$23:$AQ$2323),MATCH(ROW($AQ$23:$AQ$2323),ROW($AQ$23:$AQ$2323)),""),ROWS($A$23:$A195))),""),"")</f>
        <v/>
      </c>
      <c r="AW195" s="1802">
        <v>33431</v>
      </c>
      <c r="AX195" s="622" t="s">
        <v>87</v>
      </c>
      <c r="AZ195" s="622">
        <v>15.14</v>
      </c>
      <c r="BA195" s="625" t="s">
        <v>26</v>
      </c>
      <c r="BF195" s="1837"/>
      <c r="BG195" s="1837"/>
      <c r="BI195" s="1365"/>
      <c r="BJ195" s="1365"/>
      <c r="BK195" s="1373"/>
      <c r="BL195" s="1373"/>
      <c r="BM195" s="1373"/>
      <c r="BN195" s="1365"/>
      <c r="BO195" s="1365"/>
      <c r="BP195" s="1365"/>
      <c r="BQ195" s="1365"/>
      <c r="BR195" s="1365"/>
      <c r="BS195" s="1365"/>
    </row>
    <row r="196" spans="1:71">
      <c r="A196" s="1802">
        <v>33156</v>
      </c>
      <c r="B196" s="622" t="s">
        <v>78</v>
      </c>
      <c r="E196" s="1"/>
      <c r="F196" s="622">
        <v>6.02</v>
      </c>
      <c r="G196" s="625" t="s">
        <v>63</v>
      </c>
      <c r="L196" s="626">
        <v>402.06</v>
      </c>
      <c r="M196" s="626" t="s">
        <v>36</v>
      </c>
      <c r="N196" s="203"/>
      <c r="O196" s="203"/>
      <c r="Q196" s="627" t="str">
        <f t="array" ref="Q196">IFERROR(IF($Q$21="Yes",INDEX($L$23:$L$2323,SMALL(IF((County=$M$23:$M$2323),MATCH(ROW($M$23:$M$2323),ROW($M$23:$M$2323)),""),ROWS($A$23:A196))),""),"")</f>
        <v/>
      </c>
      <c r="S196" s="623">
        <v>33473</v>
      </c>
      <c r="T196" s="622" t="s">
        <v>87</v>
      </c>
      <c r="V196" s="622">
        <v>19</v>
      </c>
      <c r="W196" s="625" t="s">
        <v>51</v>
      </c>
      <c r="AB196" s="626">
        <v>12.04</v>
      </c>
      <c r="AC196" s="626" t="s">
        <v>96</v>
      </c>
      <c r="AE196" s="1802">
        <v>33172</v>
      </c>
      <c r="AF196" s="622" t="s">
        <v>78</v>
      </c>
      <c r="AI196" s="1376"/>
      <c r="AJ196" s="622">
        <v>9608</v>
      </c>
      <c r="AK196" s="625" t="s">
        <v>62</v>
      </c>
      <c r="AP196" s="1837"/>
      <c r="AQ196" s="1837"/>
      <c r="AS196" s="203"/>
      <c r="AU196" s="627" t="str">
        <f t="array" ref="AU196">IFERROR(IF($Q$21="Yes",INDEX($AP$23:$AP$2323,SMALL(IF((County=$AQ$23:$AQ$2323),MATCH(ROW($AQ$23:$AQ$2323),ROW($AQ$23:$AQ$2323)),""),ROWS($A$23:$A196))),""),"")</f>
        <v/>
      </c>
      <c r="AW196" s="1802">
        <v>33432</v>
      </c>
      <c r="AX196" s="622" t="s">
        <v>87</v>
      </c>
      <c r="AZ196" s="622">
        <v>15.15</v>
      </c>
      <c r="BA196" s="625" t="s">
        <v>26</v>
      </c>
      <c r="BF196" s="1837"/>
      <c r="BG196" s="1837"/>
      <c r="BI196" s="1365"/>
      <c r="BJ196" s="1365"/>
      <c r="BK196" s="1373"/>
      <c r="BL196" s="1373"/>
      <c r="BM196" s="1373"/>
      <c r="BN196" s="1365"/>
      <c r="BO196" s="1365"/>
      <c r="BP196" s="1365"/>
      <c r="BQ196" s="1365"/>
      <c r="BR196" s="1365"/>
      <c r="BS196" s="1365"/>
    </row>
    <row r="197" spans="1:71">
      <c r="A197" s="1802">
        <v>33158</v>
      </c>
      <c r="B197" s="622" t="s">
        <v>78</v>
      </c>
      <c r="E197" s="1"/>
      <c r="F197" s="622">
        <v>7</v>
      </c>
      <c r="G197" s="625" t="s">
        <v>63</v>
      </c>
      <c r="L197" s="626">
        <v>404.01</v>
      </c>
      <c r="M197" s="626" t="s">
        <v>36</v>
      </c>
      <c r="N197" s="203"/>
      <c r="O197" s="203"/>
      <c r="Q197" s="627" t="str">
        <f t="array" ref="Q197">IFERROR(IF($Q$21="Yes",INDEX($L$23:$L$2323,SMALL(IF((County=$M$23:$M$2323),MATCH(ROW($M$23:$M$2323),ROW($M$23:$M$2323)),""),ROWS($A$23:A197))),""),"")</f>
        <v/>
      </c>
      <c r="S197" s="623">
        <v>33477</v>
      </c>
      <c r="T197" s="622" t="s">
        <v>87</v>
      </c>
      <c r="V197" s="622">
        <v>19</v>
      </c>
      <c r="W197" s="625" t="s">
        <v>63</v>
      </c>
      <c r="AB197" s="626">
        <v>12.05</v>
      </c>
      <c r="AC197" s="626" t="s">
        <v>78</v>
      </c>
      <c r="AE197" s="1802">
        <v>33173</v>
      </c>
      <c r="AF197" s="622" t="s">
        <v>78</v>
      </c>
      <c r="AI197" s="1376"/>
      <c r="AJ197" s="622">
        <v>9609</v>
      </c>
      <c r="AK197" s="625" t="s">
        <v>62</v>
      </c>
      <c r="AP197" s="1837"/>
      <c r="AQ197" s="1837"/>
      <c r="AS197" s="203"/>
      <c r="AU197" s="627" t="str">
        <f t="array" ref="AU197">IFERROR(IF($Q$21="Yes",INDEX($AP$23:$AP$2323,SMALL(IF((County=$AQ$23:$AQ$2323),MATCH(ROW($AQ$23:$AQ$2323),ROW($AQ$23:$AQ$2323)),""),ROWS($A$23:$A197))),""),"")</f>
        <v/>
      </c>
      <c r="AW197" s="1802">
        <v>33433</v>
      </c>
      <c r="AX197" s="622" t="s">
        <v>87</v>
      </c>
      <c r="AZ197" s="622">
        <v>15.16</v>
      </c>
      <c r="BA197" s="625" t="s">
        <v>26</v>
      </c>
      <c r="BF197" s="1837"/>
      <c r="BG197" s="1837"/>
      <c r="BI197" s="1365"/>
      <c r="BJ197" s="1365"/>
      <c r="BK197" s="1373"/>
      <c r="BL197" s="1373"/>
      <c r="BM197" s="1373"/>
      <c r="BN197" s="1365"/>
      <c r="BO197" s="1365"/>
      <c r="BP197" s="1365"/>
      <c r="BQ197" s="1365"/>
      <c r="BR197" s="1365"/>
      <c r="BS197" s="1365"/>
    </row>
    <row r="198" spans="1:71">
      <c r="A198" s="1802">
        <v>33160</v>
      </c>
      <c r="B198" s="622" t="s">
        <v>78</v>
      </c>
      <c r="E198" s="1"/>
      <c r="F198" s="622">
        <v>8</v>
      </c>
      <c r="G198" s="625" t="s">
        <v>63</v>
      </c>
      <c r="L198" s="626">
        <v>404.02</v>
      </c>
      <c r="M198" s="626" t="s">
        <v>36</v>
      </c>
      <c r="N198" s="203"/>
      <c r="O198" s="203"/>
      <c r="Q198" s="627" t="str">
        <f t="array" ref="Q198">IFERROR(IF($Q$21="Yes",INDEX($L$23:$L$2323,SMALL(IF((County=$M$23:$M$2323),MATCH(ROW($M$23:$M$2323),ROW($M$23:$M$2323)),""),ROWS($A$23:A198))),""),"")</f>
        <v/>
      </c>
      <c r="S198" s="623">
        <v>33478</v>
      </c>
      <c r="T198" s="622" t="s">
        <v>87</v>
      </c>
      <c r="V198" s="622">
        <v>19</v>
      </c>
      <c r="W198" s="625" t="s">
        <v>76</v>
      </c>
      <c r="AB198" s="626">
        <v>12.06</v>
      </c>
      <c r="AC198" s="626" t="s">
        <v>76</v>
      </c>
      <c r="AE198" s="1802">
        <v>33174</v>
      </c>
      <c r="AF198" s="622" t="s">
        <v>78</v>
      </c>
      <c r="AI198" s="1376"/>
      <c r="AJ198" s="622">
        <v>9611</v>
      </c>
      <c r="AK198" s="625" t="s">
        <v>62</v>
      </c>
      <c r="AP198" s="1837"/>
      <c r="AQ198" s="1837"/>
      <c r="AS198" s="203"/>
      <c r="AU198" s="627" t="str">
        <f t="array" ref="AU198">IFERROR(IF($Q$21="Yes",INDEX($AP$23:$AP$2323,SMALL(IF((County=$AQ$23:$AQ$2323),MATCH(ROW($AQ$23:$AQ$2323),ROW($AQ$23:$AQ$2323)),""),ROWS($A$23:$A198))),""),"")</f>
        <v/>
      </c>
      <c r="AW198" s="1802">
        <v>33435</v>
      </c>
      <c r="AX198" s="622" t="s">
        <v>87</v>
      </c>
      <c r="AZ198" s="622">
        <v>15.17</v>
      </c>
      <c r="BA198" s="622" t="s">
        <v>26</v>
      </c>
      <c r="BF198" s="1837"/>
      <c r="BG198" s="1837"/>
      <c r="BI198" s="1365"/>
      <c r="BJ198" s="1365"/>
      <c r="BK198" s="1373"/>
      <c r="BL198" s="1373"/>
      <c r="BM198" s="1373"/>
      <c r="BN198" s="1365"/>
      <c r="BO198" s="1365"/>
      <c r="BP198" s="1365"/>
      <c r="BQ198" s="1365"/>
      <c r="BR198" s="1365"/>
      <c r="BS198" s="1365"/>
    </row>
    <row r="199" spans="1:71">
      <c r="A199" s="1802">
        <v>33165</v>
      </c>
      <c r="B199" s="622" t="s">
        <v>78</v>
      </c>
      <c r="E199" s="1"/>
      <c r="F199" s="622">
        <v>9.01</v>
      </c>
      <c r="G199" s="625" t="s">
        <v>63</v>
      </c>
      <c r="L199" s="626">
        <v>405.02</v>
      </c>
      <c r="M199" s="626" t="s">
        <v>36</v>
      </c>
      <c r="Q199" s="627" t="str">
        <f t="array" ref="Q199">IFERROR(IF($Q$21="Yes",INDEX($L$23:$L$2323,SMALL(IF((County=$M$23:$M$2323),MATCH(ROW($M$23:$M$2323),ROW($M$23:$M$2323)),""),ROWS($A$23:A199))),""),"")</f>
        <v/>
      </c>
      <c r="S199" s="623">
        <v>33480</v>
      </c>
      <c r="T199" s="622" t="s">
        <v>87</v>
      </c>
      <c r="V199" s="622">
        <v>19.010000000000002</v>
      </c>
      <c r="W199" s="625" t="s">
        <v>71</v>
      </c>
      <c r="AB199" s="626">
        <v>12.06</v>
      </c>
      <c r="AC199" s="626" t="s">
        <v>78</v>
      </c>
      <c r="AE199" s="1802">
        <v>33175</v>
      </c>
      <c r="AF199" s="622" t="s">
        <v>78</v>
      </c>
      <c r="AI199" s="1376"/>
      <c r="AJ199" s="622">
        <v>9616.0400000000009</v>
      </c>
      <c r="AK199" s="625" t="s">
        <v>62</v>
      </c>
      <c r="AP199" s="1837"/>
      <c r="AQ199" s="1837"/>
      <c r="AU199" s="627" t="str">
        <f t="array" ref="AU199">IFERROR(IF($Q$21="Yes",INDEX($AP$23:$AP$2323,SMALL(IF((County=$AQ$23:$AQ$2323),MATCH(ROW($AQ$23:$AQ$2323),ROW($AQ$23:$AQ$2323)),""),ROWS($A$23:$A199))),""),"")</f>
        <v/>
      </c>
      <c r="AW199" s="1802">
        <v>33436</v>
      </c>
      <c r="AX199" s="622" t="s">
        <v>87</v>
      </c>
      <c r="AZ199" s="622">
        <v>15.19</v>
      </c>
      <c r="BA199" s="622" t="s">
        <v>26</v>
      </c>
      <c r="BF199" s="1837"/>
      <c r="BG199" s="1837"/>
      <c r="BI199" s="1365"/>
      <c r="BJ199" s="1365"/>
      <c r="BK199" s="1373"/>
      <c r="BL199" s="1373"/>
      <c r="BM199" s="1373"/>
      <c r="BN199" s="1365"/>
      <c r="BO199" s="1365"/>
      <c r="BP199" s="1365"/>
      <c r="BQ199" s="1365"/>
      <c r="BR199" s="1365"/>
      <c r="BS199" s="1365"/>
    </row>
    <row r="200" spans="1:71">
      <c r="A200" s="1802">
        <v>33172</v>
      </c>
      <c r="B200" s="622" t="s">
        <v>78</v>
      </c>
      <c r="E200" s="1"/>
      <c r="F200" s="622">
        <v>9.02</v>
      </c>
      <c r="G200" s="625" t="s">
        <v>63</v>
      </c>
      <c r="L200" s="626">
        <v>405.03</v>
      </c>
      <c r="M200" s="626" t="s">
        <v>36</v>
      </c>
      <c r="Q200" s="627" t="str">
        <f t="array" ref="Q200">IFERROR(IF($Q$21="Yes",INDEX($L$23:$L$2323,SMALL(IF((County=$M$23:$M$2323),MATCH(ROW($M$23:$M$2323),ROW($M$23:$M$2323)),""),ROWS($A$23:A200))),""),"")</f>
        <v/>
      </c>
      <c r="S200" s="623">
        <v>33483</v>
      </c>
      <c r="T200" s="622" t="s">
        <v>87</v>
      </c>
      <c r="V200" s="622">
        <v>19.010000000000002</v>
      </c>
      <c r="W200" s="625" t="s">
        <v>78</v>
      </c>
      <c r="AB200" s="626">
        <v>12.08</v>
      </c>
      <c r="AC200" s="626" t="s">
        <v>76</v>
      </c>
      <c r="AE200" s="1802">
        <v>33176</v>
      </c>
      <c r="AF200" s="622" t="s">
        <v>78</v>
      </c>
      <c r="AI200" s="1376"/>
      <c r="AJ200" s="622">
        <v>9616.0499999999993</v>
      </c>
      <c r="AK200" s="625" t="s">
        <v>62</v>
      </c>
      <c r="AP200" s="1837"/>
      <c r="AQ200" s="1837"/>
      <c r="AU200" s="627" t="str">
        <f t="array" ref="AU200">IFERROR(IF($Q$21="Yes",INDEX($AP$23:$AP$2323,SMALL(IF((County=$AQ$23:$AQ$2323),MATCH(ROW($AQ$23:$AQ$2323),ROW($AQ$23:$AQ$2323)),""),ROWS($A$23:$A200))),""),"")</f>
        <v/>
      </c>
      <c r="AW200" s="1802">
        <v>33437</v>
      </c>
      <c r="AX200" s="622" t="s">
        <v>87</v>
      </c>
      <c r="AZ200" s="622">
        <v>16</v>
      </c>
      <c r="BA200" s="625" t="s">
        <v>32</v>
      </c>
      <c r="BF200" s="1837"/>
      <c r="BG200" s="1837"/>
      <c r="BI200" s="1365"/>
      <c r="BJ200" s="1365"/>
      <c r="BK200" s="1373"/>
      <c r="BL200" s="1373"/>
      <c r="BM200" s="1373"/>
      <c r="BN200" s="1365"/>
      <c r="BO200" s="1365"/>
      <c r="BP200" s="1365"/>
      <c r="BQ200" s="1365"/>
      <c r="BR200" s="1365"/>
      <c r="BS200" s="1365"/>
    </row>
    <row r="201" spans="1:71">
      <c r="A201" s="1802">
        <v>33173</v>
      </c>
      <c r="B201" s="622" t="s">
        <v>78</v>
      </c>
      <c r="E201" s="1"/>
      <c r="F201" s="622">
        <v>10.01</v>
      </c>
      <c r="G201" s="625" t="s">
        <v>63</v>
      </c>
      <c r="L201" s="626">
        <v>405.04</v>
      </c>
      <c r="M201" s="626" t="s">
        <v>36</v>
      </c>
      <c r="Q201" s="627" t="str">
        <f t="array" ref="Q201">IFERROR(IF($Q$21="Yes",INDEX($L$23:$L$2323,SMALL(IF((County=$M$23:$M$2323),MATCH(ROW($M$23:$M$2323),ROW($M$23:$M$2323)),""),ROWS($A$23:A201))),""),"")</f>
        <v/>
      </c>
      <c r="S201" s="623">
        <v>33486</v>
      </c>
      <c r="T201" s="622" t="s">
        <v>87</v>
      </c>
      <c r="V201" s="622">
        <v>19.02</v>
      </c>
      <c r="W201" s="622" t="s">
        <v>26</v>
      </c>
      <c r="AB201" s="626">
        <v>13.01</v>
      </c>
      <c r="AC201" s="626" t="s">
        <v>32</v>
      </c>
      <c r="AE201" s="1802">
        <v>33178</v>
      </c>
      <c r="AF201" s="622" t="s">
        <v>78</v>
      </c>
      <c r="AI201" s="1376"/>
      <c r="AJ201" s="622">
        <v>1.01</v>
      </c>
      <c r="AK201" s="625" t="s">
        <v>63</v>
      </c>
      <c r="AP201" s="1837"/>
      <c r="AQ201" s="1837"/>
      <c r="AU201" s="627" t="str">
        <f t="array" ref="AU201">IFERROR(IF($Q$21="Yes",INDEX($AP$23:$AP$2323,SMALL(IF((County=$AQ$23:$AQ$2323),MATCH(ROW($AQ$23:$AQ$2323),ROW($AQ$23:$AQ$2323)),""),ROWS($A$23:$A201))),""),"")</f>
        <v/>
      </c>
      <c r="AW201" s="1802">
        <v>33442</v>
      </c>
      <c r="AX201" s="622" t="s">
        <v>36</v>
      </c>
      <c r="AZ201" s="622">
        <v>16</v>
      </c>
      <c r="BA201" s="625" t="s">
        <v>49</v>
      </c>
      <c r="BF201" s="1837"/>
      <c r="BG201" s="1837"/>
      <c r="BI201" s="1365"/>
      <c r="BJ201" s="1365"/>
      <c r="BK201" s="1373"/>
      <c r="BL201" s="1373"/>
      <c r="BM201" s="1373"/>
      <c r="BN201" s="1365"/>
      <c r="BO201" s="1365"/>
      <c r="BP201" s="1365"/>
      <c r="BQ201" s="1365"/>
      <c r="BR201" s="1365"/>
      <c r="BS201" s="1365"/>
    </row>
    <row r="202" spans="1:71">
      <c r="A202" s="1802">
        <v>33175</v>
      </c>
      <c r="B202" s="622" t="s">
        <v>78</v>
      </c>
      <c r="E202" s="1"/>
      <c r="F202" s="622">
        <v>10.02</v>
      </c>
      <c r="G202" s="625" t="s">
        <v>63</v>
      </c>
      <c r="L202" s="626">
        <v>406.01</v>
      </c>
      <c r="M202" s="626" t="s">
        <v>36</v>
      </c>
      <c r="Q202" s="627" t="str">
        <f t="array" ref="Q202">IFERROR(IF($Q$21="Yes",INDEX($L$23:$L$2323,SMALL(IF((County=$M$23:$M$2323),MATCH(ROW($M$23:$M$2323),ROW($M$23:$M$2323)),""),ROWS($A$23:A202))),""),"")</f>
        <v/>
      </c>
      <c r="S202" s="623">
        <v>33487</v>
      </c>
      <c r="T202" s="622" t="s">
        <v>87</v>
      </c>
      <c r="V202" s="622">
        <v>19.02</v>
      </c>
      <c r="W202" s="625" t="s">
        <v>71</v>
      </c>
      <c r="AB202" s="626">
        <v>13.01</v>
      </c>
      <c r="AC202" s="626" t="s">
        <v>96</v>
      </c>
      <c r="AE202" s="1802">
        <v>33179</v>
      </c>
      <c r="AF202" s="622" t="s">
        <v>78</v>
      </c>
      <c r="AI202" s="1376"/>
      <c r="AJ202" s="622">
        <v>1.02</v>
      </c>
      <c r="AK202" s="625" t="s">
        <v>63</v>
      </c>
      <c r="AP202" s="1837"/>
      <c r="AQ202" s="1837"/>
      <c r="AU202" s="627" t="str">
        <f t="array" ref="AU202">IFERROR(IF($Q$21="Yes",INDEX($AP$23:$AP$2323,SMALL(IF((County=$AQ$23:$AQ$2323),MATCH(ROW($AQ$23:$AQ$2323),ROW($AQ$23:$AQ$2323)),""),ROWS($A$23:$A202))),""),"")</f>
        <v/>
      </c>
      <c r="AW202" s="1802">
        <v>33444</v>
      </c>
      <c r="AX202" s="622" t="s">
        <v>87</v>
      </c>
      <c r="AZ202" s="622">
        <v>16</v>
      </c>
      <c r="BA202" s="625" t="s">
        <v>51</v>
      </c>
      <c r="BF202" s="1837"/>
      <c r="BG202" s="1837"/>
      <c r="BI202" s="1365"/>
      <c r="BJ202" s="1365"/>
      <c r="BK202" s="1373"/>
      <c r="BL202" s="1373"/>
      <c r="BM202" s="1373"/>
      <c r="BN202" s="1365"/>
      <c r="BO202" s="1365"/>
      <c r="BP202" s="1365"/>
      <c r="BQ202" s="1365"/>
      <c r="BR202" s="1365"/>
      <c r="BS202" s="1365"/>
    </row>
    <row r="203" spans="1:71">
      <c r="A203" s="1802">
        <v>33176</v>
      </c>
      <c r="B203" s="622" t="s">
        <v>78</v>
      </c>
      <c r="E203" s="1"/>
      <c r="F203" s="622">
        <v>12</v>
      </c>
      <c r="G203" s="625" t="s">
        <v>63</v>
      </c>
      <c r="L203" s="626">
        <v>406.02</v>
      </c>
      <c r="M203" s="626" t="s">
        <v>36</v>
      </c>
      <c r="Q203" s="627" t="str">
        <f t="array" ref="Q203">IFERROR(IF($Q$21="Yes",INDEX($L$23:$L$2323,SMALL(IF((County=$M$23:$M$2323),MATCH(ROW($M$23:$M$2323),ROW($M$23:$M$2323)),""),ROWS($A$23:A203))),""),"")</f>
        <v/>
      </c>
      <c r="S203" s="623">
        <v>33496</v>
      </c>
      <c r="T203" s="622" t="s">
        <v>87</v>
      </c>
      <c r="V203" s="622">
        <v>19.03</v>
      </c>
      <c r="W203" s="625" t="s">
        <v>78</v>
      </c>
      <c r="AB203" s="626">
        <v>13.02</v>
      </c>
      <c r="AC203" s="626" t="s">
        <v>76</v>
      </c>
      <c r="AE203" s="1802">
        <v>33180</v>
      </c>
      <c r="AF203" s="622" t="s">
        <v>78</v>
      </c>
      <c r="AI203" s="1376"/>
      <c r="AJ203" s="622">
        <v>2.0099999999999998</v>
      </c>
      <c r="AK203" s="625" t="s">
        <v>63</v>
      </c>
      <c r="AP203" s="1837"/>
      <c r="AQ203" s="1837"/>
      <c r="AU203" s="627" t="str">
        <f t="array" ref="AU203">IFERROR(IF($Q$21="Yes",INDEX($AP$23:$AP$2323,SMALL(IF((County=$AQ$23:$AQ$2323),MATCH(ROW($AQ$23:$AQ$2323),ROW($AQ$23:$AQ$2323)),""),ROWS($A$23:$A203))),""),"")</f>
        <v/>
      </c>
      <c r="AW203" s="1802">
        <v>33445</v>
      </c>
      <c r="AX203" s="622" t="s">
        <v>87</v>
      </c>
      <c r="AZ203" s="622">
        <v>16</v>
      </c>
      <c r="BA203" s="625" t="s">
        <v>87</v>
      </c>
      <c r="BF203" s="1837"/>
      <c r="BG203" s="1837"/>
      <c r="BI203" s="1365"/>
      <c r="BJ203" s="1365"/>
      <c r="BK203" s="1373"/>
      <c r="BL203" s="1373"/>
      <c r="BM203" s="1373"/>
      <c r="BN203" s="1365"/>
      <c r="BO203" s="1365"/>
      <c r="BP203" s="1365"/>
      <c r="BQ203" s="1365"/>
      <c r="BR203" s="1365"/>
      <c r="BS203" s="1365"/>
    </row>
    <row r="204" spans="1:71">
      <c r="A204" s="1802">
        <v>33178</v>
      </c>
      <c r="B204" s="622" t="s">
        <v>78</v>
      </c>
      <c r="E204" s="1"/>
      <c r="F204" s="622">
        <v>14</v>
      </c>
      <c r="G204" s="625" t="s">
        <v>63</v>
      </c>
      <c r="L204" s="626">
        <v>407.01</v>
      </c>
      <c r="M204" s="626" t="s">
        <v>36</v>
      </c>
      <c r="Q204" s="627" t="str">
        <f t="array" ref="Q204">IFERROR(IF($Q$21="Yes",INDEX($L$23:$L$2323,SMALL(IF((County=$M$23:$M$2323),MATCH(ROW($M$23:$M$2323),ROW($M$23:$M$2323)),""),ROWS($A$23:A204))),""),"")</f>
        <v/>
      </c>
      <c r="S204" s="623">
        <v>33498</v>
      </c>
      <c r="T204" s="622" t="s">
        <v>87</v>
      </c>
      <c r="V204" s="622">
        <v>19.04</v>
      </c>
      <c r="W204" s="625" t="s">
        <v>78</v>
      </c>
      <c r="AB204" s="626">
        <v>13.02</v>
      </c>
      <c r="AC204" s="626" t="s">
        <v>77</v>
      </c>
      <c r="AE204" s="1802">
        <v>33182</v>
      </c>
      <c r="AF204" s="622" t="s">
        <v>78</v>
      </c>
      <c r="AI204" s="1376"/>
      <c r="AJ204" s="622">
        <v>2.02</v>
      </c>
      <c r="AK204" s="625" t="s">
        <v>63</v>
      </c>
      <c r="AP204" s="1837"/>
      <c r="AQ204" s="1837"/>
      <c r="AU204" s="627" t="str">
        <f t="array" ref="AU204">IFERROR(IF($Q$21="Yes",INDEX($AP$23:$AP$2323,SMALL(IF((County=$AQ$23:$AQ$2323),MATCH(ROW($AQ$23:$AQ$2323),ROW($AQ$23:$AQ$2323)),""),ROWS($A$23:$A204))),""),"")</f>
        <v/>
      </c>
      <c r="AW204" s="1802">
        <v>33449</v>
      </c>
      <c r="AX204" s="622" t="s">
        <v>87</v>
      </c>
      <c r="AZ204" s="622">
        <v>16.05</v>
      </c>
      <c r="BA204" s="622" t="s">
        <v>26</v>
      </c>
      <c r="BF204" s="1837"/>
      <c r="BG204" s="1837"/>
      <c r="BI204" s="1365"/>
      <c r="BJ204" s="1365"/>
      <c r="BK204" s="1373"/>
      <c r="BL204" s="1373"/>
      <c r="BM204" s="1373"/>
      <c r="BN204" s="1365"/>
      <c r="BO204" s="1365"/>
      <c r="BP204" s="1365"/>
      <c r="BQ204" s="1365"/>
      <c r="BR204" s="1365"/>
      <c r="BS204" s="1365"/>
    </row>
    <row r="205" spans="1:71">
      <c r="A205" s="1802">
        <v>33180</v>
      </c>
      <c r="B205" s="622" t="s">
        <v>78</v>
      </c>
      <c r="E205" s="1"/>
      <c r="F205" s="622">
        <v>18</v>
      </c>
      <c r="G205" s="625" t="s">
        <v>63</v>
      </c>
      <c r="L205" s="626">
        <v>407.02</v>
      </c>
      <c r="M205" s="626" t="s">
        <v>36</v>
      </c>
      <c r="Q205" s="627" t="str">
        <f t="array" ref="Q205">IFERROR(IF($Q$21="Yes",INDEX($L$23:$L$2323,SMALL(IF((County=$M$23:$M$2323),MATCH(ROW($M$23:$M$2323),ROW($M$23:$M$2323)),""),ROWS($A$23:A205))),""),"")</f>
        <v/>
      </c>
      <c r="S205" s="623">
        <v>33503</v>
      </c>
      <c r="T205" s="622" t="s">
        <v>63</v>
      </c>
      <c r="V205" s="622">
        <v>19.09</v>
      </c>
      <c r="W205" s="625" t="s">
        <v>87</v>
      </c>
      <c r="AB205" s="626">
        <v>13.02</v>
      </c>
      <c r="AC205" s="626" t="s">
        <v>78</v>
      </c>
      <c r="AE205" s="1802">
        <v>33183</v>
      </c>
      <c r="AF205" s="622" t="s">
        <v>78</v>
      </c>
      <c r="AI205" s="1376"/>
      <c r="AJ205" s="622">
        <v>3.01</v>
      </c>
      <c r="AK205" s="625" t="s">
        <v>63</v>
      </c>
      <c r="AP205" s="1837"/>
      <c r="AQ205" s="1837"/>
      <c r="AU205" s="627" t="str">
        <f t="array" ref="AU205">IFERROR(IF($Q$21="Yes",INDEX($AP$23:$AP$2323,SMALL(IF((County=$AQ$23:$AQ$2323),MATCH(ROW($AQ$23:$AQ$2323),ROW($AQ$23:$AQ$2323)),""),ROWS($A$23:$A205))),""),"")</f>
        <v/>
      </c>
      <c r="AW205" s="1802">
        <v>33458</v>
      </c>
      <c r="AX205" s="622" t="s">
        <v>87</v>
      </c>
      <c r="AZ205" s="622">
        <v>16.05</v>
      </c>
      <c r="BA205" s="625" t="s">
        <v>78</v>
      </c>
      <c r="BF205" s="1837"/>
      <c r="BG205" s="1837"/>
      <c r="BI205" s="1365"/>
      <c r="BJ205" s="1365"/>
      <c r="BK205" s="1373"/>
      <c r="BL205" s="1373"/>
      <c r="BM205" s="1373"/>
      <c r="BN205" s="1365"/>
      <c r="BO205" s="1365"/>
      <c r="BP205" s="1365"/>
      <c r="BQ205" s="1365"/>
      <c r="BR205" s="1365"/>
      <c r="BS205" s="1365"/>
    </row>
    <row r="206" spans="1:71">
      <c r="A206" s="1802">
        <v>33182</v>
      </c>
      <c r="B206" s="622" t="s">
        <v>78</v>
      </c>
      <c r="E206" s="1"/>
      <c r="F206" s="622">
        <v>19</v>
      </c>
      <c r="G206" s="625" t="s">
        <v>63</v>
      </c>
      <c r="L206" s="626">
        <v>418.01</v>
      </c>
      <c r="M206" s="626" t="s">
        <v>36</v>
      </c>
      <c r="Q206" s="627" t="str">
        <f t="array" ref="Q206">IFERROR(IF($Q$21="Yes",INDEX($L$23:$L$2323,SMALL(IF((County=$M$23:$M$2323),MATCH(ROW($M$23:$M$2323),ROW($M$23:$M$2323)),""),ROWS($A$23:A206))),""),"")</f>
        <v/>
      </c>
      <c r="S206" s="623">
        <v>33510</v>
      </c>
      <c r="T206" s="622" t="s">
        <v>63</v>
      </c>
      <c r="V206" s="622">
        <v>19.100000000000001</v>
      </c>
      <c r="W206" s="625" t="s">
        <v>87</v>
      </c>
      <c r="AB206" s="626">
        <v>13.02</v>
      </c>
      <c r="AC206" s="626" t="s">
        <v>96</v>
      </c>
      <c r="AE206" s="1802">
        <v>33184</v>
      </c>
      <c r="AF206" s="622" t="s">
        <v>78</v>
      </c>
      <c r="AI206" s="1376"/>
      <c r="AJ206" s="622">
        <v>3.02</v>
      </c>
      <c r="AK206" s="625" t="s">
        <v>63</v>
      </c>
      <c r="AP206" s="1837"/>
      <c r="AQ206" s="1837"/>
      <c r="AU206" s="627" t="str">
        <f t="array" ref="AU206">IFERROR(IF($Q$21="Yes",INDEX($AP$23:$AP$2323,SMALL(IF((County=$AQ$23:$AQ$2323),MATCH(ROW($AQ$23:$AQ$2323),ROW($AQ$23:$AQ$2323)),""),ROWS($A$23:$A206))),""),"")</f>
        <v/>
      </c>
      <c r="AW206" s="1802">
        <v>33469</v>
      </c>
      <c r="AX206" s="622" t="s">
        <v>87</v>
      </c>
      <c r="AZ206" s="622">
        <v>17</v>
      </c>
      <c r="BA206" s="625" t="s">
        <v>51</v>
      </c>
      <c r="BF206" s="1837"/>
      <c r="BG206" s="1837"/>
      <c r="BI206" s="1365"/>
      <c r="BJ206" s="1365"/>
      <c r="BK206" s="1373"/>
      <c r="BL206" s="1373"/>
      <c r="BM206" s="1373"/>
      <c r="BN206" s="1365"/>
      <c r="BO206" s="1365"/>
      <c r="BP206" s="1365"/>
      <c r="BQ206" s="1365"/>
      <c r="BR206" s="1365"/>
      <c r="BS206" s="1365"/>
    </row>
    <row r="207" spans="1:71">
      <c r="A207" s="1802">
        <v>33183</v>
      </c>
      <c r="B207" s="622" t="s">
        <v>78</v>
      </c>
      <c r="E207" s="1"/>
      <c r="F207" s="622">
        <v>20</v>
      </c>
      <c r="G207" s="625" t="s">
        <v>63</v>
      </c>
      <c r="L207" s="626">
        <v>418.02</v>
      </c>
      <c r="M207" s="626" t="s">
        <v>36</v>
      </c>
      <c r="Q207" s="627" t="str">
        <f t="array" ref="Q207">IFERROR(IF($Q$21="Yes",INDEX($L$23:$L$2323,SMALL(IF((County=$M$23:$M$2323),MATCH(ROW($M$23:$M$2323),ROW($M$23:$M$2323)),""),ROWS($A$23:A207))),""),"")</f>
        <v/>
      </c>
      <c r="S207" s="623">
        <v>33511</v>
      </c>
      <c r="T207" s="622" t="s">
        <v>63</v>
      </c>
      <c r="V207" s="622">
        <v>19.11</v>
      </c>
      <c r="W207" s="625" t="s">
        <v>87</v>
      </c>
      <c r="AB207" s="626">
        <v>13.03</v>
      </c>
      <c r="AC207" s="626" t="s">
        <v>96</v>
      </c>
      <c r="AE207" s="1802">
        <v>33185</v>
      </c>
      <c r="AF207" s="622" t="s">
        <v>78</v>
      </c>
      <c r="AI207" s="1376"/>
      <c r="AJ207" s="622">
        <v>4.0199999999999996</v>
      </c>
      <c r="AK207" s="625" t="s">
        <v>63</v>
      </c>
      <c r="AP207" s="1837"/>
      <c r="AQ207" s="1837"/>
      <c r="AU207" s="627" t="str">
        <f t="array" ref="AU207">IFERROR(IF($Q$21="Yes",INDEX($AP$23:$AP$2323,SMALL(IF((County=$AQ$23:$AQ$2323),MATCH(ROW($AQ$23:$AQ$2323),ROW($AQ$23:$AQ$2323)),""),ROWS($A$23:$A207))),""),"")</f>
        <v/>
      </c>
      <c r="AW207" s="1802">
        <v>33470</v>
      </c>
      <c r="AX207" s="622" t="s">
        <v>87</v>
      </c>
      <c r="AZ207" s="622">
        <v>17</v>
      </c>
      <c r="BA207" s="625" t="s">
        <v>76</v>
      </c>
      <c r="BF207" s="1837"/>
      <c r="BG207" s="1837"/>
      <c r="BI207" s="1365"/>
      <c r="BJ207" s="1365"/>
      <c r="BK207" s="1373"/>
      <c r="BL207" s="1373"/>
      <c r="BM207" s="1373"/>
      <c r="BN207" s="1365"/>
      <c r="BO207" s="1365"/>
      <c r="BP207" s="1365"/>
      <c r="BQ207" s="1365"/>
      <c r="BR207" s="1365"/>
      <c r="BS207" s="1365"/>
    </row>
    <row r="208" spans="1:71">
      <c r="A208" s="1802">
        <v>33184</v>
      </c>
      <c r="B208" s="622" t="s">
        <v>78</v>
      </c>
      <c r="E208" s="1"/>
      <c r="F208" s="622">
        <v>25</v>
      </c>
      <c r="G208" s="625" t="s">
        <v>63</v>
      </c>
      <c r="L208" s="626">
        <v>419</v>
      </c>
      <c r="M208" s="626" t="s">
        <v>36</v>
      </c>
      <c r="Q208" s="627" t="str">
        <f t="array" ref="Q208">IFERROR(IF($Q$21="Yes",INDEX($L$23:$L$2323,SMALL(IF((County=$M$23:$M$2323),MATCH(ROW($M$23:$M$2323),ROW($M$23:$M$2323)),""),ROWS($A$23:A208))),""),"")</f>
        <v/>
      </c>
      <c r="S208" s="623">
        <v>33543</v>
      </c>
      <c r="T208" s="622" t="s">
        <v>88</v>
      </c>
      <c r="V208" s="622">
        <v>20</v>
      </c>
      <c r="W208" s="625" t="s">
        <v>32</v>
      </c>
      <c r="AB208" s="626">
        <v>13.04</v>
      </c>
      <c r="AC208" s="626" t="s">
        <v>96</v>
      </c>
      <c r="AE208" s="1802">
        <v>33186</v>
      </c>
      <c r="AF208" s="622" t="s">
        <v>78</v>
      </c>
      <c r="AI208" s="1376"/>
      <c r="AJ208" s="622">
        <v>6.02</v>
      </c>
      <c r="AK208" s="625" t="s">
        <v>63</v>
      </c>
      <c r="AP208" s="1837"/>
      <c r="AQ208" s="1837"/>
      <c r="AU208" s="627" t="str">
        <f t="array" ref="AU208">IFERROR(IF($Q$21="Yes",INDEX($AP$23:$AP$2323,SMALL(IF((County=$AQ$23:$AQ$2323),MATCH(ROW($AQ$23:$AQ$2323),ROW($AQ$23:$AQ$2323)),""),ROWS($A$23:$A208))),""),"")</f>
        <v/>
      </c>
      <c r="AW208" s="1802">
        <v>33472</v>
      </c>
      <c r="AX208" s="622" t="s">
        <v>87</v>
      </c>
      <c r="AZ208" s="622">
        <v>17.010000000000002</v>
      </c>
      <c r="BA208" s="625" t="s">
        <v>78</v>
      </c>
      <c r="BF208" s="1837"/>
      <c r="BG208" s="1837"/>
      <c r="BI208" s="1365"/>
      <c r="BJ208" s="1365"/>
      <c r="BK208" s="1373"/>
      <c r="BL208" s="1373"/>
      <c r="BM208" s="1373"/>
      <c r="BN208" s="1365"/>
      <c r="BO208" s="1365"/>
      <c r="BP208" s="1365"/>
      <c r="BQ208" s="1365"/>
      <c r="BR208" s="1365"/>
      <c r="BS208" s="1365"/>
    </row>
    <row r="209" spans="1:71">
      <c r="A209" s="1802">
        <v>33185</v>
      </c>
      <c r="B209" s="622" t="s">
        <v>78</v>
      </c>
      <c r="E209" s="1"/>
      <c r="F209" s="622">
        <v>26</v>
      </c>
      <c r="G209" s="625" t="s">
        <v>63</v>
      </c>
      <c r="L209" s="626">
        <v>420</v>
      </c>
      <c r="M209" s="626" t="s">
        <v>36</v>
      </c>
      <c r="Q209" s="627" t="str">
        <f t="array" ref="Q209">IFERROR(IF($Q$21="Yes",INDEX($L$23:$L$2323,SMALL(IF((County=$M$23:$M$2323),MATCH(ROW($M$23:$M$2323),ROW($M$23:$M$2323)),""),ROWS($A$23:A209))),""),"")</f>
        <v/>
      </c>
      <c r="S209" s="623">
        <v>33544</v>
      </c>
      <c r="T209" s="622" t="s">
        <v>88</v>
      </c>
      <c r="V209" s="622">
        <v>20</v>
      </c>
      <c r="W209" s="625" t="s">
        <v>51</v>
      </c>
      <c r="AB209" s="626">
        <v>14.01</v>
      </c>
      <c r="AC209" s="626" t="s">
        <v>51</v>
      </c>
      <c r="AE209" s="1802">
        <v>33187</v>
      </c>
      <c r="AF209" s="622" t="s">
        <v>78</v>
      </c>
      <c r="AI209" s="1376"/>
      <c r="AJ209" s="622">
        <v>7.01</v>
      </c>
      <c r="AK209" s="625" t="s">
        <v>63</v>
      </c>
      <c r="AP209" s="1837"/>
      <c r="AQ209" s="1837"/>
      <c r="AU209" s="627" t="str">
        <f t="array" ref="AU209">IFERROR(IF($Q$21="Yes",INDEX($AP$23:$AP$2323,SMALL(IF((County=$AQ$23:$AQ$2323),MATCH(ROW($AQ$23:$AQ$2323),ROW($AQ$23:$AQ$2323)),""),ROWS($A$23:$A209))),""),"")</f>
        <v/>
      </c>
      <c r="AW209" s="1802">
        <v>33473</v>
      </c>
      <c r="AX209" s="622" t="s">
        <v>87</v>
      </c>
      <c r="AZ209" s="622">
        <v>17.02</v>
      </c>
      <c r="BA209" s="625" t="s">
        <v>78</v>
      </c>
      <c r="BF209" s="1837"/>
      <c r="BG209" s="1837"/>
      <c r="BI209" s="1365"/>
      <c r="BJ209" s="1365"/>
      <c r="BK209" s="1373"/>
      <c r="BL209" s="1373"/>
      <c r="BM209" s="1373"/>
      <c r="BN209" s="1365"/>
      <c r="BO209" s="1365"/>
      <c r="BP209" s="1365"/>
      <c r="BQ209" s="1365"/>
      <c r="BR209" s="1365"/>
      <c r="BS209" s="1365"/>
    </row>
    <row r="210" spans="1:71">
      <c r="A210" s="1802">
        <v>33186</v>
      </c>
      <c r="B210" s="622" t="s">
        <v>78</v>
      </c>
      <c r="E210" s="1"/>
      <c r="F210" s="622">
        <v>30</v>
      </c>
      <c r="G210" s="625" t="s">
        <v>63</v>
      </c>
      <c r="L210" s="626">
        <v>421</v>
      </c>
      <c r="M210" s="626" t="s">
        <v>36</v>
      </c>
      <c r="Q210" s="627" t="str">
        <f t="array" ref="Q210">IFERROR(IF($Q$21="Yes",INDEX($L$23:$L$2323,SMALL(IF((County=$M$23:$M$2323),MATCH(ROW($M$23:$M$2323),ROW($M$23:$M$2323)),""),ROWS($A$23:A210))),""),"")</f>
        <v/>
      </c>
      <c r="S210" s="623">
        <v>33545</v>
      </c>
      <c r="T210" s="622" t="s">
        <v>88</v>
      </c>
      <c r="V210" s="622">
        <v>20</v>
      </c>
      <c r="W210" s="625" t="s">
        <v>63</v>
      </c>
      <c r="AB210" s="626">
        <v>14.01</v>
      </c>
      <c r="AC210" s="626" t="s">
        <v>96</v>
      </c>
      <c r="AE210" s="1802">
        <v>33190</v>
      </c>
      <c r="AF210" s="622" t="s">
        <v>78</v>
      </c>
      <c r="AI210" s="1376"/>
      <c r="AJ210" s="622">
        <v>7.02</v>
      </c>
      <c r="AK210" s="625" t="s">
        <v>63</v>
      </c>
      <c r="AP210" s="1837"/>
      <c r="AQ210" s="1837"/>
      <c r="AU210" s="627" t="str">
        <f t="array" ref="AU210">IFERROR(IF($Q$21="Yes",INDEX($AP$23:$AP$2323,SMALL(IF((County=$AQ$23:$AQ$2323),MATCH(ROW($AQ$23:$AQ$2323),ROW($AQ$23:$AQ$2323)),""),ROWS($A$23:$A210))),""),"")</f>
        <v/>
      </c>
      <c r="AW210" s="1802">
        <v>33477</v>
      </c>
      <c r="AX210" s="622" t="s">
        <v>87</v>
      </c>
      <c r="AZ210" s="622">
        <v>17.04</v>
      </c>
      <c r="BA210" s="625" t="s">
        <v>78</v>
      </c>
      <c r="BF210" s="1837"/>
      <c r="BG210" s="1837"/>
      <c r="BI210" s="1365"/>
      <c r="BJ210" s="1365"/>
      <c r="BK210" s="1373"/>
      <c r="BL210" s="1373"/>
      <c r="BM210" s="1373"/>
      <c r="BN210" s="1365"/>
      <c r="BO210" s="1365"/>
      <c r="BP210" s="1365"/>
      <c r="BQ210" s="1365"/>
      <c r="BR210" s="1365"/>
      <c r="BS210" s="1365"/>
    </row>
    <row r="211" spans="1:71">
      <c r="A211" s="1802">
        <v>33187</v>
      </c>
      <c r="B211" s="622" t="s">
        <v>78</v>
      </c>
      <c r="E211" s="1"/>
      <c r="F211" s="622">
        <v>31</v>
      </c>
      <c r="G211" s="625" t="s">
        <v>63</v>
      </c>
      <c r="L211" s="626">
        <v>422</v>
      </c>
      <c r="M211" s="626" t="s">
        <v>36</v>
      </c>
      <c r="Q211" s="627" t="str">
        <f t="array" ref="Q211">IFERROR(IF($Q$21="Yes",INDEX($L$23:$L$2323,SMALL(IF((County=$M$23:$M$2323),MATCH(ROW($M$23:$M$2323),ROW($M$23:$M$2323)),""),ROWS($A$23:A211))),""),"")</f>
        <v/>
      </c>
      <c r="S211" s="623">
        <v>33547</v>
      </c>
      <c r="T211" s="622" t="s">
        <v>63</v>
      </c>
      <c r="V211" s="622">
        <v>20.010000000000002</v>
      </c>
      <c r="W211" s="625" t="s">
        <v>76</v>
      </c>
      <c r="AB211" s="626">
        <v>14.02</v>
      </c>
      <c r="AC211" s="626" t="s">
        <v>32</v>
      </c>
      <c r="AE211" s="1802">
        <v>33193</v>
      </c>
      <c r="AF211" s="622" t="s">
        <v>78</v>
      </c>
      <c r="AI211" s="1376"/>
      <c r="AJ211" s="622">
        <v>8</v>
      </c>
      <c r="AK211" s="625" t="s">
        <v>63</v>
      </c>
      <c r="AP211" s="1837"/>
      <c r="AQ211" s="1837"/>
      <c r="AU211" s="627" t="str">
        <f t="array" ref="AU211">IFERROR(IF($Q$21="Yes",INDEX($AP$23:$AP$2323,SMALL(IF((County=$AQ$23:$AQ$2323),MATCH(ROW($AQ$23:$AQ$2323),ROW($AQ$23:$AQ$2323)),""),ROWS($A$23:$A211))),""),"")</f>
        <v/>
      </c>
      <c r="AW211" s="1802">
        <v>33478</v>
      </c>
      <c r="AX211" s="622" t="s">
        <v>87</v>
      </c>
      <c r="AZ211" s="622">
        <v>17.05</v>
      </c>
      <c r="BA211" s="625" t="s">
        <v>78</v>
      </c>
      <c r="BF211" s="1837"/>
      <c r="BG211" s="1837"/>
      <c r="BI211" s="1365"/>
      <c r="BJ211" s="1365"/>
      <c r="BK211" s="1373"/>
      <c r="BL211" s="1373"/>
      <c r="BM211" s="1373"/>
      <c r="BN211" s="1365"/>
      <c r="BO211" s="1365"/>
      <c r="BP211" s="1365"/>
      <c r="BQ211" s="1365"/>
      <c r="BR211" s="1365"/>
      <c r="BS211" s="1365"/>
    </row>
    <row r="212" spans="1:71">
      <c r="A212" s="1802">
        <v>33193</v>
      </c>
      <c r="B212" s="622" t="s">
        <v>78</v>
      </c>
      <c r="E212" s="1"/>
      <c r="F212" s="622">
        <v>32</v>
      </c>
      <c r="G212" s="625" t="s">
        <v>63</v>
      </c>
      <c r="L212" s="626">
        <v>423.01</v>
      </c>
      <c r="M212" s="626" t="s">
        <v>36</v>
      </c>
      <c r="Q212" s="627" t="str">
        <f t="array" ref="Q212">IFERROR(IF($Q$21="Yes",INDEX($L$23:$L$2323,SMALL(IF((County=$M$23:$M$2323),MATCH(ROW($M$23:$M$2323),ROW($M$23:$M$2323)),""),ROWS($A$23:A212))),""),"")</f>
        <v/>
      </c>
      <c r="S212" s="623">
        <v>33548</v>
      </c>
      <c r="T212" s="622" t="s">
        <v>63</v>
      </c>
      <c r="V212" s="622">
        <v>20.010000000000002</v>
      </c>
      <c r="W212" s="625" t="s">
        <v>78</v>
      </c>
      <c r="AB212" s="626">
        <v>14.02</v>
      </c>
      <c r="AC212" s="626" t="s">
        <v>70</v>
      </c>
      <c r="AE212" s="1802">
        <v>33194</v>
      </c>
      <c r="AF212" s="622" t="s">
        <v>78</v>
      </c>
      <c r="AI212" s="1376"/>
      <c r="AJ212" s="622">
        <v>9.01</v>
      </c>
      <c r="AK212" s="625" t="s">
        <v>63</v>
      </c>
      <c r="AP212" s="1837"/>
      <c r="AQ212" s="1837"/>
      <c r="AU212" s="627" t="str">
        <f t="array" ref="AU212">IFERROR(IF($Q$21="Yes",INDEX($AP$23:$AP$2323,SMALL(IF((County=$AQ$23:$AQ$2323),MATCH(ROW($AQ$23:$AQ$2323),ROW($AQ$23:$AQ$2323)),""),ROWS($A$23:$A212))),""),"")</f>
        <v/>
      </c>
      <c r="AW212" s="1802">
        <v>33480</v>
      </c>
      <c r="AX212" s="622" t="s">
        <v>87</v>
      </c>
      <c r="AZ212" s="622">
        <v>18</v>
      </c>
      <c r="BA212" s="625" t="s">
        <v>32</v>
      </c>
      <c r="BF212" s="1837"/>
      <c r="BG212" s="1837"/>
      <c r="BI212" s="1365"/>
      <c r="BJ212" s="1365"/>
      <c r="BK212" s="1373"/>
      <c r="BL212" s="1373"/>
      <c r="BM212" s="1373"/>
      <c r="BN212" s="1365"/>
      <c r="BO212" s="1365"/>
      <c r="BP212" s="1365"/>
      <c r="BQ212" s="1365"/>
      <c r="BR212" s="1365"/>
      <c r="BS212" s="1365"/>
    </row>
    <row r="213" spans="1:71">
      <c r="A213" s="1802">
        <v>33194</v>
      </c>
      <c r="B213" s="622" t="s">
        <v>78</v>
      </c>
      <c r="E213" s="1"/>
      <c r="F213" s="622">
        <v>33</v>
      </c>
      <c r="G213" s="625" t="s">
        <v>63</v>
      </c>
      <c r="L213" s="626">
        <v>424</v>
      </c>
      <c r="M213" s="626" t="s">
        <v>36</v>
      </c>
      <c r="Q213" s="627" t="str">
        <f t="array" ref="Q213">IFERROR(IF($Q$21="Yes",INDEX($L$23:$L$2323,SMALL(IF((County=$M$23:$M$2323),MATCH(ROW($M$23:$M$2323),ROW($M$23:$M$2323)),""),ROWS($A$23:A213))),""),"")</f>
        <v/>
      </c>
      <c r="S213" s="623">
        <v>33549</v>
      </c>
      <c r="T213" s="622" t="s">
        <v>63</v>
      </c>
      <c r="V213" s="622">
        <v>20.03</v>
      </c>
      <c r="W213" s="625" t="s">
        <v>71</v>
      </c>
      <c r="AB213" s="626">
        <v>14.02</v>
      </c>
      <c r="AC213" s="626" t="s">
        <v>75</v>
      </c>
      <c r="AE213" s="1802">
        <v>33196</v>
      </c>
      <c r="AF213" s="622" t="s">
        <v>78</v>
      </c>
      <c r="AI213" s="1376"/>
      <c r="AJ213" s="622">
        <v>9.02</v>
      </c>
      <c r="AK213" s="625" t="s">
        <v>63</v>
      </c>
      <c r="AP213" s="1837"/>
      <c r="AQ213" s="1837"/>
      <c r="AU213" s="627" t="str">
        <f t="array" ref="AU213">IFERROR(IF($Q$21="Yes",INDEX($AP$23:$AP$2323,SMALL(IF((County=$AQ$23:$AQ$2323),MATCH(ROW($AQ$23:$AQ$2323),ROW($AQ$23:$AQ$2323)),""),ROWS($A$23:$A213))),""),"")</f>
        <v/>
      </c>
      <c r="AW213" s="1802">
        <v>33483</v>
      </c>
      <c r="AX213" s="622" t="s">
        <v>87</v>
      </c>
      <c r="AZ213" s="622">
        <v>18</v>
      </c>
      <c r="BA213" s="625" t="s">
        <v>51</v>
      </c>
      <c r="BF213" s="1837"/>
      <c r="BG213" s="1837"/>
      <c r="BI213" s="1365"/>
      <c r="BJ213" s="1365"/>
      <c r="BK213" s="1373"/>
      <c r="BL213" s="1373"/>
      <c r="BM213" s="1373"/>
      <c r="BN213" s="1365"/>
      <c r="BO213" s="1365"/>
      <c r="BP213" s="1365"/>
      <c r="BQ213" s="1365"/>
      <c r="BR213" s="1365"/>
      <c r="BS213" s="1365"/>
    </row>
    <row r="214" spans="1:71">
      <c r="A214" s="1802">
        <v>33196</v>
      </c>
      <c r="B214" s="622" t="s">
        <v>78</v>
      </c>
      <c r="E214" s="1"/>
      <c r="F214" s="622">
        <v>34</v>
      </c>
      <c r="G214" s="625" t="s">
        <v>63</v>
      </c>
      <c r="L214" s="626">
        <v>425</v>
      </c>
      <c r="M214" s="626" t="s">
        <v>36</v>
      </c>
      <c r="Q214" s="627" t="str">
        <f t="array" ref="Q214">IFERROR(IF($Q$21="Yes",INDEX($L$23:$L$2323,SMALL(IF((County=$M$23:$M$2323),MATCH(ROW($M$23:$M$2323),ROW($M$23:$M$2323)),""),ROWS($A$23:A214))),""),"")</f>
        <v/>
      </c>
      <c r="S214" s="623">
        <v>33556</v>
      </c>
      <c r="T214" s="622" t="s">
        <v>63</v>
      </c>
      <c r="V214" s="622">
        <v>20.03</v>
      </c>
      <c r="W214" s="625" t="s">
        <v>78</v>
      </c>
      <c r="AB214" s="626">
        <v>14.02</v>
      </c>
      <c r="AC214" s="626" t="s">
        <v>96</v>
      </c>
      <c r="AE214" s="1802">
        <v>32541</v>
      </c>
      <c r="AF214" s="622" t="s">
        <v>83</v>
      </c>
      <c r="AI214" s="1376"/>
      <c r="AJ214" s="622">
        <v>10.01</v>
      </c>
      <c r="AK214" s="625" t="s">
        <v>63</v>
      </c>
      <c r="AP214" s="1837"/>
      <c r="AQ214" s="1837"/>
      <c r="AU214" s="627" t="str">
        <f t="array" ref="AU214">IFERROR(IF($Q$21="Yes",INDEX($AP$23:$AP$2323,SMALL(IF((County=$AQ$23:$AQ$2323),MATCH(ROW($AQ$23:$AQ$2323),ROW($AQ$23:$AQ$2323)),""),ROWS($A$23:$A214))),""),"")</f>
        <v/>
      </c>
      <c r="AW214" s="1802">
        <v>33484</v>
      </c>
      <c r="AX214" s="622" t="s">
        <v>87</v>
      </c>
      <c r="AZ214" s="622">
        <v>18</v>
      </c>
      <c r="BA214" s="622" t="s">
        <v>63</v>
      </c>
      <c r="BF214" s="1837"/>
      <c r="BG214" s="1837"/>
      <c r="BI214" s="1365"/>
      <c r="BJ214" s="1365"/>
      <c r="BK214" s="1373"/>
      <c r="BL214" s="1373"/>
      <c r="BM214" s="1373"/>
      <c r="BN214" s="1365"/>
      <c r="BO214" s="1365"/>
      <c r="BP214" s="1365"/>
      <c r="BQ214" s="1365"/>
      <c r="BR214" s="1365"/>
      <c r="BS214" s="1365"/>
    </row>
    <row r="215" spans="1:71">
      <c r="A215" s="1802">
        <v>32541</v>
      </c>
      <c r="B215" s="622" t="s">
        <v>83</v>
      </c>
      <c r="E215" s="1"/>
      <c r="F215" s="622">
        <v>35</v>
      </c>
      <c r="G215" s="625" t="s">
        <v>63</v>
      </c>
      <c r="L215" s="626">
        <v>426</v>
      </c>
      <c r="M215" s="626" t="s">
        <v>36</v>
      </c>
      <c r="Q215" s="627" t="str">
        <f t="array" ref="Q215">IFERROR(IF($Q$21="Yes",INDEX($L$23:$L$2323,SMALL(IF((County=$M$23:$M$2323),MATCH(ROW($M$23:$M$2323),ROW($M$23:$M$2323)),""),ROWS($A$23:A215))),""),"")</f>
        <v/>
      </c>
      <c r="S215" s="623">
        <v>33559</v>
      </c>
      <c r="T215" s="622" t="s">
        <v>63</v>
      </c>
      <c r="V215" s="622">
        <v>20.04</v>
      </c>
      <c r="W215" s="625" t="s">
        <v>71</v>
      </c>
      <c r="AB215" s="626">
        <v>14.03</v>
      </c>
      <c r="AC215" s="626" t="s">
        <v>96</v>
      </c>
      <c r="AE215" s="1802">
        <v>32542</v>
      </c>
      <c r="AF215" s="622" t="s">
        <v>83</v>
      </c>
      <c r="AI215" s="1376"/>
      <c r="AJ215" s="622">
        <v>10.02</v>
      </c>
      <c r="AK215" s="625" t="s">
        <v>63</v>
      </c>
      <c r="AP215" s="1837"/>
      <c r="AQ215" s="1837"/>
      <c r="AU215" s="627" t="str">
        <f t="array" ref="AU215">IFERROR(IF($Q$21="Yes",INDEX($AP$23:$AP$2323,SMALL(IF((County=$AQ$23:$AQ$2323),MATCH(ROW($AQ$23:$AQ$2323),ROW($AQ$23:$AQ$2323)),""),ROWS($A$23:$A215))),""),"")</f>
        <v/>
      </c>
      <c r="AW215" s="1802">
        <v>33486</v>
      </c>
      <c r="AX215" s="622" t="s">
        <v>87</v>
      </c>
      <c r="AZ215" s="622">
        <v>18</v>
      </c>
      <c r="BA215" s="625" t="s">
        <v>76</v>
      </c>
      <c r="BF215" s="1837"/>
      <c r="BG215" s="1837"/>
      <c r="BI215" s="1365"/>
      <c r="BJ215" s="1365"/>
      <c r="BK215" s="1373"/>
      <c r="BL215" s="1373"/>
      <c r="BM215" s="1373"/>
      <c r="BN215" s="1365"/>
      <c r="BO215" s="1365"/>
      <c r="BP215" s="1365"/>
      <c r="BQ215" s="1365"/>
      <c r="BR215" s="1365"/>
      <c r="BS215" s="1365"/>
    </row>
    <row r="216" spans="1:71">
      <c r="A216" s="1802">
        <v>32542</v>
      </c>
      <c r="B216" s="622" t="s">
        <v>83</v>
      </c>
      <c r="E216" s="1"/>
      <c r="F216" s="622">
        <v>36</v>
      </c>
      <c r="G216" s="625" t="s">
        <v>63</v>
      </c>
      <c r="L216" s="626">
        <v>430.01</v>
      </c>
      <c r="M216" s="626" t="s">
        <v>36</v>
      </c>
      <c r="Q216" s="627" t="str">
        <f t="array" ref="Q216">IFERROR(IF($Q$21="Yes",INDEX($L$23:$L$2323,SMALL(IF((County=$M$23:$M$2323),MATCH(ROW($M$23:$M$2323),ROW($M$23:$M$2323)),""),ROWS($A$23:A216))),""),"")</f>
        <v/>
      </c>
      <c r="S216" s="623">
        <v>33569</v>
      </c>
      <c r="T216" s="622" t="s">
        <v>63</v>
      </c>
      <c r="V216" s="622">
        <v>20.04</v>
      </c>
      <c r="W216" s="625" t="s">
        <v>78</v>
      </c>
      <c r="AB216" s="626">
        <v>14.04</v>
      </c>
      <c r="AC216" s="626" t="s">
        <v>32</v>
      </c>
      <c r="AE216" s="1802">
        <v>32544</v>
      </c>
      <c r="AF216" s="622" t="s">
        <v>83</v>
      </c>
      <c r="AI216" s="1376"/>
      <c r="AJ216" s="622">
        <v>12</v>
      </c>
      <c r="AK216" s="625" t="s">
        <v>63</v>
      </c>
      <c r="AP216" s="1837"/>
      <c r="AQ216" s="1837"/>
      <c r="AU216" s="627" t="str">
        <f t="array" ref="AU216">IFERROR(IF($Q$21="Yes",INDEX($AP$23:$AP$2323,SMALL(IF((County=$AQ$23:$AQ$2323),MATCH(ROW($AQ$23:$AQ$2323),ROW($AQ$23:$AQ$2323)),""),ROWS($A$23:$A216))),""),"")</f>
        <v/>
      </c>
      <c r="AW216" s="1802">
        <v>33487</v>
      </c>
      <c r="AX216" s="622" t="s">
        <v>87</v>
      </c>
      <c r="AZ216" s="622">
        <v>18.010000000000002</v>
      </c>
      <c r="BA216" s="625" t="s">
        <v>71</v>
      </c>
      <c r="BF216" s="1837"/>
      <c r="BG216" s="1837"/>
      <c r="BI216" s="1365"/>
      <c r="BJ216" s="1365"/>
      <c r="BK216" s="1373"/>
      <c r="BL216" s="1373"/>
      <c r="BM216" s="1373"/>
      <c r="BN216" s="1365"/>
      <c r="BO216" s="1365"/>
      <c r="BP216" s="1365"/>
      <c r="BQ216" s="1365"/>
      <c r="BR216" s="1365"/>
      <c r="BS216" s="1365"/>
    </row>
    <row r="217" spans="1:71">
      <c r="A217" s="1802">
        <v>32544</v>
      </c>
      <c r="B217" s="622" t="s">
        <v>83</v>
      </c>
      <c r="E217" s="1"/>
      <c r="F217" s="622">
        <v>37</v>
      </c>
      <c r="G217" s="625" t="s">
        <v>63</v>
      </c>
      <c r="L217" s="626">
        <v>431</v>
      </c>
      <c r="M217" s="626" t="s">
        <v>36</v>
      </c>
      <c r="Q217" s="627" t="str">
        <f t="array" ref="Q217">IFERROR(IF($Q$21="Yes",INDEX($L$23:$L$2323,SMALL(IF((County=$M$23:$M$2323),MATCH(ROW($M$23:$M$2323),ROW($M$23:$M$2323)),""),ROWS($A$23:A217))),""),"")</f>
        <v/>
      </c>
      <c r="S217" s="623">
        <v>33572</v>
      </c>
      <c r="T217" s="622" t="s">
        <v>63</v>
      </c>
      <c r="V217" s="622">
        <v>20.05</v>
      </c>
      <c r="W217" s="625" t="s">
        <v>71</v>
      </c>
      <c r="AB217" s="626">
        <v>14.04</v>
      </c>
      <c r="AC217" s="626" t="s">
        <v>77</v>
      </c>
      <c r="AE217" s="1802">
        <v>32712</v>
      </c>
      <c r="AF217" s="622" t="s">
        <v>85</v>
      </c>
      <c r="AI217" s="1376"/>
      <c r="AJ217" s="622">
        <v>14</v>
      </c>
      <c r="AK217" s="625" t="s">
        <v>63</v>
      </c>
      <c r="AP217" s="1837"/>
      <c r="AQ217" s="1837"/>
      <c r="AU217" s="627" t="str">
        <f t="array" ref="AU217">IFERROR(IF($Q$21="Yes",INDEX($AP$23:$AP$2323,SMALL(IF((County=$AQ$23:$AQ$2323),MATCH(ROW($AQ$23:$AQ$2323),ROW($AQ$23:$AQ$2323)),""),ROWS($A$23:$A217))),""),"")</f>
        <v/>
      </c>
      <c r="AW217" s="1802">
        <v>33496</v>
      </c>
      <c r="AX217" s="622" t="s">
        <v>87</v>
      </c>
      <c r="AZ217" s="622">
        <v>18.010000000000002</v>
      </c>
      <c r="BA217" s="625" t="s">
        <v>78</v>
      </c>
      <c r="BF217" s="1837"/>
      <c r="BG217" s="1837"/>
      <c r="BI217" s="1365"/>
      <c r="BJ217" s="1365"/>
      <c r="BK217" s="1373"/>
      <c r="BL217" s="1373"/>
      <c r="BM217" s="1373"/>
      <c r="BN217" s="1365"/>
      <c r="BO217" s="1365"/>
      <c r="BP217" s="1365"/>
      <c r="BQ217" s="1365"/>
      <c r="BR217" s="1365"/>
      <c r="BS217" s="1365"/>
    </row>
    <row r="218" spans="1:71">
      <c r="A218" s="1802">
        <v>32712</v>
      </c>
      <c r="B218" s="622" t="s">
        <v>85</v>
      </c>
      <c r="E218" s="1"/>
      <c r="F218" s="622">
        <v>38</v>
      </c>
      <c r="G218" s="625" t="s">
        <v>63</v>
      </c>
      <c r="L218" s="626">
        <v>433.01</v>
      </c>
      <c r="M218" s="626" t="s">
        <v>36</v>
      </c>
      <c r="Q218" s="627" t="str">
        <f t="array" ref="Q218">IFERROR(IF($Q$21="Yes",INDEX($L$23:$L$2323,SMALL(IF((County=$M$23:$M$2323),MATCH(ROW($M$23:$M$2323),ROW($M$23:$M$2323)),""),ROWS($A$23:A218))),""),"")</f>
        <v/>
      </c>
      <c r="S218" s="623">
        <v>33573</v>
      </c>
      <c r="T218" s="622" t="s">
        <v>63</v>
      </c>
      <c r="V218" s="622">
        <v>20.059999999999999</v>
      </c>
      <c r="W218" s="625" t="s">
        <v>71</v>
      </c>
      <c r="AB218" s="626">
        <v>14.06</v>
      </c>
      <c r="AC218" s="626" t="s">
        <v>77</v>
      </c>
      <c r="AE218" s="1802">
        <v>32751</v>
      </c>
      <c r="AF218" s="622" t="s">
        <v>85</v>
      </c>
      <c r="AI218" s="1376"/>
      <c r="AJ218" s="622">
        <v>18</v>
      </c>
      <c r="AK218" s="625" t="s">
        <v>63</v>
      </c>
      <c r="AP218" s="1837"/>
      <c r="AQ218" s="1837"/>
      <c r="AU218" s="627" t="str">
        <f t="array" ref="AU218">IFERROR(IF($Q$21="Yes",INDEX($AP$23:$AP$2323,SMALL(IF((County=$AQ$23:$AQ$2323),MATCH(ROW($AQ$23:$AQ$2323),ROW($AQ$23:$AQ$2323)),""),ROWS($A$23:$A218))),""),"")</f>
        <v/>
      </c>
      <c r="AW218" s="1802">
        <v>33498</v>
      </c>
      <c r="AX218" s="622" t="s">
        <v>87</v>
      </c>
      <c r="AZ218" s="622">
        <v>18.02</v>
      </c>
      <c r="BA218" s="625" t="s">
        <v>26</v>
      </c>
      <c r="BF218" s="1837"/>
      <c r="BG218" s="1837"/>
      <c r="BI218" s="1365"/>
      <c r="BJ218" s="1365"/>
      <c r="BK218" s="1373"/>
      <c r="BL218" s="1373"/>
      <c r="BM218" s="1373"/>
      <c r="BN218" s="1365"/>
      <c r="BO218" s="1365"/>
      <c r="BP218" s="1365"/>
      <c r="BQ218" s="1365"/>
      <c r="BR218" s="1365"/>
      <c r="BS218" s="1365"/>
    </row>
    <row r="219" spans="1:71">
      <c r="A219" s="1802">
        <v>32751</v>
      </c>
      <c r="B219" s="622" t="s">
        <v>85</v>
      </c>
      <c r="E219" s="1"/>
      <c r="F219" s="622">
        <v>39</v>
      </c>
      <c r="G219" s="625" t="s">
        <v>63</v>
      </c>
      <c r="L219" s="626">
        <v>502.04</v>
      </c>
      <c r="M219" s="626" t="s">
        <v>36</v>
      </c>
      <c r="Q219" s="627" t="str">
        <f t="array" ref="Q219">IFERROR(IF($Q$21="Yes",INDEX($L$23:$L$2323,SMALL(IF((County=$M$23:$M$2323),MATCH(ROW($M$23:$M$2323),ROW($M$23:$M$2323)),""),ROWS($A$23:A219))),""),"")</f>
        <v/>
      </c>
      <c r="S219" s="623">
        <v>33578</v>
      </c>
      <c r="T219" s="622" t="s">
        <v>63</v>
      </c>
      <c r="V219" s="622">
        <v>21</v>
      </c>
      <c r="W219" s="625" t="s">
        <v>51</v>
      </c>
      <c r="AB219" s="626">
        <v>14.09</v>
      </c>
      <c r="AC219" s="626" t="s">
        <v>77</v>
      </c>
      <c r="AE219" s="1802">
        <v>32789</v>
      </c>
      <c r="AF219" s="622" t="s">
        <v>85</v>
      </c>
      <c r="AI219" s="1376"/>
      <c r="AJ219" s="622">
        <v>19</v>
      </c>
      <c r="AK219" s="625" t="s">
        <v>63</v>
      </c>
      <c r="AP219" s="1837"/>
      <c r="AQ219" s="1837"/>
      <c r="AU219" s="627" t="str">
        <f t="array" ref="AU219">IFERROR(IF($Q$21="Yes",INDEX($AP$23:$AP$2323,SMALL(IF((County=$AQ$23:$AQ$2323),MATCH(ROW($AQ$23:$AQ$2323),ROW($AQ$23:$AQ$2323)),""),ROWS($A$23:$A219))),""),"")</f>
        <v/>
      </c>
      <c r="AW219" s="1802">
        <v>33503</v>
      </c>
      <c r="AX219" s="622" t="s">
        <v>63</v>
      </c>
      <c r="AZ219" s="622">
        <v>18.02</v>
      </c>
      <c r="BA219" s="625" t="s">
        <v>78</v>
      </c>
      <c r="BF219" s="1837"/>
      <c r="BG219" s="1837"/>
      <c r="BI219" s="1365"/>
      <c r="BJ219" s="1365"/>
      <c r="BK219" s="1373"/>
      <c r="BL219" s="1373"/>
      <c r="BM219" s="1373"/>
      <c r="BN219" s="1365"/>
      <c r="BO219" s="1365"/>
      <c r="BP219" s="1365"/>
      <c r="BQ219" s="1365"/>
      <c r="BR219" s="1365"/>
      <c r="BS219" s="1365"/>
    </row>
    <row r="220" spans="1:71">
      <c r="A220" s="1802">
        <v>32789</v>
      </c>
      <c r="B220" s="622" t="s">
        <v>85</v>
      </c>
      <c r="E220" s="1"/>
      <c r="F220" s="622">
        <v>40</v>
      </c>
      <c r="G220" s="625" t="s">
        <v>63</v>
      </c>
      <c r="L220" s="626">
        <v>502.05</v>
      </c>
      <c r="M220" s="626" t="s">
        <v>36</v>
      </c>
      <c r="Q220" s="627" t="str">
        <f t="array" ref="Q220">IFERROR(IF($Q$21="Yes",INDEX($L$23:$L$2323,SMALL(IF((County=$M$23:$M$2323),MATCH(ROW($M$23:$M$2323),ROW($M$23:$M$2323)),""),ROWS($A$23:A220))),""),"")</f>
        <v/>
      </c>
      <c r="S220" s="623">
        <v>33579</v>
      </c>
      <c r="T220" s="622" t="s">
        <v>63</v>
      </c>
      <c r="V220" s="622">
        <v>21</v>
      </c>
      <c r="W220" s="625" t="s">
        <v>87</v>
      </c>
      <c r="AB220" s="626">
        <v>15</v>
      </c>
      <c r="AC220" s="626" t="s">
        <v>63</v>
      </c>
      <c r="AE220" s="1802">
        <v>32792</v>
      </c>
      <c r="AF220" s="622" t="s">
        <v>85</v>
      </c>
      <c r="AI220" s="1376"/>
      <c r="AJ220" s="622">
        <v>20</v>
      </c>
      <c r="AK220" s="625" t="s">
        <v>63</v>
      </c>
      <c r="AP220" s="1837"/>
      <c r="AQ220" s="1837"/>
      <c r="AU220" s="627" t="str">
        <f t="array" ref="AU220">IFERROR(IF($Q$21="Yes",INDEX($AP$23:$AP$2323,SMALL(IF((County=$AQ$23:$AQ$2323),MATCH(ROW($AQ$23:$AQ$2323),ROW($AQ$23:$AQ$2323)),""),ROWS($A$23:$A220))),""),"")</f>
        <v/>
      </c>
      <c r="AW220" s="1802">
        <v>33511</v>
      </c>
      <c r="AX220" s="622" t="s">
        <v>63</v>
      </c>
      <c r="AZ220" s="622">
        <v>18.03</v>
      </c>
      <c r="BA220" s="625" t="s">
        <v>77</v>
      </c>
      <c r="BF220" s="1837"/>
      <c r="BG220" s="1837"/>
      <c r="BI220" s="1365"/>
      <c r="BJ220" s="1365"/>
      <c r="BK220" s="1373"/>
      <c r="BL220" s="1373"/>
      <c r="BM220" s="1373"/>
      <c r="BN220" s="1365"/>
      <c r="BO220" s="1365"/>
      <c r="BP220" s="1365"/>
      <c r="BQ220" s="1365"/>
      <c r="BR220" s="1365"/>
      <c r="BS220" s="1365"/>
    </row>
    <row r="221" spans="1:71">
      <c r="A221" s="1802">
        <v>32792</v>
      </c>
      <c r="B221" s="622" t="s">
        <v>85</v>
      </c>
      <c r="E221" s="1"/>
      <c r="F221" s="622">
        <v>41</v>
      </c>
      <c r="G221" s="625" t="s">
        <v>63</v>
      </c>
      <c r="L221" s="626">
        <v>502.06</v>
      </c>
      <c r="M221" s="626" t="s">
        <v>36</v>
      </c>
      <c r="Q221" s="627" t="str">
        <f t="array" ref="Q221">IFERROR(IF($Q$21="Yes",INDEX($L$23:$L$2323,SMALL(IF((County=$M$23:$M$2323),MATCH(ROW($M$23:$M$2323),ROW($M$23:$M$2323)),""),ROWS($A$23:A221))),""),"")</f>
        <v/>
      </c>
      <c r="S221" s="623">
        <v>33584</v>
      </c>
      <c r="T221" s="622" t="s">
        <v>63</v>
      </c>
      <c r="V221" s="622">
        <v>21.03</v>
      </c>
      <c r="W221" s="625" t="s">
        <v>71</v>
      </c>
      <c r="AB221" s="626">
        <v>15</v>
      </c>
      <c r="AC221" s="626" t="s">
        <v>71</v>
      </c>
      <c r="AE221" s="1802">
        <v>32801</v>
      </c>
      <c r="AF221" s="622" t="s">
        <v>85</v>
      </c>
      <c r="AI221" s="1376"/>
      <c r="AJ221" s="622">
        <v>25</v>
      </c>
      <c r="AK221" s="625" t="s">
        <v>63</v>
      </c>
      <c r="AP221" s="1837"/>
      <c r="AQ221" s="1837"/>
      <c r="AU221" s="627" t="str">
        <f t="array" ref="AU221">IFERROR(IF($Q$21="Yes",INDEX($AP$23:$AP$2323,SMALL(IF((County=$AQ$23:$AQ$2323),MATCH(ROW($AQ$23:$AQ$2323),ROW($AQ$23:$AQ$2323)),""),ROWS($A$23:$A221))),""),"")</f>
        <v/>
      </c>
      <c r="AW221" s="1802">
        <v>33543</v>
      </c>
      <c r="AX221" s="622" t="s">
        <v>88</v>
      </c>
      <c r="AZ221" s="622">
        <v>18.03</v>
      </c>
      <c r="BA221" s="625" t="s">
        <v>78</v>
      </c>
      <c r="BF221" s="1837"/>
      <c r="BG221" s="1837"/>
      <c r="BI221" s="1365"/>
      <c r="BJ221" s="1365"/>
      <c r="BK221" s="1373"/>
      <c r="BL221" s="1373"/>
      <c r="BM221" s="1373"/>
      <c r="BN221" s="1365"/>
      <c r="BO221" s="1365"/>
      <c r="BP221" s="1365"/>
      <c r="BQ221" s="1365"/>
      <c r="BR221" s="1365"/>
      <c r="BS221" s="1365"/>
    </row>
    <row r="222" spans="1:71">
      <c r="A222" s="1802">
        <v>32801</v>
      </c>
      <c r="B222" s="622" t="s">
        <v>85</v>
      </c>
      <c r="E222" s="1"/>
      <c r="F222" s="622">
        <v>42</v>
      </c>
      <c r="G222" s="625" t="s">
        <v>63</v>
      </c>
      <c r="L222" s="626">
        <v>504.01</v>
      </c>
      <c r="M222" s="626" t="s">
        <v>36</v>
      </c>
      <c r="Q222" s="627" t="str">
        <f t="array" ref="Q222">IFERROR(IF($Q$21="Yes",INDEX($L$23:$L$2323,SMALL(IF((County=$M$23:$M$2323),MATCH(ROW($M$23:$M$2323),ROW($M$23:$M$2323)),""),ROWS($A$23:A222))),""),"")</f>
        <v/>
      </c>
      <c r="S222" s="623">
        <v>33594</v>
      </c>
      <c r="T222" s="622" t="s">
        <v>63</v>
      </c>
      <c r="V222" s="622">
        <v>21.04</v>
      </c>
      <c r="W222" s="625" t="s">
        <v>71</v>
      </c>
      <c r="AB222" s="626">
        <v>15</v>
      </c>
      <c r="AC222" s="626" t="s">
        <v>77</v>
      </c>
      <c r="AE222" s="1802">
        <v>32803</v>
      </c>
      <c r="AF222" s="622" t="s">
        <v>85</v>
      </c>
      <c r="AI222" s="1376"/>
      <c r="AJ222" s="622">
        <v>26</v>
      </c>
      <c r="AK222" s="625" t="s">
        <v>63</v>
      </c>
      <c r="AP222" s="1837"/>
      <c r="AQ222" s="1837"/>
      <c r="AU222" s="627" t="str">
        <f t="array" ref="AU222">IFERROR(IF($Q$21="Yes",INDEX($AP$23:$AP$2323,SMALL(IF((County=$AQ$23:$AQ$2323),MATCH(ROW($AQ$23:$AQ$2323),ROW($AQ$23:$AQ$2323)),""),ROWS($A$23:$A222))),""),"")</f>
        <v/>
      </c>
      <c r="AW222" s="1802">
        <v>33544</v>
      </c>
      <c r="AX222" s="622" t="s">
        <v>88</v>
      </c>
      <c r="AZ222" s="622">
        <v>18.04</v>
      </c>
      <c r="BA222" s="625" t="s">
        <v>77</v>
      </c>
      <c r="BF222" s="1837"/>
      <c r="BG222" s="1837"/>
      <c r="BI222" s="1365"/>
      <c r="BJ222" s="1365"/>
      <c r="BK222" s="1373"/>
      <c r="BL222" s="1373"/>
      <c r="BM222" s="1373"/>
      <c r="BN222" s="1365"/>
      <c r="BO222" s="1365"/>
      <c r="BP222" s="1365"/>
      <c r="BQ222" s="1365"/>
      <c r="BR222" s="1365"/>
      <c r="BS222" s="1365"/>
    </row>
    <row r="223" spans="1:71">
      <c r="A223" s="1802">
        <v>32803</v>
      </c>
      <c r="B223" s="622" t="s">
        <v>85</v>
      </c>
      <c r="E223" s="1"/>
      <c r="F223" s="622">
        <v>43</v>
      </c>
      <c r="G223" s="625" t="s">
        <v>63</v>
      </c>
      <c r="L223" s="626">
        <v>506.01</v>
      </c>
      <c r="M223" s="626" t="s">
        <v>36</v>
      </c>
      <c r="Q223" s="627" t="str">
        <f t="array" ref="Q223">IFERROR(IF($Q$21="Yes",INDEX($L$23:$L$2323,SMALL(IF((County=$M$23:$M$2323),MATCH(ROW($M$23:$M$2323),ROW($M$23:$M$2323)),""),ROWS($A$23:A223))),""),"")</f>
        <v/>
      </c>
      <c r="S223" s="623">
        <v>33596</v>
      </c>
      <c r="T223" s="622" t="s">
        <v>63</v>
      </c>
      <c r="V223" s="622">
        <v>22</v>
      </c>
      <c r="W223" s="625" t="s">
        <v>32</v>
      </c>
      <c r="AB223" s="626">
        <v>15.01</v>
      </c>
      <c r="AC223" s="626" t="s">
        <v>32</v>
      </c>
      <c r="AE223" s="1802">
        <v>32804</v>
      </c>
      <c r="AF223" s="622" t="s">
        <v>85</v>
      </c>
      <c r="AI223" s="1376"/>
      <c r="AJ223" s="622">
        <v>30</v>
      </c>
      <c r="AK223" s="625" t="s">
        <v>63</v>
      </c>
      <c r="AP223" s="1837"/>
      <c r="AQ223" s="1837"/>
      <c r="AU223" s="627" t="str">
        <f t="array" ref="AU223">IFERROR(IF($Q$21="Yes",INDEX($AP$23:$AP$2323,SMALL(IF((County=$AQ$23:$AQ$2323),MATCH(ROW($AQ$23:$AQ$2323),ROW($AQ$23:$AQ$2323)),""),ROWS($A$23:$A223))),""),"")</f>
        <v/>
      </c>
      <c r="AW223" s="1802">
        <v>33545</v>
      </c>
      <c r="AX223" s="622" t="s">
        <v>88</v>
      </c>
      <c r="AZ223" s="622">
        <v>19</v>
      </c>
      <c r="BA223" s="622" t="s">
        <v>51</v>
      </c>
      <c r="BF223" s="1837"/>
      <c r="BG223" s="1837"/>
      <c r="BI223" s="1365"/>
      <c r="BJ223" s="1365"/>
      <c r="BK223" s="1373"/>
      <c r="BL223" s="1373"/>
      <c r="BM223" s="1373"/>
      <c r="BN223" s="1365"/>
      <c r="BO223" s="1365"/>
      <c r="BP223" s="1365"/>
      <c r="BQ223" s="1365"/>
      <c r="BR223" s="1365"/>
      <c r="BS223" s="1365"/>
    </row>
    <row r="224" spans="1:71">
      <c r="A224" s="1802">
        <v>32804</v>
      </c>
      <c r="B224" s="622" t="s">
        <v>85</v>
      </c>
      <c r="E224" s="1"/>
      <c r="F224" s="622">
        <v>44</v>
      </c>
      <c r="G224" s="625" t="s">
        <v>63</v>
      </c>
      <c r="L224" s="626">
        <v>506.02</v>
      </c>
      <c r="M224" s="626" t="s">
        <v>36</v>
      </c>
      <c r="Q224" s="627" t="str">
        <f t="array" ref="Q224">IFERROR(IF($Q$21="Yes",INDEX($L$23:$L$2323,SMALL(IF((County=$M$23:$M$2323),MATCH(ROW($M$23:$M$2323),ROW($M$23:$M$2323)),""),ROWS($A$23:A224))),""),"")</f>
        <v/>
      </c>
      <c r="S224" s="623">
        <v>33602</v>
      </c>
      <c r="T224" s="622" t="s">
        <v>63</v>
      </c>
      <c r="V224" s="622">
        <v>22</v>
      </c>
      <c r="W224" s="625" t="s">
        <v>51</v>
      </c>
      <c r="AB224" s="626">
        <v>15.01</v>
      </c>
      <c r="AC224" s="626" t="s">
        <v>70</v>
      </c>
      <c r="AE224" s="1802">
        <v>32806</v>
      </c>
      <c r="AF224" s="622" t="s">
        <v>85</v>
      </c>
      <c r="AI224" s="1376"/>
      <c r="AJ224" s="622">
        <v>31</v>
      </c>
      <c r="AK224" s="625" t="s">
        <v>63</v>
      </c>
      <c r="AP224" s="1837"/>
      <c r="AQ224" s="1837"/>
      <c r="AU224" s="627" t="str">
        <f t="array" ref="AU224">IFERROR(IF($Q$21="Yes",INDEX($AP$23:$AP$2323,SMALL(IF((County=$AQ$23:$AQ$2323),MATCH(ROW($AQ$23:$AQ$2323),ROW($AQ$23:$AQ$2323)),""),ROWS($A$23:$A224))),""),"")</f>
        <v/>
      </c>
      <c r="AW224" s="1802">
        <v>33547</v>
      </c>
      <c r="AX224" s="622" t="s">
        <v>63</v>
      </c>
      <c r="AZ224" s="622">
        <v>19</v>
      </c>
      <c r="BA224" s="625" t="s">
        <v>63</v>
      </c>
      <c r="BF224" s="1837"/>
      <c r="BG224" s="1837"/>
      <c r="BI224" s="1365"/>
      <c r="BJ224" s="1365"/>
      <c r="BK224" s="1373"/>
      <c r="BL224" s="1373"/>
      <c r="BM224" s="1373"/>
      <c r="BN224" s="1365"/>
      <c r="BO224" s="1365"/>
      <c r="BP224" s="1365"/>
      <c r="BQ224" s="1365"/>
      <c r="BR224" s="1365"/>
      <c r="BS224" s="1365"/>
    </row>
    <row r="225" spans="1:71">
      <c r="A225" s="1802">
        <v>32812</v>
      </c>
      <c r="B225" s="622" t="s">
        <v>85</v>
      </c>
      <c r="E225" s="1"/>
      <c r="F225" s="622">
        <v>50</v>
      </c>
      <c r="G225" s="625" t="s">
        <v>63</v>
      </c>
      <c r="L225" s="626">
        <v>509</v>
      </c>
      <c r="M225" s="626" t="s">
        <v>36</v>
      </c>
      <c r="Q225" s="627" t="str">
        <f t="array" ref="Q225">IFERROR(IF($Q$21="Yes",INDEX($L$23:$L$2323,SMALL(IF((County=$M$23:$M$2323),MATCH(ROW($M$23:$M$2323),ROW($M$23:$M$2323)),""),ROWS($A$23:A225))),""),"")</f>
        <v/>
      </c>
      <c r="S225" s="623">
        <v>33606</v>
      </c>
      <c r="T225" s="622" t="s">
        <v>63</v>
      </c>
      <c r="V225" s="622">
        <v>22</v>
      </c>
      <c r="W225" s="625" t="s">
        <v>87</v>
      </c>
      <c r="AB225" s="626">
        <v>15.03</v>
      </c>
      <c r="AC225" s="626" t="s">
        <v>96</v>
      </c>
      <c r="AE225" s="1802">
        <v>32811</v>
      </c>
      <c r="AF225" s="622" t="s">
        <v>85</v>
      </c>
      <c r="AI225" s="1376"/>
      <c r="AJ225" s="622">
        <v>32</v>
      </c>
      <c r="AK225" s="625" t="s">
        <v>63</v>
      </c>
      <c r="AP225" s="1837"/>
      <c r="AQ225" s="1837"/>
      <c r="AU225" s="627" t="str">
        <f t="array" ref="AU225">IFERROR(IF($Q$21="Yes",INDEX($AP$23:$AP$2323,SMALL(IF((County=$AQ$23:$AQ$2323),MATCH(ROW($AQ$23:$AQ$2323),ROW($AQ$23:$AQ$2323)),""),ROWS($A$23:$A225))),""),"")</f>
        <v/>
      </c>
      <c r="AW225" s="1802">
        <v>33548</v>
      </c>
      <c r="AX225" s="622" t="s">
        <v>63</v>
      </c>
      <c r="AZ225" s="622">
        <v>19</v>
      </c>
      <c r="BA225" s="625" t="s">
        <v>76</v>
      </c>
      <c r="BF225" s="1837"/>
      <c r="BG225" s="1837"/>
      <c r="BI225" s="1365"/>
      <c r="BJ225" s="1365"/>
      <c r="BK225" s="1373"/>
      <c r="BL225" s="1373"/>
      <c r="BM225" s="1373"/>
      <c r="BN225" s="1365"/>
      <c r="BO225" s="1365"/>
      <c r="BP225" s="1365"/>
      <c r="BQ225" s="1365"/>
      <c r="BR225" s="1365"/>
      <c r="BS225" s="1365"/>
    </row>
    <row r="226" spans="1:71">
      <c r="A226" s="1802">
        <v>32814</v>
      </c>
      <c r="B226" s="622" t="s">
        <v>85</v>
      </c>
      <c r="E226" s="1"/>
      <c r="F226" s="622">
        <v>53.02</v>
      </c>
      <c r="G226" s="625" t="s">
        <v>63</v>
      </c>
      <c r="L226" s="626">
        <v>510.01</v>
      </c>
      <c r="M226" s="626" t="s">
        <v>36</v>
      </c>
      <c r="Q226" s="627" t="str">
        <f t="array" ref="Q226">IFERROR(IF($Q$21="Yes",INDEX($L$23:$L$2323,SMALL(IF((County=$M$23:$M$2323),MATCH(ROW($M$23:$M$2323),ROW($M$23:$M$2323)),""),ROWS($A$23:A226))),""),"")</f>
        <v/>
      </c>
      <c r="S226" s="623">
        <v>33607</v>
      </c>
      <c r="T226" s="622" t="s">
        <v>63</v>
      </c>
      <c r="V226" s="622">
        <v>22.02</v>
      </c>
      <c r="W226" s="625" t="s">
        <v>78</v>
      </c>
      <c r="AB226" s="626">
        <v>15.05</v>
      </c>
      <c r="AC226" s="626" t="s">
        <v>96</v>
      </c>
      <c r="AE226" s="1802">
        <v>32812</v>
      </c>
      <c r="AF226" s="622" t="s">
        <v>85</v>
      </c>
      <c r="AI226" s="1376"/>
      <c r="AJ226" s="622">
        <v>33</v>
      </c>
      <c r="AK226" s="625" t="s">
        <v>63</v>
      </c>
      <c r="AP226" s="1837"/>
      <c r="AQ226" s="1837"/>
      <c r="AU226" s="627" t="str">
        <f t="array" ref="AU226">IFERROR(IF($Q$21="Yes",INDEX($AP$23:$AP$2323,SMALL(IF((County=$AQ$23:$AQ$2323),MATCH(ROW($AQ$23:$AQ$2323),ROW($AQ$23:$AQ$2323)),""),ROWS($A$23:$A226))),""),"")</f>
        <v/>
      </c>
      <c r="AW226" s="1802">
        <v>33556</v>
      </c>
      <c r="AX226" s="622" t="s">
        <v>63</v>
      </c>
      <c r="AZ226" s="622">
        <v>19.010000000000002</v>
      </c>
      <c r="BA226" s="625" t="s">
        <v>71</v>
      </c>
      <c r="BF226" s="1837"/>
      <c r="BG226" s="1837"/>
      <c r="BI226" s="1365"/>
      <c r="BJ226" s="1365"/>
      <c r="BK226" s="1373"/>
      <c r="BL226" s="1373"/>
      <c r="BM226" s="1373"/>
      <c r="BN226" s="1365"/>
      <c r="BO226" s="1365"/>
      <c r="BP226" s="1365"/>
      <c r="BQ226" s="1365"/>
      <c r="BR226" s="1365"/>
      <c r="BS226" s="1365"/>
    </row>
    <row r="227" spans="1:71">
      <c r="A227" s="1802">
        <v>32817</v>
      </c>
      <c r="B227" s="622" t="s">
        <v>85</v>
      </c>
      <c r="E227" s="1"/>
      <c r="F227" s="622">
        <v>70.02</v>
      </c>
      <c r="G227" s="625" t="s">
        <v>63</v>
      </c>
      <c r="L227" s="626">
        <v>510.02</v>
      </c>
      <c r="M227" s="626" t="s">
        <v>36</v>
      </c>
      <c r="Q227" s="627" t="str">
        <f t="array" ref="Q227">IFERROR(IF($Q$21="Yes",INDEX($L$23:$L$2323,SMALL(IF((County=$M$23:$M$2323),MATCH(ROW($M$23:$M$2323),ROW($M$23:$M$2323)),""),ROWS($A$23:A227))),""),"")</f>
        <v/>
      </c>
      <c r="S227" s="623">
        <v>33609</v>
      </c>
      <c r="T227" s="622" t="s">
        <v>63</v>
      </c>
      <c r="V227" s="622">
        <v>22.18</v>
      </c>
      <c r="W227" s="622" t="s">
        <v>26</v>
      </c>
      <c r="AB227" s="626">
        <v>15.06</v>
      </c>
      <c r="AC227" s="626" t="s">
        <v>96</v>
      </c>
      <c r="AE227" s="1802">
        <v>32814</v>
      </c>
      <c r="AF227" s="622" t="s">
        <v>85</v>
      </c>
      <c r="AI227" s="1376"/>
      <c r="AJ227" s="622">
        <v>34</v>
      </c>
      <c r="AK227" s="625" t="s">
        <v>63</v>
      </c>
      <c r="AP227" s="1837"/>
      <c r="AQ227" s="1837"/>
      <c r="AU227" s="627" t="str">
        <f t="array" ref="AU227">IFERROR(IF($Q$21="Yes",INDEX($AP$23:$AP$2323,SMALL(IF((County=$AQ$23:$AQ$2323),MATCH(ROW($AQ$23:$AQ$2323),ROW($AQ$23:$AQ$2323)),""),ROWS($A$23:$A227))),""),"")</f>
        <v/>
      </c>
      <c r="AW227" s="1802">
        <v>33559</v>
      </c>
      <c r="AX227" s="622" t="s">
        <v>63</v>
      </c>
      <c r="AZ227" s="622">
        <v>19.010000000000002</v>
      </c>
      <c r="BA227" s="625" t="s">
        <v>78</v>
      </c>
      <c r="BF227" s="1837"/>
      <c r="BG227" s="1837"/>
      <c r="BI227" s="1365"/>
      <c r="BJ227" s="1365"/>
      <c r="BK227" s="1373"/>
      <c r="BL227" s="1373"/>
      <c r="BM227" s="1373"/>
      <c r="BN227" s="1365"/>
      <c r="BO227" s="1365"/>
      <c r="BP227" s="1365"/>
      <c r="BQ227" s="1365"/>
      <c r="BR227" s="1365"/>
      <c r="BS227" s="1365"/>
    </row>
    <row r="228" spans="1:71">
      <c r="A228" s="1802">
        <v>32819</v>
      </c>
      <c r="B228" s="622" t="s">
        <v>85</v>
      </c>
      <c r="E228" s="1"/>
      <c r="F228" s="622">
        <v>102.03</v>
      </c>
      <c r="G228" s="625" t="s">
        <v>63</v>
      </c>
      <c r="L228" s="626">
        <v>601.11</v>
      </c>
      <c r="M228" s="626" t="s">
        <v>36</v>
      </c>
      <c r="Q228" s="627" t="str">
        <f t="array" ref="Q228">IFERROR(IF($Q$21="Yes",INDEX($L$23:$L$2323,SMALL(IF((County=$M$23:$M$2323),MATCH(ROW($M$23:$M$2323),ROW($M$23:$M$2323)),""),ROWS($A$23:A228))),""),"")</f>
        <v/>
      </c>
      <c r="S228" s="623">
        <v>33611</v>
      </c>
      <c r="T228" s="622" t="s">
        <v>63</v>
      </c>
      <c r="V228" s="622">
        <v>23</v>
      </c>
      <c r="W228" s="625" t="s">
        <v>78</v>
      </c>
      <c r="AB228" s="626">
        <v>15.07</v>
      </c>
      <c r="AC228" s="626" t="s">
        <v>96</v>
      </c>
      <c r="AE228" s="1802">
        <v>32817</v>
      </c>
      <c r="AF228" s="622" t="s">
        <v>85</v>
      </c>
      <c r="AI228" s="1376"/>
      <c r="AJ228" s="622">
        <v>35</v>
      </c>
      <c r="AK228" s="625" t="s">
        <v>63</v>
      </c>
      <c r="AP228" s="1837"/>
      <c r="AQ228" s="1837"/>
      <c r="AU228" s="627" t="str">
        <f t="array" ref="AU228">IFERROR(IF($Q$21="Yes",INDEX($AP$23:$AP$2323,SMALL(IF((County=$AQ$23:$AQ$2323),MATCH(ROW($AQ$23:$AQ$2323),ROW($AQ$23:$AQ$2323)),""),ROWS($A$23:$A228))),""),"")</f>
        <v/>
      </c>
      <c r="AW228" s="1802">
        <v>33569</v>
      </c>
      <c r="AX228" s="622" t="s">
        <v>63</v>
      </c>
      <c r="AZ228" s="622">
        <v>19.02</v>
      </c>
      <c r="BA228" s="625" t="s">
        <v>26</v>
      </c>
      <c r="BF228" s="1837"/>
      <c r="BG228" s="1837"/>
      <c r="BI228" s="1365"/>
      <c r="BJ228" s="1365"/>
      <c r="BK228" s="1373"/>
      <c r="BL228" s="1373"/>
      <c r="BM228" s="1373"/>
      <c r="BN228" s="1365"/>
      <c r="BO228" s="1365"/>
      <c r="BP228" s="1365"/>
      <c r="BQ228" s="1365"/>
      <c r="BR228" s="1365"/>
      <c r="BS228" s="1365"/>
    </row>
    <row r="229" spans="1:71">
      <c r="A229" s="1802">
        <v>32820</v>
      </c>
      <c r="B229" s="622" t="s">
        <v>85</v>
      </c>
      <c r="E229" s="1"/>
      <c r="F229" s="622">
        <v>102.13</v>
      </c>
      <c r="G229" s="625" t="s">
        <v>63</v>
      </c>
      <c r="L229" s="626">
        <v>601.14</v>
      </c>
      <c r="M229" s="626" t="s">
        <v>36</v>
      </c>
      <c r="Q229" s="627" t="str">
        <f t="array" ref="Q229">IFERROR(IF($Q$21="Yes",INDEX($L$23:$L$2323,SMALL(IF((County=$M$23:$M$2323),MATCH(ROW($M$23:$M$2323),ROW($M$23:$M$2323)),""),ROWS($A$23:A229))),""),"")</f>
        <v/>
      </c>
      <c r="S229" s="623">
        <v>33615</v>
      </c>
      <c r="T229" s="622" t="s">
        <v>63</v>
      </c>
      <c r="V229" s="622">
        <v>24</v>
      </c>
      <c r="W229" s="625" t="s">
        <v>32</v>
      </c>
      <c r="AB229" s="626">
        <v>15.14</v>
      </c>
      <c r="AC229" s="626" t="s">
        <v>26</v>
      </c>
      <c r="AE229" s="1802">
        <v>32819</v>
      </c>
      <c r="AF229" s="622" t="s">
        <v>85</v>
      </c>
      <c r="AI229" s="1376"/>
      <c r="AJ229" s="622">
        <v>36</v>
      </c>
      <c r="AK229" s="625" t="s">
        <v>63</v>
      </c>
      <c r="AP229" s="1837"/>
      <c r="AQ229" s="1837"/>
      <c r="AU229" s="627" t="str">
        <f t="array" ref="AU229">IFERROR(IF($Q$21="Yes",INDEX($AP$23:$AP$2323,SMALL(IF((County=$AQ$23:$AQ$2323),MATCH(ROW($AQ$23:$AQ$2323),ROW($AQ$23:$AQ$2323)),""),ROWS($A$23:$A229))),""),"")</f>
        <v/>
      </c>
      <c r="AW229" s="1802">
        <v>33572</v>
      </c>
      <c r="AX229" s="622" t="s">
        <v>63</v>
      </c>
      <c r="AZ229" s="622">
        <v>19.02</v>
      </c>
      <c r="BA229" s="625" t="s">
        <v>71</v>
      </c>
      <c r="BF229" s="1837"/>
      <c r="BG229" s="1837"/>
      <c r="BI229" s="1365"/>
      <c r="BJ229" s="1365"/>
      <c r="BK229" s="1373"/>
      <c r="BL229" s="1373"/>
      <c r="BM229" s="1373"/>
      <c r="BN229" s="1365"/>
      <c r="BO229" s="1365"/>
      <c r="BP229" s="1365"/>
      <c r="BQ229" s="1365"/>
      <c r="BR229" s="1365"/>
      <c r="BS229" s="1365"/>
    </row>
    <row r="230" spans="1:71">
      <c r="A230" s="1802">
        <v>32821</v>
      </c>
      <c r="B230" s="622" t="s">
        <v>85</v>
      </c>
      <c r="E230" s="1"/>
      <c r="F230" s="622">
        <v>103.03</v>
      </c>
      <c r="G230" s="625" t="s">
        <v>63</v>
      </c>
      <c r="L230" s="626">
        <v>601.15</v>
      </c>
      <c r="M230" s="626" t="s">
        <v>36</v>
      </c>
      <c r="Q230" s="627" t="str">
        <f t="array" ref="Q230">IFERROR(IF($Q$21="Yes",INDEX($L$23:$L$2323,SMALL(IF((County=$M$23:$M$2323),MATCH(ROW($M$23:$M$2323),ROW($M$23:$M$2323)),""),ROWS($A$23:A230))),""),"")</f>
        <v/>
      </c>
      <c r="S230" s="623">
        <v>33616</v>
      </c>
      <c r="T230" s="622" t="s">
        <v>63</v>
      </c>
      <c r="V230" s="622">
        <v>24</v>
      </c>
      <c r="W230" s="625" t="s">
        <v>87</v>
      </c>
      <c r="AB230" s="626">
        <v>15.17</v>
      </c>
      <c r="AC230" s="626" t="s">
        <v>26</v>
      </c>
      <c r="AE230" s="1802">
        <v>32820</v>
      </c>
      <c r="AF230" s="622" t="s">
        <v>85</v>
      </c>
      <c r="AI230" s="1376"/>
      <c r="AJ230" s="622">
        <v>37</v>
      </c>
      <c r="AK230" s="625" t="s">
        <v>63</v>
      </c>
      <c r="AP230" s="1837"/>
      <c r="AQ230" s="1837"/>
      <c r="AU230" s="627" t="str">
        <f t="array" ref="AU230">IFERROR(IF($Q$21="Yes",INDEX($AP$23:$AP$2323,SMALL(IF((County=$AQ$23:$AQ$2323),MATCH(ROW($AQ$23:$AQ$2323),ROW($AQ$23:$AQ$2323)),""),ROWS($A$23:$A230))),""),"")</f>
        <v/>
      </c>
      <c r="AW230" s="1802">
        <v>33573</v>
      </c>
      <c r="AX230" s="622" t="s">
        <v>63</v>
      </c>
      <c r="AZ230" s="622">
        <v>19.03</v>
      </c>
      <c r="BA230" s="625" t="s">
        <v>78</v>
      </c>
      <c r="BF230" s="1837"/>
      <c r="BG230" s="1837"/>
      <c r="BI230" s="1365"/>
      <c r="BJ230" s="1365"/>
      <c r="BK230" s="1373"/>
      <c r="BL230" s="1373"/>
      <c r="BM230" s="1373"/>
      <c r="BN230" s="1365"/>
      <c r="BO230" s="1365"/>
      <c r="BP230" s="1365"/>
      <c r="BQ230" s="1365"/>
      <c r="BR230" s="1365"/>
      <c r="BS230" s="1365"/>
    </row>
    <row r="231" spans="1:71">
      <c r="A231" s="1802">
        <v>32824</v>
      </c>
      <c r="B231" s="622" t="s">
        <v>85</v>
      </c>
      <c r="E231" s="1"/>
      <c r="F231" s="622">
        <v>105.01</v>
      </c>
      <c r="G231" s="625" t="s">
        <v>63</v>
      </c>
      <c r="L231" s="626">
        <v>601.16</v>
      </c>
      <c r="M231" s="626" t="s">
        <v>36</v>
      </c>
      <c r="Q231" s="627" t="str">
        <f t="array" ref="Q231">IFERROR(IF($Q$21="Yes",INDEX($L$23:$L$2323,SMALL(IF((County=$M$23:$M$2323),MATCH(ROW($M$23:$M$2323),ROW($M$23:$M$2323)),""),ROWS($A$23:A231))),""),"")</f>
        <v/>
      </c>
      <c r="S231" s="623">
        <v>33618</v>
      </c>
      <c r="T231" s="622" t="s">
        <v>63</v>
      </c>
      <c r="V231" s="622">
        <v>24.02</v>
      </c>
      <c r="W231" s="625" t="s">
        <v>78</v>
      </c>
      <c r="AB231" s="626">
        <v>16</v>
      </c>
      <c r="AC231" s="626" t="s">
        <v>63</v>
      </c>
      <c r="AE231" s="1802">
        <v>32821</v>
      </c>
      <c r="AF231" s="622" t="s">
        <v>85</v>
      </c>
      <c r="AI231" s="1376"/>
      <c r="AJ231" s="622">
        <v>38</v>
      </c>
      <c r="AK231" s="625" t="s">
        <v>63</v>
      </c>
      <c r="AP231" s="1837"/>
      <c r="AQ231" s="1837"/>
      <c r="AU231" s="627" t="str">
        <f t="array" ref="AU231">IFERROR(IF($Q$21="Yes",INDEX($AP$23:$AP$2323,SMALL(IF((County=$AQ$23:$AQ$2323),MATCH(ROW($AQ$23:$AQ$2323),ROW($AQ$23:$AQ$2323)),""),ROWS($A$23:$A231))),""),"")</f>
        <v/>
      </c>
      <c r="AW231" s="1802">
        <v>33578</v>
      </c>
      <c r="AX231" s="622" t="s">
        <v>63</v>
      </c>
      <c r="AZ231" s="622">
        <v>19.04</v>
      </c>
      <c r="BA231" s="625" t="s">
        <v>78</v>
      </c>
      <c r="BF231" s="1837"/>
      <c r="BG231" s="1837"/>
      <c r="BI231" s="1365"/>
      <c r="BJ231" s="1365"/>
      <c r="BK231" s="1373"/>
      <c r="BL231" s="1373"/>
      <c r="BM231" s="1373"/>
      <c r="BN231" s="1365"/>
      <c r="BO231" s="1365"/>
      <c r="BP231" s="1365"/>
      <c r="BQ231" s="1365"/>
      <c r="BR231" s="1365"/>
      <c r="BS231" s="1365"/>
    </row>
    <row r="232" spans="1:71">
      <c r="A232" s="1802">
        <v>32827</v>
      </c>
      <c r="B232" s="622" t="s">
        <v>85</v>
      </c>
      <c r="E232" s="1"/>
      <c r="F232" s="622">
        <v>108.05</v>
      </c>
      <c r="G232" s="625" t="s">
        <v>63</v>
      </c>
      <c r="L232" s="626">
        <v>601.19000000000005</v>
      </c>
      <c r="M232" s="626" t="s">
        <v>36</v>
      </c>
      <c r="Q232" s="627" t="str">
        <f t="array" ref="Q232">IFERROR(IF($Q$21="Yes",INDEX($L$23:$L$2323,SMALL(IF((County=$M$23:$M$2323),MATCH(ROW($M$23:$M$2323),ROW($M$23:$M$2323)),""),ROWS($A$23:A232))),""),"")</f>
        <v/>
      </c>
      <c r="S232" s="623">
        <v>33621</v>
      </c>
      <c r="T232" s="622" t="s">
        <v>63</v>
      </c>
      <c r="V232" s="622">
        <v>24.03</v>
      </c>
      <c r="W232" s="625" t="s">
        <v>78</v>
      </c>
      <c r="AB232" s="626">
        <v>16.010000000000002</v>
      </c>
      <c r="AC232" s="626" t="s">
        <v>70</v>
      </c>
      <c r="AE232" s="1802">
        <v>32822</v>
      </c>
      <c r="AF232" s="622" t="s">
        <v>85</v>
      </c>
      <c r="AI232" s="1376"/>
      <c r="AJ232" s="622">
        <v>41</v>
      </c>
      <c r="AK232" s="625" t="s">
        <v>63</v>
      </c>
      <c r="AP232" s="1837"/>
      <c r="AQ232" s="1837"/>
      <c r="AU232" s="627" t="str">
        <f t="array" ref="AU232">IFERROR(IF($Q$21="Yes",INDEX($AP$23:$AP$2323,SMALL(IF((County=$AQ$23:$AQ$2323),MATCH(ROW($AQ$23:$AQ$2323),ROW($AQ$23:$AQ$2323)),""),ROWS($A$23:$A232))),""),"")</f>
        <v/>
      </c>
      <c r="AW232" s="1802">
        <v>33579</v>
      </c>
      <c r="AX232" s="622" t="s">
        <v>63</v>
      </c>
      <c r="AZ232" s="622">
        <v>19.09</v>
      </c>
      <c r="BA232" s="625" t="s">
        <v>87</v>
      </c>
      <c r="BF232" s="1837"/>
      <c r="BG232" s="1837"/>
      <c r="BI232" s="1365"/>
      <c r="BJ232" s="1365"/>
      <c r="BK232" s="1373"/>
      <c r="BL232" s="1373"/>
      <c r="BM232" s="1373"/>
      <c r="BN232" s="1365"/>
      <c r="BO232" s="1365"/>
      <c r="BP232" s="1365"/>
      <c r="BQ232" s="1365"/>
      <c r="BR232" s="1365"/>
      <c r="BS232" s="1365"/>
    </row>
    <row r="233" spans="1:71">
      <c r="A233" s="1802">
        <v>32828</v>
      </c>
      <c r="B233" s="622" t="s">
        <v>85</v>
      </c>
      <c r="E233" s="1"/>
      <c r="F233" s="622">
        <v>108.08</v>
      </c>
      <c r="G233" s="625" t="s">
        <v>63</v>
      </c>
      <c r="L233" s="626">
        <v>601.20000000000005</v>
      </c>
      <c r="M233" s="626" t="s">
        <v>36</v>
      </c>
      <c r="Q233" s="627" t="str">
        <f t="array" ref="Q233">IFERROR(IF($Q$21="Yes",INDEX($L$23:$L$2323,SMALL(IF((County=$M$23:$M$2323),MATCH(ROW($M$23:$M$2323),ROW($M$23:$M$2323)),""),ROWS($A$23:A233))),""),"")</f>
        <v/>
      </c>
      <c r="S233" s="623">
        <v>33624</v>
      </c>
      <c r="T233" s="622" t="s">
        <v>63</v>
      </c>
      <c r="V233" s="622">
        <v>24.04</v>
      </c>
      <c r="W233" s="625" t="s">
        <v>78</v>
      </c>
      <c r="AB233" s="626">
        <v>16.010000000000002</v>
      </c>
      <c r="AC233" s="626" t="s">
        <v>77</v>
      </c>
      <c r="AE233" s="1802">
        <v>32824</v>
      </c>
      <c r="AF233" s="622" t="s">
        <v>85</v>
      </c>
      <c r="AI233" s="1376"/>
      <c r="AJ233" s="622">
        <v>42</v>
      </c>
      <c r="AK233" s="625" t="s">
        <v>63</v>
      </c>
      <c r="AP233" s="1837"/>
      <c r="AQ233" s="1837"/>
      <c r="AU233" s="627" t="str">
        <f t="array" ref="AU233">IFERROR(IF($Q$21="Yes",INDEX($AP$23:$AP$2323,SMALL(IF((County=$AQ$23:$AQ$2323),MATCH(ROW($AQ$23:$AQ$2323),ROW($AQ$23:$AQ$2323)),""),ROWS($A$23:$A233))),""),"")</f>
        <v/>
      </c>
      <c r="AW233" s="1802">
        <v>33584</v>
      </c>
      <c r="AX233" s="622" t="s">
        <v>63</v>
      </c>
      <c r="AZ233" s="622">
        <v>19.100000000000001</v>
      </c>
      <c r="BA233" s="625" t="s">
        <v>87</v>
      </c>
      <c r="BF233" s="1837"/>
      <c r="BG233" s="1837"/>
      <c r="BI233" s="1365"/>
      <c r="BJ233" s="1365"/>
      <c r="BK233" s="1373"/>
      <c r="BL233" s="1373"/>
      <c r="BM233" s="1373"/>
      <c r="BN233" s="1365"/>
      <c r="BO233" s="1365"/>
      <c r="BP233" s="1365"/>
      <c r="BQ233" s="1365"/>
      <c r="BR233" s="1365"/>
      <c r="BS233" s="1365"/>
    </row>
    <row r="234" spans="1:71">
      <c r="A234" s="1802">
        <v>32829</v>
      </c>
      <c r="B234" s="622" t="s">
        <v>85</v>
      </c>
      <c r="E234" s="1"/>
      <c r="F234" s="622">
        <v>108.09</v>
      </c>
      <c r="G234" s="625" t="s">
        <v>63</v>
      </c>
      <c r="L234" s="626">
        <v>601.21</v>
      </c>
      <c r="M234" s="626" t="s">
        <v>36</v>
      </c>
      <c r="Q234" s="627" t="str">
        <f t="array" ref="Q234">IFERROR(IF($Q$21="Yes",INDEX($L$23:$L$2323,SMALL(IF((County=$M$23:$M$2323),MATCH(ROW($M$23:$M$2323),ROW($M$23:$M$2323)),""),ROWS($A$23:A234))),""),"")</f>
        <v/>
      </c>
      <c r="S234" s="623">
        <v>33625</v>
      </c>
      <c r="T234" s="622" t="s">
        <v>63</v>
      </c>
      <c r="V234" s="622">
        <v>25</v>
      </c>
      <c r="W234" s="625" t="s">
        <v>63</v>
      </c>
      <c r="AB234" s="626">
        <v>16.02</v>
      </c>
      <c r="AC234" s="626" t="s">
        <v>70</v>
      </c>
      <c r="AE234" s="1802">
        <v>32827</v>
      </c>
      <c r="AF234" s="622" t="s">
        <v>85</v>
      </c>
      <c r="AI234" s="1376"/>
      <c r="AJ234" s="622">
        <v>43</v>
      </c>
      <c r="AK234" s="625" t="s">
        <v>63</v>
      </c>
      <c r="AP234" s="1837"/>
      <c r="AQ234" s="1837"/>
      <c r="AU234" s="627" t="str">
        <f t="array" ref="AU234">IFERROR(IF($Q$21="Yes",INDEX($AP$23:$AP$2323,SMALL(IF((County=$AQ$23:$AQ$2323),MATCH(ROW($AQ$23:$AQ$2323),ROW($AQ$23:$AQ$2323)),""),ROWS($A$23:$A234))),""),"")</f>
        <v/>
      </c>
      <c r="AW234" s="1802">
        <v>33594</v>
      </c>
      <c r="AX234" s="622" t="s">
        <v>63</v>
      </c>
      <c r="AZ234" s="622">
        <v>19.11</v>
      </c>
      <c r="BA234" s="625" t="s">
        <v>87</v>
      </c>
      <c r="BF234" s="1837"/>
      <c r="BG234" s="1837"/>
      <c r="BI234" s="1365"/>
      <c r="BJ234" s="1365"/>
      <c r="BK234" s="1373"/>
      <c r="BL234" s="1373"/>
      <c r="BM234" s="1373"/>
      <c r="BN234" s="1365"/>
      <c r="BO234" s="1365"/>
      <c r="BP234" s="1365"/>
      <c r="BQ234" s="1365"/>
      <c r="BR234" s="1365"/>
      <c r="BS234" s="1365"/>
    </row>
    <row r="235" spans="1:71">
      <c r="A235" s="1802">
        <v>32831</v>
      </c>
      <c r="B235" s="622" t="s">
        <v>85</v>
      </c>
      <c r="E235" s="1"/>
      <c r="F235" s="622">
        <v>108.11</v>
      </c>
      <c r="G235" s="625" t="s">
        <v>63</v>
      </c>
      <c r="L235" s="626">
        <v>601.22</v>
      </c>
      <c r="M235" s="626" t="s">
        <v>36</v>
      </c>
      <c r="Q235" s="627" t="str">
        <f t="array" ref="Q235">IFERROR(IF($Q$21="Yes",INDEX($L$23:$L$2323,SMALL(IF((County=$M$23:$M$2323),MATCH(ROW($M$23:$M$2323),ROW($M$23:$M$2323)),""),ROWS($A$23:A235))),""),"")</f>
        <v/>
      </c>
      <c r="S235" s="623">
        <v>33626</v>
      </c>
      <c r="T235" s="622" t="s">
        <v>63</v>
      </c>
      <c r="V235" s="622">
        <v>25.01</v>
      </c>
      <c r="W235" s="622" t="s">
        <v>49</v>
      </c>
      <c r="AB235" s="626">
        <v>16.02</v>
      </c>
      <c r="AC235" s="626" t="s">
        <v>71</v>
      </c>
      <c r="AE235" s="1802">
        <v>32828</v>
      </c>
      <c r="AF235" s="622" t="s">
        <v>85</v>
      </c>
      <c r="AI235" s="1376"/>
      <c r="AJ235" s="622">
        <v>44</v>
      </c>
      <c r="AK235" s="625" t="s">
        <v>63</v>
      </c>
      <c r="AP235" s="1837"/>
      <c r="AQ235" s="1837"/>
      <c r="AU235" s="627" t="str">
        <f t="array" ref="AU235">IFERROR(IF($Q$21="Yes",INDEX($AP$23:$AP$2323,SMALL(IF((County=$AQ$23:$AQ$2323),MATCH(ROW($AQ$23:$AQ$2323),ROW($AQ$23:$AQ$2323)),""),ROWS($A$23:$A235))),""),"")</f>
        <v/>
      </c>
      <c r="AW235" s="1802">
        <v>33596</v>
      </c>
      <c r="AX235" s="622" t="s">
        <v>63</v>
      </c>
      <c r="AZ235" s="622">
        <v>19.12</v>
      </c>
      <c r="BA235" s="625" t="s">
        <v>87</v>
      </c>
      <c r="BF235" s="1837"/>
      <c r="BG235" s="1837"/>
      <c r="BI235" s="1365"/>
      <c r="BJ235" s="1365"/>
      <c r="BK235" s="1373"/>
      <c r="BL235" s="1373"/>
      <c r="BM235" s="1373"/>
      <c r="BN235" s="1365"/>
      <c r="BO235" s="1365"/>
      <c r="BP235" s="1365"/>
      <c r="BQ235" s="1365"/>
      <c r="BR235" s="1365"/>
      <c r="BS235" s="1365"/>
    </row>
    <row r="236" spans="1:71">
      <c r="A236" s="1802">
        <v>32832</v>
      </c>
      <c r="B236" s="622" t="s">
        <v>85</v>
      </c>
      <c r="E236" s="1"/>
      <c r="F236" s="622">
        <v>108.12</v>
      </c>
      <c r="G236" s="625" t="s">
        <v>63</v>
      </c>
      <c r="L236" s="626">
        <v>601.25</v>
      </c>
      <c r="M236" s="626" t="s">
        <v>36</v>
      </c>
      <c r="Q236" s="627" t="str">
        <f t="array" ref="Q236">IFERROR(IF($Q$21="Yes",INDEX($L$23:$L$2323,SMALL(IF((County=$M$23:$M$2323),MATCH(ROW($M$23:$M$2323),ROW($M$23:$M$2323)),""),ROWS($A$23:A236))),""),"")</f>
        <v/>
      </c>
      <c r="S236" s="623">
        <v>33629</v>
      </c>
      <c r="T236" s="622" t="s">
        <v>63</v>
      </c>
      <c r="V236" s="622">
        <v>25.01</v>
      </c>
      <c r="W236" s="625" t="s">
        <v>78</v>
      </c>
      <c r="AB236" s="626">
        <v>16.02</v>
      </c>
      <c r="AC236" s="626" t="s">
        <v>77</v>
      </c>
      <c r="AE236" s="1802">
        <v>32829</v>
      </c>
      <c r="AF236" s="622" t="s">
        <v>85</v>
      </c>
      <c r="AI236" s="1376"/>
      <c r="AJ236" s="622">
        <v>50</v>
      </c>
      <c r="AK236" s="625" t="s">
        <v>63</v>
      </c>
      <c r="AP236" s="1837"/>
      <c r="AQ236" s="1837"/>
      <c r="AU236" s="627" t="str">
        <f t="array" ref="AU236">IFERROR(IF($Q$21="Yes",INDEX($AP$23:$AP$2323,SMALL(IF((County=$AQ$23:$AQ$2323),MATCH(ROW($AQ$23:$AQ$2323),ROW($AQ$23:$AQ$2323)),""),ROWS($A$23:$A236))),""),"")</f>
        <v/>
      </c>
      <c r="AW236" s="1802">
        <v>33602</v>
      </c>
      <c r="AX236" s="622" t="s">
        <v>63</v>
      </c>
      <c r="AZ236" s="622">
        <v>20</v>
      </c>
      <c r="BA236" s="622" t="s">
        <v>32</v>
      </c>
      <c r="BF236" s="1837"/>
      <c r="BG236" s="1837"/>
      <c r="BI236" s="1365"/>
      <c r="BJ236" s="1365"/>
      <c r="BK236" s="1373"/>
      <c r="BL236" s="1373"/>
      <c r="BM236" s="1373"/>
      <c r="BN236" s="1365"/>
      <c r="BO236" s="1365"/>
      <c r="BP236" s="1365"/>
      <c r="BQ236" s="1365"/>
      <c r="BR236" s="1365"/>
      <c r="BS236" s="1365"/>
    </row>
    <row r="237" spans="1:71">
      <c r="A237" s="1802">
        <v>32833</v>
      </c>
      <c r="B237" s="622" t="s">
        <v>85</v>
      </c>
      <c r="E237" s="1"/>
      <c r="F237" s="622">
        <v>108.13</v>
      </c>
      <c r="G237" s="625" t="s">
        <v>63</v>
      </c>
      <c r="L237" s="626">
        <v>601.26</v>
      </c>
      <c r="M237" s="626" t="s">
        <v>36</v>
      </c>
      <c r="Q237" s="627" t="str">
        <f t="array" ref="Q237">IFERROR(IF($Q$21="Yes",INDEX($L$23:$L$2323,SMALL(IF((County=$M$23:$M$2323),MATCH(ROW($M$23:$M$2323),ROW($M$23:$M$2323)),""),ROWS($A$23:A237))),""),"")</f>
        <v/>
      </c>
      <c r="S237" s="623">
        <v>33634</v>
      </c>
      <c r="T237" s="622" t="s">
        <v>63</v>
      </c>
      <c r="V237" s="622">
        <v>25.02</v>
      </c>
      <c r="W237" s="625" t="s">
        <v>78</v>
      </c>
      <c r="AB237" s="626">
        <v>16.03</v>
      </c>
      <c r="AC237" s="626" t="s">
        <v>26</v>
      </c>
      <c r="AE237" s="1802">
        <v>32831</v>
      </c>
      <c r="AF237" s="622" t="s">
        <v>85</v>
      </c>
      <c r="AI237" s="1376"/>
      <c r="AJ237" s="622">
        <v>53.02</v>
      </c>
      <c r="AK237" s="625" t="s">
        <v>63</v>
      </c>
      <c r="AP237" s="1837"/>
      <c r="AQ237" s="1837"/>
      <c r="AU237" s="627" t="str">
        <f t="array" ref="AU237">IFERROR(IF($Q$21="Yes",INDEX($AP$23:$AP$2323,SMALL(IF((County=$AQ$23:$AQ$2323),MATCH(ROW($AQ$23:$AQ$2323),ROW($AQ$23:$AQ$2323)),""),ROWS($A$23:$A237))),""),"")</f>
        <v/>
      </c>
      <c r="AW237" s="1802">
        <v>33606</v>
      </c>
      <c r="AX237" s="622" t="s">
        <v>63</v>
      </c>
      <c r="AZ237" s="622">
        <v>20</v>
      </c>
      <c r="BA237" s="625" t="s">
        <v>51</v>
      </c>
      <c r="BF237" s="1837"/>
      <c r="BG237" s="1837"/>
      <c r="BI237" s="1365"/>
      <c r="BJ237" s="1365"/>
      <c r="BK237" s="1373"/>
      <c r="BL237" s="1373"/>
      <c r="BM237" s="1373"/>
      <c r="BN237" s="1365"/>
      <c r="BO237" s="1365"/>
      <c r="BP237" s="1365"/>
      <c r="BQ237" s="1365"/>
      <c r="BR237" s="1365"/>
      <c r="BS237" s="1365"/>
    </row>
    <row r="238" spans="1:71">
      <c r="A238" s="1802">
        <v>32835</v>
      </c>
      <c r="B238" s="622" t="s">
        <v>85</v>
      </c>
      <c r="E238" s="1"/>
      <c r="F238" s="622">
        <v>108.14</v>
      </c>
      <c r="G238" s="625" t="s">
        <v>63</v>
      </c>
      <c r="L238" s="626">
        <v>602.1</v>
      </c>
      <c r="M238" s="626" t="s">
        <v>36</v>
      </c>
      <c r="Q238" s="627" t="str">
        <f t="array" ref="Q238">IFERROR(IF($Q$21="Yes",INDEX($L$23:$L$2323,SMALL(IF((County=$M$23:$M$2323),MATCH(ROW($M$23:$M$2323),ROW($M$23:$M$2323)),""),ROWS($A$23:A238))),""),"")</f>
        <v/>
      </c>
      <c r="S238" s="623">
        <v>33635</v>
      </c>
      <c r="T238" s="622" t="s">
        <v>63</v>
      </c>
      <c r="V238" s="622">
        <v>25.04</v>
      </c>
      <c r="W238" s="625" t="s">
        <v>76</v>
      </c>
      <c r="AB238" s="626">
        <v>16.03</v>
      </c>
      <c r="AC238" s="626" t="s">
        <v>78</v>
      </c>
      <c r="AE238" s="1802">
        <v>32832</v>
      </c>
      <c r="AF238" s="622" t="s">
        <v>85</v>
      </c>
      <c r="AI238" s="1376"/>
      <c r="AJ238" s="622">
        <v>70.02</v>
      </c>
      <c r="AK238" s="625" t="s">
        <v>63</v>
      </c>
      <c r="AP238" s="1837"/>
      <c r="AQ238" s="1837"/>
      <c r="AU238" s="627" t="str">
        <f t="array" ref="AU238">IFERROR(IF($Q$21="Yes",INDEX($AP$23:$AP$2323,SMALL(IF((County=$AQ$23:$AQ$2323),MATCH(ROW($AQ$23:$AQ$2323),ROW($AQ$23:$AQ$2323)),""),ROWS($A$23:$A238))),""),"")</f>
        <v/>
      </c>
      <c r="AW238" s="1802">
        <v>33607</v>
      </c>
      <c r="AX238" s="622" t="s">
        <v>63</v>
      </c>
      <c r="AZ238" s="622">
        <v>20</v>
      </c>
      <c r="BA238" s="625" t="s">
        <v>63</v>
      </c>
      <c r="BF238" s="1837"/>
      <c r="BG238" s="1837"/>
      <c r="BI238" s="1365"/>
      <c r="BJ238" s="1365"/>
      <c r="BK238" s="1373"/>
      <c r="BL238" s="1373"/>
      <c r="BM238" s="1373"/>
      <c r="BN238" s="1365"/>
      <c r="BO238" s="1365"/>
      <c r="BP238" s="1365"/>
      <c r="BQ238" s="1365"/>
      <c r="BR238" s="1365"/>
      <c r="BS238" s="1365"/>
    </row>
    <row r="239" spans="1:71">
      <c r="A239" s="1802">
        <v>32836</v>
      </c>
      <c r="B239" s="622" t="s">
        <v>85</v>
      </c>
      <c r="E239" s="1"/>
      <c r="F239" s="622">
        <v>108.15</v>
      </c>
      <c r="G239" s="625" t="s">
        <v>63</v>
      </c>
      <c r="L239" s="626">
        <v>602.12</v>
      </c>
      <c r="M239" s="626" t="s">
        <v>36</v>
      </c>
      <c r="Q239" s="627" t="str">
        <f t="array" ref="Q239">IFERROR(IF($Q$21="Yes",INDEX($L$23:$L$2323,SMALL(IF((County=$M$23:$M$2323),MATCH(ROW($M$23:$M$2323),ROW($M$23:$M$2323)),""),ROWS($A$23:A239))),""),"")</f>
        <v/>
      </c>
      <c r="S239" s="623">
        <v>33637</v>
      </c>
      <c r="T239" s="622" t="s">
        <v>63</v>
      </c>
      <c r="V239" s="622">
        <v>26</v>
      </c>
      <c r="W239" s="622" t="s">
        <v>49</v>
      </c>
      <c r="AB239" s="626">
        <v>16.04</v>
      </c>
      <c r="AC239" s="626" t="s">
        <v>26</v>
      </c>
      <c r="AE239" s="1802">
        <v>32833</v>
      </c>
      <c r="AF239" s="622" t="s">
        <v>85</v>
      </c>
      <c r="AI239" s="1376"/>
      <c r="AJ239" s="622">
        <v>102.03</v>
      </c>
      <c r="AK239" s="625" t="s">
        <v>63</v>
      </c>
      <c r="AP239" s="1837"/>
      <c r="AQ239" s="1837"/>
      <c r="AU239" s="627" t="str">
        <f t="array" ref="AU239">IFERROR(IF($Q$21="Yes",INDEX($AP$23:$AP$2323,SMALL(IF((County=$AQ$23:$AQ$2323),MATCH(ROW($AQ$23:$AQ$2323),ROW($AQ$23:$AQ$2323)),""),ROWS($A$23:$A239))),""),"")</f>
        <v/>
      </c>
      <c r="AW239" s="1802">
        <v>33609</v>
      </c>
      <c r="AX239" s="622" t="s">
        <v>63</v>
      </c>
      <c r="AZ239" s="622">
        <v>20.010000000000002</v>
      </c>
      <c r="BA239" s="625" t="s">
        <v>76</v>
      </c>
      <c r="BF239" s="1837"/>
      <c r="BG239" s="1837"/>
      <c r="BI239" s="1365"/>
      <c r="BJ239" s="1365"/>
      <c r="BK239" s="1373"/>
      <c r="BL239" s="1373"/>
      <c r="BM239" s="1373"/>
      <c r="BN239" s="1365"/>
      <c r="BO239" s="1365"/>
      <c r="BP239" s="1365"/>
      <c r="BQ239" s="1365"/>
      <c r="BR239" s="1365"/>
      <c r="BS239" s="1365"/>
    </row>
    <row r="240" spans="1:71">
      <c r="A240" s="1802">
        <v>32837</v>
      </c>
      <c r="B240" s="622" t="s">
        <v>85</v>
      </c>
      <c r="E240" s="1"/>
      <c r="F240" s="622">
        <v>108.16</v>
      </c>
      <c r="G240" s="625" t="s">
        <v>63</v>
      </c>
      <c r="L240" s="626">
        <v>603.05999999999995</v>
      </c>
      <c r="M240" s="626" t="s">
        <v>36</v>
      </c>
      <c r="Q240" s="627" t="str">
        <f t="array" ref="Q240">IFERROR(IF($Q$21="Yes",INDEX($L$23:$L$2323,SMALL(IF((County=$M$23:$M$2323),MATCH(ROW($M$23:$M$2323),ROW($M$23:$M$2323)),""),ROWS($A$23:A240))),""),"")</f>
        <v/>
      </c>
      <c r="S240" s="623">
        <v>33647</v>
      </c>
      <c r="T240" s="622" t="s">
        <v>63</v>
      </c>
      <c r="V240" s="622">
        <v>26</v>
      </c>
      <c r="W240" s="625" t="s">
        <v>63</v>
      </c>
      <c r="AB240" s="626">
        <v>17</v>
      </c>
      <c r="AC240" s="626" t="s">
        <v>63</v>
      </c>
      <c r="AE240" s="1802">
        <v>32835</v>
      </c>
      <c r="AF240" s="622" t="s">
        <v>85</v>
      </c>
      <c r="AI240" s="1376"/>
      <c r="AJ240" s="622">
        <v>102.13</v>
      </c>
      <c r="AK240" s="625" t="s">
        <v>63</v>
      </c>
      <c r="AP240" s="1837"/>
      <c r="AQ240" s="1837"/>
      <c r="AU240" s="627" t="str">
        <f t="array" ref="AU240">IFERROR(IF($Q$21="Yes",INDEX($AP$23:$AP$2323,SMALL(IF((County=$AQ$23:$AQ$2323),MATCH(ROW($AQ$23:$AQ$2323),ROW($AQ$23:$AQ$2323)),""),ROWS($A$23:$A240))),""),"")</f>
        <v/>
      </c>
      <c r="AW240" s="1802">
        <v>33611</v>
      </c>
      <c r="AX240" s="622" t="s">
        <v>63</v>
      </c>
      <c r="AZ240" s="622">
        <v>20.010000000000002</v>
      </c>
      <c r="BA240" s="625" t="s">
        <v>78</v>
      </c>
      <c r="BF240" s="1837"/>
      <c r="BG240" s="1837"/>
      <c r="BI240" s="1365"/>
      <c r="BJ240" s="1365"/>
      <c r="BK240" s="1373"/>
      <c r="BL240" s="1373"/>
      <c r="BM240" s="1373"/>
      <c r="BN240" s="1365"/>
      <c r="BO240" s="1365"/>
      <c r="BP240" s="1365"/>
      <c r="BQ240" s="1365"/>
      <c r="BR240" s="1365"/>
      <c r="BS240" s="1365"/>
    </row>
    <row r="241" spans="1:71">
      <c r="A241" s="1802">
        <v>34734</v>
      </c>
      <c r="B241" s="622" t="s">
        <v>85</v>
      </c>
      <c r="E241" s="1"/>
      <c r="F241" s="622">
        <v>108.17</v>
      </c>
      <c r="G241" s="625" t="s">
        <v>63</v>
      </c>
      <c r="L241" s="626">
        <v>605.01</v>
      </c>
      <c r="M241" s="626" t="s">
        <v>36</v>
      </c>
      <c r="Q241" s="627" t="str">
        <f t="array" ref="Q241">IFERROR(IF($Q$21="Yes",INDEX($L$23:$L$2323,SMALL(IF((County=$M$23:$M$2323),MATCH(ROW($M$23:$M$2323),ROW($M$23:$M$2323)),""),ROWS($A$23:A241))),""),"")</f>
        <v/>
      </c>
      <c r="S241" s="623">
        <v>33703</v>
      </c>
      <c r="T241" s="622" t="s">
        <v>89</v>
      </c>
      <c r="V241" s="622">
        <v>26</v>
      </c>
      <c r="W241" s="625" t="s">
        <v>78</v>
      </c>
      <c r="AB241" s="626">
        <v>17</v>
      </c>
      <c r="AC241" s="626" t="s">
        <v>71</v>
      </c>
      <c r="AE241" s="1802">
        <v>32836</v>
      </c>
      <c r="AF241" s="622" t="s">
        <v>85</v>
      </c>
      <c r="AI241" s="1376"/>
      <c r="AJ241" s="622">
        <v>105.01</v>
      </c>
      <c r="AK241" s="625" t="s">
        <v>63</v>
      </c>
      <c r="AP241" s="1837"/>
      <c r="AQ241" s="1837"/>
      <c r="AU241" s="627" t="str">
        <f t="array" ref="AU241">IFERROR(IF($Q$21="Yes",INDEX($AP$23:$AP$2323,SMALL(IF((County=$AQ$23:$AQ$2323),MATCH(ROW($AQ$23:$AQ$2323),ROW($AQ$23:$AQ$2323)),""),ROWS($A$23:$A241))),""),"")</f>
        <v/>
      </c>
      <c r="AW241" s="1802">
        <v>33615</v>
      </c>
      <c r="AX241" s="622" t="s">
        <v>63</v>
      </c>
      <c r="AZ241" s="622">
        <v>20.03</v>
      </c>
      <c r="BA241" s="625" t="s">
        <v>71</v>
      </c>
      <c r="BF241" s="1837"/>
      <c r="BG241" s="1837"/>
      <c r="BI241" s="1365"/>
      <c r="BJ241" s="1365"/>
      <c r="BK241" s="1373"/>
      <c r="BL241" s="1373"/>
      <c r="BM241" s="1373"/>
      <c r="BN241" s="1365"/>
      <c r="BO241" s="1365"/>
      <c r="BP241" s="1365"/>
      <c r="BQ241" s="1365"/>
      <c r="BR241" s="1365"/>
      <c r="BS241" s="1365"/>
    </row>
    <row r="242" spans="1:71">
      <c r="A242" s="1802">
        <v>34761</v>
      </c>
      <c r="B242" s="622" t="s">
        <v>85</v>
      </c>
      <c r="E242" s="1"/>
      <c r="F242" s="622">
        <v>108.18</v>
      </c>
      <c r="G242" s="625" t="s">
        <v>63</v>
      </c>
      <c r="L242" s="626">
        <v>605.03</v>
      </c>
      <c r="M242" s="626" t="s">
        <v>36</v>
      </c>
      <c r="Q242" s="627" t="str">
        <f t="array" ref="Q242">IFERROR(IF($Q$21="Yes",INDEX($L$23:$L$2323,SMALL(IF((County=$M$23:$M$2323),MATCH(ROW($M$23:$M$2323),ROW($M$23:$M$2323)),""),ROWS($A$23:A242))),""),"")</f>
        <v/>
      </c>
      <c r="S242" s="623">
        <v>33705</v>
      </c>
      <c r="T242" s="622" t="s">
        <v>89</v>
      </c>
      <c r="V242" s="622">
        <v>27.01</v>
      </c>
      <c r="W242" s="622" t="s">
        <v>49</v>
      </c>
      <c r="AB242" s="626">
        <v>17</v>
      </c>
      <c r="AC242" s="626" t="s">
        <v>77</v>
      </c>
      <c r="AE242" s="1802">
        <v>32837</v>
      </c>
      <c r="AF242" s="622" t="s">
        <v>85</v>
      </c>
      <c r="AI242" s="1376"/>
      <c r="AJ242" s="622">
        <v>108.05</v>
      </c>
      <c r="AK242" s="625" t="s">
        <v>63</v>
      </c>
      <c r="AP242" s="1837"/>
      <c r="AQ242" s="1837"/>
      <c r="AU242" s="627" t="str">
        <f t="array" ref="AU242">IFERROR(IF($Q$21="Yes",INDEX($AP$23:$AP$2323,SMALL(IF((County=$AQ$23:$AQ$2323),MATCH(ROW($AQ$23:$AQ$2323),ROW($AQ$23:$AQ$2323)),""),ROWS($A$23:$A242))),""),"")</f>
        <v/>
      </c>
      <c r="AW242" s="1802">
        <v>33616</v>
      </c>
      <c r="AX242" s="622" t="s">
        <v>63</v>
      </c>
      <c r="AZ242" s="622">
        <v>20.03</v>
      </c>
      <c r="BA242" s="625" t="s">
        <v>78</v>
      </c>
      <c r="BF242" s="1837"/>
      <c r="BG242" s="1837"/>
      <c r="BI242" s="1365"/>
      <c r="BJ242" s="1365"/>
      <c r="BK242" s="1373"/>
      <c r="BL242" s="1373"/>
      <c r="BM242" s="1373"/>
      <c r="BN242" s="1365"/>
      <c r="BO242" s="1365"/>
      <c r="BP242" s="1365"/>
      <c r="BQ242" s="1365"/>
      <c r="BR242" s="1365"/>
      <c r="BS242" s="1365"/>
    </row>
    <row r="243" spans="1:71">
      <c r="A243" s="1802">
        <v>34786</v>
      </c>
      <c r="B243" s="622" t="s">
        <v>85</v>
      </c>
      <c r="E243" s="1"/>
      <c r="F243" s="622">
        <v>110.1</v>
      </c>
      <c r="G243" s="625" t="s">
        <v>63</v>
      </c>
      <c r="L243" s="626">
        <v>605.04</v>
      </c>
      <c r="M243" s="626" t="s">
        <v>36</v>
      </c>
      <c r="Q243" s="627" t="str">
        <f t="array" ref="Q243">IFERROR(IF($Q$21="Yes",INDEX($L$23:$L$2323,SMALL(IF((County=$M$23:$M$2323),MATCH(ROW($M$23:$M$2323),ROW($M$23:$M$2323)),""),ROWS($A$23:A243))),""),"")</f>
        <v/>
      </c>
      <c r="S243" s="623">
        <v>33706</v>
      </c>
      <c r="T243" s="622" t="s">
        <v>89</v>
      </c>
      <c r="V243" s="622">
        <v>27.02</v>
      </c>
      <c r="W243" s="622" t="s">
        <v>49</v>
      </c>
      <c r="AB243" s="626">
        <v>17.010000000000002</v>
      </c>
      <c r="AC243" s="626" t="s">
        <v>26</v>
      </c>
      <c r="AE243" s="1802">
        <v>34734</v>
      </c>
      <c r="AF243" s="622" t="s">
        <v>85</v>
      </c>
      <c r="AI243" s="1376"/>
      <c r="AJ243" s="622">
        <v>108.08</v>
      </c>
      <c r="AK243" s="625" t="s">
        <v>63</v>
      </c>
      <c r="AP243" s="1837"/>
      <c r="AQ243" s="1837"/>
      <c r="AU243" s="627" t="str">
        <f t="array" ref="AU243">IFERROR(IF($Q$21="Yes",INDEX($AP$23:$AP$2323,SMALL(IF((County=$AQ$23:$AQ$2323),MATCH(ROW($AQ$23:$AQ$2323),ROW($AQ$23:$AQ$2323)),""),ROWS($A$23:$A243))),""),"")</f>
        <v/>
      </c>
      <c r="AW243" s="1802">
        <v>33621</v>
      </c>
      <c r="AX243" s="622" t="s">
        <v>63</v>
      </c>
      <c r="AZ243" s="622">
        <v>20.04</v>
      </c>
      <c r="BA243" s="625" t="s">
        <v>78</v>
      </c>
      <c r="BF243" s="1837"/>
      <c r="BG243" s="1837"/>
      <c r="BI243" s="1365"/>
      <c r="BJ243" s="1365"/>
      <c r="BK243" s="1373"/>
      <c r="BL243" s="1373"/>
      <c r="BM243" s="1373"/>
      <c r="BN243" s="1365"/>
      <c r="BO243" s="1365"/>
      <c r="BP243" s="1365"/>
      <c r="BQ243" s="1365"/>
      <c r="BR243" s="1365"/>
      <c r="BS243" s="1365"/>
    </row>
    <row r="244" spans="1:71">
      <c r="A244" s="1802">
        <v>33848</v>
      </c>
      <c r="B244" s="622" t="s">
        <v>86</v>
      </c>
      <c r="E244" s="1"/>
      <c r="F244" s="622">
        <v>112.06</v>
      </c>
      <c r="G244" s="625" t="s">
        <v>63</v>
      </c>
      <c r="L244" s="626">
        <v>606.03</v>
      </c>
      <c r="M244" s="626" t="s">
        <v>36</v>
      </c>
      <c r="Q244" s="627" t="str">
        <f t="array" ref="Q244">IFERROR(IF($Q$21="Yes",INDEX($L$23:$L$2323,SMALL(IF((County=$M$23:$M$2323),MATCH(ROW($M$23:$M$2323),ROW($M$23:$M$2323)),""),ROWS($A$23:A244))),""),"")</f>
        <v/>
      </c>
      <c r="S244" s="623">
        <v>33707</v>
      </c>
      <c r="T244" s="622" t="s">
        <v>89</v>
      </c>
      <c r="V244" s="622">
        <v>27.03</v>
      </c>
      <c r="W244" s="625" t="s">
        <v>51</v>
      </c>
      <c r="AB244" s="626">
        <v>17.010000000000002</v>
      </c>
      <c r="AC244" s="626" t="s">
        <v>70</v>
      </c>
      <c r="AE244" s="1802">
        <v>34760</v>
      </c>
      <c r="AF244" s="622" t="s">
        <v>85</v>
      </c>
      <c r="AI244" s="1376"/>
      <c r="AJ244" s="622">
        <v>108.09</v>
      </c>
      <c r="AK244" s="625" t="s">
        <v>63</v>
      </c>
      <c r="AP244" s="1837"/>
      <c r="AQ244" s="1837"/>
      <c r="AU244" s="627" t="str">
        <f t="array" ref="AU244">IFERROR(IF($Q$21="Yes",INDEX($AP$23:$AP$2323,SMALL(IF((County=$AQ$23:$AQ$2323),MATCH(ROW($AQ$23:$AQ$2323),ROW($AQ$23:$AQ$2323)),""),ROWS($A$23:$A244))),""),"")</f>
        <v/>
      </c>
      <c r="AW244" s="1802">
        <v>33624</v>
      </c>
      <c r="AX244" s="622" t="s">
        <v>63</v>
      </c>
      <c r="AZ244" s="622">
        <v>20.05</v>
      </c>
      <c r="BA244" s="625" t="s">
        <v>71</v>
      </c>
      <c r="BF244" s="1837"/>
      <c r="BG244" s="1837"/>
      <c r="BI244" s="1365"/>
      <c r="BJ244" s="1365"/>
      <c r="BK244" s="1373"/>
      <c r="BL244" s="1373"/>
      <c r="BM244" s="1373"/>
      <c r="BN244" s="1365"/>
      <c r="BO244" s="1365"/>
      <c r="BP244" s="1365"/>
      <c r="BQ244" s="1365"/>
      <c r="BR244" s="1365"/>
      <c r="BS244" s="1365"/>
    </row>
    <row r="245" spans="1:71">
      <c r="A245" s="1802">
        <v>34743</v>
      </c>
      <c r="B245" s="622" t="s">
        <v>86</v>
      </c>
      <c r="E245" s="1"/>
      <c r="F245" s="622">
        <v>116.1</v>
      </c>
      <c r="G245" s="625" t="s">
        <v>63</v>
      </c>
      <c r="L245" s="626">
        <v>606.04999999999995</v>
      </c>
      <c r="M245" s="626" t="s">
        <v>36</v>
      </c>
      <c r="Q245" s="627" t="str">
        <f t="array" ref="Q245">IFERROR(IF($Q$21="Yes",INDEX($L$23:$L$2323,SMALL(IF((County=$M$23:$M$2323),MATCH(ROW($M$23:$M$2323),ROW($M$23:$M$2323)),""),ROWS($A$23:A245))),""),"")</f>
        <v/>
      </c>
      <c r="S245" s="623">
        <v>33708</v>
      </c>
      <c r="T245" s="622" t="s">
        <v>89</v>
      </c>
      <c r="V245" s="622">
        <v>28</v>
      </c>
      <c r="W245" s="625" t="s">
        <v>78</v>
      </c>
      <c r="AB245" s="626">
        <v>17.010000000000002</v>
      </c>
      <c r="AC245" s="626" t="s">
        <v>75</v>
      </c>
      <c r="AE245" s="1802">
        <v>34761</v>
      </c>
      <c r="AF245" s="622" t="s">
        <v>85</v>
      </c>
      <c r="AI245" s="1376"/>
      <c r="AJ245" s="622">
        <v>108.11</v>
      </c>
      <c r="AK245" s="625" t="s">
        <v>63</v>
      </c>
      <c r="AP245" s="1837"/>
      <c r="AQ245" s="1837"/>
      <c r="AU245" s="627" t="str">
        <f t="array" ref="AU245">IFERROR(IF($Q$21="Yes",INDEX($AP$23:$AP$2323,SMALL(IF((County=$AQ$23:$AQ$2323),MATCH(ROW($AQ$23:$AQ$2323),ROW($AQ$23:$AQ$2323)),""),ROWS($A$23:$A245))),""),"")</f>
        <v/>
      </c>
      <c r="AW245" s="1802">
        <v>33625</v>
      </c>
      <c r="AX245" s="622" t="s">
        <v>63</v>
      </c>
      <c r="AZ245" s="622">
        <v>20.059999999999999</v>
      </c>
      <c r="BA245" s="625" t="s">
        <v>71</v>
      </c>
      <c r="BF245" s="1837"/>
      <c r="BG245" s="1837"/>
      <c r="BI245" s="1365"/>
      <c r="BJ245" s="1365"/>
      <c r="BK245" s="1365"/>
      <c r="BL245" s="1365"/>
      <c r="BM245" s="1373"/>
      <c r="BN245" s="1365"/>
      <c r="BO245" s="1365"/>
      <c r="BP245" s="1365"/>
      <c r="BQ245" s="1365"/>
      <c r="BR245" s="1365"/>
      <c r="BS245" s="1365"/>
    </row>
    <row r="246" spans="1:71">
      <c r="A246" s="1802">
        <v>34744</v>
      </c>
      <c r="B246" s="622" t="s">
        <v>86</v>
      </c>
      <c r="E246" s="1"/>
      <c r="F246" s="622">
        <v>116.14</v>
      </c>
      <c r="G246" s="625" t="s">
        <v>63</v>
      </c>
      <c r="L246" s="626">
        <v>606.07000000000005</v>
      </c>
      <c r="M246" s="626" t="s">
        <v>36</v>
      </c>
      <c r="Q246" s="627" t="str">
        <f t="array" ref="Q246">IFERROR(IF($Q$21="Yes",INDEX($L$23:$L$2323,SMALL(IF((County=$M$23:$M$2323),MATCH(ROW($M$23:$M$2323),ROW($M$23:$M$2323)),""),ROWS($A$23:A246))),""),"")</f>
        <v/>
      </c>
      <c r="S246" s="623">
        <v>33711</v>
      </c>
      <c r="T246" s="622" t="s">
        <v>89</v>
      </c>
      <c r="V246" s="622">
        <v>28.01</v>
      </c>
      <c r="W246" s="622" t="s">
        <v>49</v>
      </c>
      <c r="AB246" s="626">
        <v>17.02</v>
      </c>
      <c r="AC246" s="626" t="s">
        <v>26</v>
      </c>
      <c r="AE246" s="1802">
        <v>34786</v>
      </c>
      <c r="AF246" s="622" t="s">
        <v>85</v>
      </c>
      <c r="AI246" s="1376"/>
      <c r="AJ246" s="622">
        <v>108.14</v>
      </c>
      <c r="AK246" s="625" t="s">
        <v>63</v>
      </c>
      <c r="AP246" s="1837"/>
      <c r="AQ246" s="1837"/>
      <c r="AU246" s="627" t="str">
        <f t="array" ref="AU246">IFERROR(IF($Q$21="Yes",INDEX($AP$23:$AP$2323,SMALL(IF((County=$AQ$23:$AQ$2323),MATCH(ROW($AQ$23:$AQ$2323),ROW($AQ$23:$AQ$2323)),""),ROWS($A$23:$A246))),""),"")</f>
        <v/>
      </c>
      <c r="AW246" s="1802">
        <v>33626</v>
      </c>
      <c r="AX246" s="622" t="s">
        <v>63</v>
      </c>
      <c r="AZ246" s="622">
        <v>20.07</v>
      </c>
      <c r="BA246" s="625" t="s">
        <v>71</v>
      </c>
      <c r="BF246" s="1837"/>
      <c r="BG246" s="1837"/>
      <c r="BI246" s="1365"/>
      <c r="BJ246" s="1365"/>
      <c r="BK246" s="1365"/>
      <c r="BL246" s="1365"/>
      <c r="BM246" s="1365"/>
      <c r="BN246" s="1365"/>
      <c r="BO246" s="1365"/>
      <c r="BP246" s="1365"/>
      <c r="BQ246" s="1365"/>
      <c r="BR246" s="1365"/>
      <c r="BS246" s="1365"/>
    </row>
    <row r="247" spans="1:71">
      <c r="A247" s="1802">
        <v>34746</v>
      </c>
      <c r="B247" s="622" t="s">
        <v>86</v>
      </c>
      <c r="E247" s="1"/>
      <c r="F247" s="622">
        <v>116.15</v>
      </c>
      <c r="G247" s="625" t="s">
        <v>63</v>
      </c>
      <c r="L247" s="626">
        <v>606.08000000000004</v>
      </c>
      <c r="M247" s="626" t="s">
        <v>36</v>
      </c>
      <c r="Q247" s="627" t="str">
        <f t="array" ref="Q247">IFERROR(IF($Q$21="Yes",INDEX($L$23:$L$2323,SMALL(IF((County=$M$23:$M$2323),MATCH(ROW($M$23:$M$2323),ROW($M$23:$M$2323)),""),ROWS($A$23:A247))),""),"")</f>
        <v/>
      </c>
      <c r="S247" s="623">
        <v>33713</v>
      </c>
      <c r="T247" s="622" t="s">
        <v>89</v>
      </c>
      <c r="V247" s="622">
        <v>28.02</v>
      </c>
      <c r="W247" s="622" t="s">
        <v>49</v>
      </c>
      <c r="AB247" s="626">
        <v>17.02</v>
      </c>
      <c r="AC247" s="626" t="s">
        <v>96</v>
      </c>
      <c r="AE247" s="1802">
        <v>33848</v>
      </c>
      <c r="AF247" s="622" t="s">
        <v>86</v>
      </c>
      <c r="AI247" s="1376"/>
      <c r="AJ247" s="622">
        <v>108.15</v>
      </c>
      <c r="AK247" s="625" t="s">
        <v>63</v>
      </c>
      <c r="AP247" s="1837"/>
      <c r="AQ247" s="1837"/>
      <c r="AU247" s="627" t="str">
        <f t="array" ref="AU247">IFERROR(IF($Q$21="Yes",INDEX($AP$23:$AP$2323,SMALL(IF((County=$AQ$23:$AQ$2323),MATCH(ROW($AQ$23:$AQ$2323),ROW($AQ$23:$AQ$2323)),""),ROWS($A$23:$A247))),""),"")</f>
        <v/>
      </c>
      <c r="AW247" s="1802">
        <v>33629</v>
      </c>
      <c r="AX247" s="622" t="s">
        <v>63</v>
      </c>
      <c r="AZ247" s="622">
        <v>20.079999999999998</v>
      </c>
      <c r="BA247" s="625" t="s">
        <v>71</v>
      </c>
      <c r="BF247" s="1837"/>
      <c r="BG247" s="1837"/>
      <c r="BI247" s="1365"/>
      <c r="BJ247" s="1365"/>
      <c r="BK247" s="1365"/>
      <c r="BL247" s="1365"/>
      <c r="BM247" s="1365"/>
      <c r="BN247" s="1365"/>
      <c r="BO247" s="1365"/>
      <c r="BP247" s="1365"/>
      <c r="BQ247" s="1365"/>
      <c r="BR247" s="1365"/>
      <c r="BS247" s="1365"/>
    </row>
    <row r="248" spans="1:71">
      <c r="A248" s="1802">
        <v>34747</v>
      </c>
      <c r="B248" s="622" t="s">
        <v>86</v>
      </c>
      <c r="E248" s="1"/>
      <c r="F248" s="622">
        <v>119.04</v>
      </c>
      <c r="G248" s="625" t="s">
        <v>63</v>
      </c>
      <c r="L248" s="626">
        <v>606.09</v>
      </c>
      <c r="M248" s="626" t="s">
        <v>36</v>
      </c>
      <c r="Q248" s="627" t="str">
        <f t="array" ref="Q248">IFERROR(IF($Q$21="Yes",INDEX($L$23:$L$2323,SMALL(IF((County=$M$23:$M$2323),MATCH(ROW($M$23:$M$2323),ROW($M$23:$M$2323)),""),ROWS($A$23:A248))),""),"")</f>
        <v/>
      </c>
      <c r="S248" s="623">
        <v>33715</v>
      </c>
      <c r="T248" s="622" t="s">
        <v>89</v>
      </c>
      <c r="V248" s="622">
        <v>29</v>
      </c>
      <c r="W248" s="625" t="s">
        <v>51</v>
      </c>
      <c r="AB248" s="626">
        <v>17.03</v>
      </c>
      <c r="AC248" s="626" t="s">
        <v>70</v>
      </c>
      <c r="AE248" s="1802">
        <v>34743</v>
      </c>
      <c r="AF248" s="622" t="s">
        <v>86</v>
      </c>
      <c r="AI248" s="1376"/>
      <c r="AJ248" s="622">
        <v>108.16</v>
      </c>
      <c r="AK248" s="625" t="s">
        <v>63</v>
      </c>
      <c r="AP248" s="1837"/>
      <c r="AQ248" s="1837"/>
      <c r="AU248" s="627" t="str">
        <f t="array" ref="AU248">IFERROR(IF($Q$21="Yes",INDEX($AP$23:$AP$2323,SMALL(IF((County=$AQ$23:$AQ$2323),MATCH(ROW($AQ$23:$AQ$2323),ROW($AQ$23:$AQ$2323)),""),ROWS($A$23:$A248))),""),"")</f>
        <v/>
      </c>
      <c r="AW248" s="1802">
        <v>33634</v>
      </c>
      <c r="AX248" s="622" t="s">
        <v>63</v>
      </c>
      <c r="AZ248" s="622">
        <v>21</v>
      </c>
      <c r="BA248" s="625" t="s">
        <v>51</v>
      </c>
      <c r="BF248" s="1837"/>
      <c r="BG248" s="1837"/>
      <c r="BI248" s="1365"/>
      <c r="BJ248" s="1365"/>
      <c r="BK248" s="1365"/>
      <c r="BL248" s="1365"/>
      <c r="BM248" s="1365"/>
      <c r="BN248" s="1365"/>
      <c r="BO248" s="1365"/>
      <c r="BP248" s="1365"/>
      <c r="BQ248" s="1365"/>
      <c r="BR248" s="1365"/>
      <c r="BS248" s="1365"/>
    </row>
    <row r="249" spans="1:71">
      <c r="A249" s="1802">
        <v>34758</v>
      </c>
      <c r="B249" s="622" t="s">
        <v>86</v>
      </c>
      <c r="E249" s="1"/>
      <c r="F249" s="622">
        <v>119.05</v>
      </c>
      <c r="G249" s="625" t="s">
        <v>63</v>
      </c>
      <c r="L249" s="626">
        <v>607</v>
      </c>
      <c r="M249" s="626" t="s">
        <v>36</v>
      </c>
      <c r="Q249" s="627" t="str">
        <f t="array" ref="Q249">IFERROR(IF($Q$21="Yes",INDEX($L$23:$L$2323,SMALL(IF((County=$M$23:$M$2323),MATCH(ROW($M$23:$M$2323),ROW($M$23:$M$2323)),""),ROWS($A$23:A249))),""),"")</f>
        <v/>
      </c>
      <c r="S249" s="623">
        <v>33716</v>
      </c>
      <c r="T249" s="622" t="s">
        <v>89</v>
      </c>
      <c r="V249" s="622">
        <v>29</v>
      </c>
      <c r="W249" s="625" t="s">
        <v>78</v>
      </c>
      <c r="AB249" s="626">
        <v>17.03</v>
      </c>
      <c r="AC249" s="626" t="s">
        <v>75</v>
      </c>
      <c r="AE249" s="1802">
        <v>34744</v>
      </c>
      <c r="AF249" s="622" t="s">
        <v>86</v>
      </c>
      <c r="AI249" s="1376"/>
      <c r="AJ249" s="622">
        <v>108.17</v>
      </c>
      <c r="AK249" s="625" t="s">
        <v>63</v>
      </c>
      <c r="AP249" s="1837"/>
      <c r="AQ249" s="1837"/>
      <c r="AU249" s="627" t="str">
        <f t="array" ref="AU249">IFERROR(IF($Q$21="Yes",INDEX($AP$23:$AP$2323,SMALL(IF((County=$AQ$23:$AQ$2323),MATCH(ROW($AQ$23:$AQ$2323),ROW($AQ$23:$AQ$2323)),""),ROWS($A$23:$A249))),""),"")</f>
        <v/>
      </c>
      <c r="AW249" s="1802">
        <v>33635</v>
      </c>
      <c r="AX249" s="622" t="s">
        <v>63</v>
      </c>
      <c r="AZ249" s="622">
        <v>21</v>
      </c>
      <c r="BA249" s="622" t="s">
        <v>87</v>
      </c>
      <c r="BF249" s="1837"/>
      <c r="BG249" s="1837"/>
      <c r="BI249" s="1365"/>
      <c r="BJ249" s="1365"/>
      <c r="BK249" s="1365"/>
      <c r="BL249" s="1365"/>
      <c r="BM249" s="1365"/>
      <c r="BN249" s="1365"/>
      <c r="BO249" s="1365"/>
      <c r="BP249" s="1365"/>
      <c r="BQ249" s="1365"/>
      <c r="BR249" s="1365"/>
      <c r="BS249" s="1365"/>
    </row>
    <row r="250" spans="1:71">
      <c r="A250" s="1802">
        <v>34771</v>
      </c>
      <c r="B250" s="622" t="s">
        <v>86</v>
      </c>
      <c r="E250" s="1"/>
      <c r="F250" s="622">
        <v>120.02</v>
      </c>
      <c r="G250" s="625" t="s">
        <v>63</v>
      </c>
      <c r="L250" s="626">
        <v>609</v>
      </c>
      <c r="M250" s="626" t="s">
        <v>36</v>
      </c>
      <c r="Q250" s="627" t="str">
        <f t="array" ref="Q250">IFERROR(IF($Q$21="Yes",INDEX($L$23:$L$2323,SMALL(IF((County=$M$23:$M$2323),MATCH(ROW($M$23:$M$2323),ROW($M$23:$M$2323)),""),ROWS($A$23:A250))),""),"")</f>
        <v/>
      </c>
      <c r="S250" s="623">
        <v>33744</v>
      </c>
      <c r="T250" s="622" t="s">
        <v>89</v>
      </c>
      <c r="V250" s="622">
        <v>29</v>
      </c>
      <c r="W250" s="625" t="s">
        <v>87</v>
      </c>
      <c r="AB250" s="626">
        <v>17.04</v>
      </c>
      <c r="AC250" s="626" t="s">
        <v>75</v>
      </c>
      <c r="AE250" s="1802">
        <v>34746</v>
      </c>
      <c r="AF250" s="622" t="s">
        <v>86</v>
      </c>
      <c r="AI250" s="1376"/>
      <c r="AJ250" s="622">
        <v>108.19</v>
      </c>
      <c r="AK250" s="625" t="s">
        <v>63</v>
      </c>
      <c r="AP250" s="1837"/>
      <c r="AQ250" s="1837"/>
      <c r="AU250" s="627" t="str">
        <f t="array" ref="AU250">IFERROR(IF($Q$21="Yes",INDEX($AP$23:$AP$2323,SMALL(IF((County=$AQ$23:$AQ$2323),MATCH(ROW($AQ$23:$AQ$2323),ROW($AQ$23:$AQ$2323)),""),ROWS($A$23:$A250))),""),"")</f>
        <v/>
      </c>
      <c r="AW250" s="1802">
        <v>33647</v>
      </c>
      <c r="AX250" s="622" t="s">
        <v>63</v>
      </c>
      <c r="AZ250" s="622">
        <v>21.03</v>
      </c>
      <c r="BA250" s="625" t="s">
        <v>71</v>
      </c>
      <c r="BF250" s="1837"/>
      <c r="BG250" s="1837"/>
      <c r="BI250" s="1365"/>
      <c r="BJ250" s="1365"/>
      <c r="BK250" s="1365"/>
      <c r="BL250" s="1365"/>
      <c r="BM250" s="1365"/>
      <c r="BN250" s="1365"/>
      <c r="BO250" s="1365"/>
      <c r="BP250" s="1365"/>
      <c r="BQ250" s="1365"/>
      <c r="BR250" s="1365"/>
      <c r="BS250" s="1365"/>
    </row>
    <row r="251" spans="1:71">
      <c r="A251" s="1802">
        <v>34772</v>
      </c>
      <c r="B251" s="622" t="s">
        <v>86</v>
      </c>
      <c r="E251" s="1"/>
      <c r="F251" s="622">
        <v>121.03</v>
      </c>
      <c r="G251" s="625" t="s">
        <v>63</v>
      </c>
      <c r="L251" s="626">
        <v>610.01</v>
      </c>
      <c r="M251" s="626" t="s">
        <v>36</v>
      </c>
      <c r="Q251" s="627" t="str">
        <f t="array" ref="Q251">IFERROR(IF($Q$21="Yes",INDEX($L$23:$L$2323,SMALL(IF((County=$M$23:$M$2323),MATCH(ROW($M$23:$M$2323),ROW($M$23:$M$2323)),""),ROWS($A$23:A251))),""),"")</f>
        <v/>
      </c>
      <c r="S251" s="623">
        <v>33759</v>
      </c>
      <c r="T251" s="622" t="s">
        <v>89</v>
      </c>
      <c r="V251" s="622">
        <v>29.01</v>
      </c>
      <c r="W251" s="622" t="s">
        <v>49</v>
      </c>
      <c r="AB251" s="626">
        <v>17.04</v>
      </c>
      <c r="AC251" s="626" t="s">
        <v>96</v>
      </c>
      <c r="AE251" s="1802">
        <v>34747</v>
      </c>
      <c r="AF251" s="622" t="s">
        <v>86</v>
      </c>
      <c r="AI251" s="1376"/>
      <c r="AJ251" s="622">
        <v>108.2</v>
      </c>
      <c r="AK251" s="625" t="s">
        <v>63</v>
      </c>
      <c r="AP251" s="1837"/>
      <c r="AQ251" s="1837"/>
      <c r="AU251" s="627" t="str">
        <f t="array" ref="AU251">IFERROR(IF($Q$21="Yes",INDEX($AP$23:$AP$2323,SMALL(IF((County=$AQ$23:$AQ$2323),MATCH(ROW($AQ$23:$AQ$2323),ROW($AQ$23:$AQ$2323)),""),ROWS($A$23:$A251))),""),"")</f>
        <v/>
      </c>
      <c r="AW251" s="1802">
        <v>33703</v>
      </c>
      <c r="AX251" s="622" t="s">
        <v>89</v>
      </c>
      <c r="AZ251" s="622">
        <v>21.05</v>
      </c>
      <c r="BA251" s="625" t="s">
        <v>71</v>
      </c>
      <c r="BF251" s="1837"/>
      <c r="BG251" s="1837"/>
      <c r="BI251" s="1365"/>
      <c r="BJ251" s="1365"/>
      <c r="BK251" s="1365"/>
      <c r="BL251" s="1365"/>
      <c r="BM251" s="1365"/>
      <c r="BN251" s="1365"/>
      <c r="BO251" s="1365"/>
      <c r="BP251" s="1365"/>
      <c r="BQ251" s="1365"/>
      <c r="BR251" s="1365"/>
      <c r="BS251" s="1365"/>
    </row>
    <row r="252" spans="1:71">
      <c r="A252" s="1802">
        <v>33410</v>
      </c>
      <c r="B252" s="622" t="s">
        <v>87</v>
      </c>
      <c r="E252" s="1"/>
      <c r="F252" s="622">
        <v>121.04</v>
      </c>
      <c r="G252" s="625" t="s">
        <v>63</v>
      </c>
      <c r="L252" s="626">
        <v>610.02</v>
      </c>
      <c r="M252" s="626" t="s">
        <v>36</v>
      </c>
      <c r="Q252" s="627" t="str">
        <f t="array" ref="Q252">IFERROR(IF($Q$21="Yes",INDEX($L$23:$L$2323,SMALL(IF((County=$M$23:$M$2323),MATCH(ROW($M$23:$M$2323),ROW($M$23:$M$2323)),""),ROWS($A$23:A252))),""),"")</f>
        <v/>
      </c>
      <c r="S252" s="623">
        <v>33762</v>
      </c>
      <c r="T252" s="622" t="s">
        <v>89</v>
      </c>
      <c r="V252" s="622">
        <v>29.02</v>
      </c>
      <c r="W252" s="622" t="s">
        <v>49</v>
      </c>
      <c r="AB252" s="626">
        <v>17.05</v>
      </c>
      <c r="AC252" s="626" t="s">
        <v>70</v>
      </c>
      <c r="AE252" s="1802">
        <v>34758</v>
      </c>
      <c r="AF252" s="622" t="s">
        <v>86</v>
      </c>
      <c r="AI252" s="1376"/>
      <c r="AJ252" s="622">
        <v>108.21</v>
      </c>
      <c r="AK252" s="625" t="s">
        <v>63</v>
      </c>
      <c r="AP252" s="1837"/>
      <c r="AQ252" s="1837"/>
      <c r="AU252" s="627" t="str">
        <f t="array" ref="AU252">IFERROR(IF($Q$21="Yes",INDEX($AP$23:$AP$2323,SMALL(IF((County=$AQ$23:$AQ$2323),MATCH(ROW($AQ$23:$AQ$2323),ROW($AQ$23:$AQ$2323)),""),ROWS($A$23:$A252))),""),"")</f>
        <v/>
      </c>
      <c r="AW252" s="1802">
        <v>33705</v>
      </c>
      <c r="AX252" s="622" t="s">
        <v>89</v>
      </c>
      <c r="AZ252" s="622">
        <v>21.06</v>
      </c>
      <c r="BA252" s="625" t="s">
        <v>71</v>
      </c>
      <c r="BF252" s="1837"/>
      <c r="BG252" s="1837"/>
      <c r="BI252" s="1365"/>
      <c r="BJ252" s="1365"/>
      <c r="BK252" s="1365"/>
      <c r="BL252" s="1365"/>
      <c r="BM252" s="1365"/>
      <c r="BN252" s="1365"/>
      <c r="BO252" s="1365"/>
      <c r="BP252" s="1365"/>
      <c r="BQ252" s="1365"/>
      <c r="BR252" s="1365"/>
      <c r="BS252" s="1365"/>
    </row>
    <row r="253" spans="1:71">
      <c r="A253" s="1802">
        <v>33412</v>
      </c>
      <c r="B253" s="622" t="s">
        <v>87</v>
      </c>
      <c r="E253" s="1"/>
      <c r="F253" s="622">
        <v>122.11</v>
      </c>
      <c r="G253" s="625" t="s">
        <v>63</v>
      </c>
      <c r="L253" s="626">
        <v>702.05</v>
      </c>
      <c r="M253" s="626" t="s">
        <v>36</v>
      </c>
      <c r="Q253" s="627" t="str">
        <f t="array" ref="Q253">IFERROR(IF($Q$21="Yes",INDEX($L$23:$L$2323,SMALL(IF((County=$M$23:$M$2323),MATCH(ROW($M$23:$M$2323),ROW($M$23:$M$2323)),""),ROWS($A$23:A253))),""),"")</f>
        <v/>
      </c>
      <c r="S253" s="623">
        <v>33767</v>
      </c>
      <c r="T253" s="622" t="s">
        <v>89</v>
      </c>
      <c r="V253" s="622">
        <v>30</v>
      </c>
      <c r="W253" s="625" t="s">
        <v>63</v>
      </c>
      <c r="AB253" s="626">
        <v>17.059999999999999</v>
      </c>
      <c r="AC253" s="626" t="s">
        <v>70</v>
      </c>
      <c r="AE253" s="1802">
        <v>34772</v>
      </c>
      <c r="AF253" s="622" t="s">
        <v>86</v>
      </c>
      <c r="AI253" s="1376"/>
      <c r="AJ253" s="622">
        <v>108.22</v>
      </c>
      <c r="AK253" s="625" t="s">
        <v>63</v>
      </c>
      <c r="AP253" s="1837"/>
      <c r="AQ253" s="1837"/>
      <c r="AU253" s="627" t="str">
        <f t="array" ref="AU253">IFERROR(IF($Q$21="Yes",INDEX($AP$23:$AP$2323,SMALL(IF((County=$AQ$23:$AQ$2323),MATCH(ROW($AQ$23:$AQ$2323),ROW($AQ$23:$AQ$2323)),""),ROWS($A$23:$A253))),""),"")</f>
        <v/>
      </c>
      <c r="AW253" s="1802">
        <v>33706</v>
      </c>
      <c r="AX253" s="622" t="s">
        <v>89</v>
      </c>
      <c r="AZ253" s="622">
        <v>22</v>
      </c>
      <c r="BA253" s="625" t="s">
        <v>32</v>
      </c>
      <c r="BF253" s="1837"/>
      <c r="BG253" s="1837"/>
      <c r="BI253" s="1365"/>
      <c r="BJ253" s="1365"/>
      <c r="BK253" s="1365"/>
      <c r="BL253" s="1365"/>
      <c r="BM253" s="1365"/>
      <c r="BN253" s="1365"/>
      <c r="BO253" s="1365"/>
      <c r="BP253" s="1365"/>
      <c r="BQ253" s="1365"/>
      <c r="BR253" s="1365"/>
      <c r="BS253" s="1365"/>
    </row>
    <row r="254" spans="1:71">
      <c r="A254" s="1802">
        <v>33413</v>
      </c>
      <c r="B254" s="622" t="s">
        <v>87</v>
      </c>
      <c r="E254" s="1"/>
      <c r="F254" s="622">
        <v>122.12</v>
      </c>
      <c r="G254" s="625" t="s">
        <v>63</v>
      </c>
      <c r="L254" s="626">
        <v>702.07</v>
      </c>
      <c r="M254" s="626" t="s">
        <v>36</v>
      </c>
      <c r="Q254" s="627" t="str">
        <f t="array" ref="Q254">IFERROR(IF($Q$21="Yes",INDEX($L$23:$L$2323,SMALL(IF((County=$M$23:$M$2323),MATCH(ROW($M$23:$M$2323),ROW($M$23:$M$2323)),""),ROWS($A$23:A254))),""),"")</f>
        <v/>
      </c>
      <c r="S254" s="623">
        <v>33772</v>
      </c>
      <c r="T254" s="622" t="s">
        <v>89</v>
      </c>
      <c r="V254" s="622">
        <v>30</v>
      </c>
      <c r="W254" s="625" t="s">
        <v>87</v>
      </c>
      <c r="AB254" s="626">
        <v>18</v>
      </c>
      <c r="AC254" s="626" t="s">
        <v>75</v>
      </c>
      <c r="AE254" s="1802">
        <v>34773</v>
      </c>
      <c r="AF254" s="622" t="s">
        <v>86</v>
      </c>
      <c r="AI254" s="1376"/>
      <c r="AJ254" s="622">
        <v>108.23</v>
      </c>
      <c r="AK254" s="625" t="s">
        <v>63</v>
      </c>
      <c r="AP254" s="1837"/>
      <c r="AQ254" s="1837"/>
      <c r="AU254" s="627" t="str">
        <f t="array" ref="AU254">IFERROR(IF($Q$21="Yes",INDEX($AP$23:$AP$2323,SMALL(IF((County=$AQ$23:$AQ$2323),MATCH(ROW($AQ$23:$AQ$2323),ROW($AQ$23:$AQ$2323)),""),ROWS($A$23:$A254))),""),"")</f>
        <v/>
      </c>
      <c r="AW254" s="1802">
        <v>33708</v>
      </c>
      <c r="AX254" s="622" t="s">
        <v>89</v>
      </c>
      <c r="AZ254" s="622">
        <v>22</v>
      </c>
      <c r="BA254" s="622" t="s">
        <v>87</v>
      </c>
      <c r="BF254" s="1837"/>
      <c r="BG254" s="1837"/>
      <c r="BI254" s="1365"/>
      <c r="BJ254" s="1365"/>
      <c r="BK254" s="1365"/>
      <c r="BL254" s="1365"/>
      <c r="BM254" s="1365"/>
      <c r="BN254" s="1365"/>
      <c r="BO254" s="1365"/>
      <c r="BP254" s="1365"/>
      <c r="BQ254" s="1365"/>
      <c r="BR254" s="1365"/>
      <c r="BS254" s="1365"/>
    </row>
    <row r="255" spans="1:71">
      <c r="A255" s="1802">
        <v>33414</v>
      </c>
      <c r="B255" s="622" t="s">
        <v>87</v>
      </c>
      <c r="E255" s="1"/>
      <c r="F255" s="622">
        <v>124.01</v>
      </c>
      <c r="G255" s="625" t="s">
        <v>63</v>
      </c>
      <c r="L255" s="626">
        <v>702.08</v>
      </c>
      <c r="M255" s="626" t="s">
        <v>36</v>
      </c>
      <c r="Q255" s="627" t="str">
        <f t="array" ref="Q255">IFERROR(IF($Q$21="Yes",INDEX($L$23:$L$2323,SMALL(IF((County=$M$23:$M$2323),MATCH(ROW($M$23:$M$2323),ROW($M$23:$M$2323)),""),ROWS($A$23:A255))),""),"")</f>
        <v/>
      </c>
      <c r="S255" s="623">
        <v>33776</v>
      </c>
      <c r="T255" s="622" t="s">
        <v>89</v>
      </c>
      <c r="V255" s="622">
        <v>30.01</v>
      </c>
      <c r="W255" s="625" t="s">
        <v>78</v>
      </c>
      <c r="AB255" s="626">
        <v>18.010000000000002</v>
      </c>
      <c r="AC255" s="626" t="s">
        <v>26</v>
      </c>
      <c r="AE255" s="1802">
        <v>33410</v>
      </c>
      <c r="AF255" s="622" t="s">
        <v>87</v>
      </c>
      <c r="AI255" s="1376"/>
      <c r="AJ255" s="622">
        <v>108.24</v>
      </c>
      <c r="AK255" s="625" t="s">
        <v>63</v>
      </c>
      <c r="AP255" s="1837"/>
      <c r="AQ255" s="1837"/>
      <c r="AU255" s="627" t="str">
        <f t="array" ref="AU255">IFERROR(IF($Q$21="Yes",INDEX($AP$23:$AP$2323,SMALL(IF((County=$AQ$23:$AQ$2323),MATCH(ROW($AQ$23:$AQ$2323),ROW($AQ$23:$AQ$2323)),""),ROWS($A$23:$A255))),""),"")</f>
        <v/>
      </c>
      <c r="AW255" s="1802">
        <v>33711</v>
      </c>
      <c r="AX255" s="622" t="s">
        <v>89</v>
      </c>
      <c r="AZ255" s="622">
        <v>22.02</v>
      </c>
      <c r="BA255" s="625" t="s">
        <v>78</v>
      </c>
      <c r="BF255" s="1837"/>
      <c r="BG255" s="1837"/>
      <c r="BI255" s="1365"/>
      <c r="BJ255" s="1365"/>
      <c r="BK255" s="1365"/>
      <c r="BL255" s="1365"/>
      <c r="BM255" s="1365"/>
      <c r="BN255" s="1365"/>
      <c r="BO255" s="1365"/>
      <c r="BP255" s="1365"/>
      <c r="BQ255" s="1365"/>
      <c r="BR255" s="1365"/>
      <c r="BS255" s="1365"/>
    </row>
    <row r="256" spans="1:71">
      <c r="A256" s="1802">
        <v>33418</v>
      </c>
      <c r="B256" s="622" t="s">
        <v>87</v>
      </c>
      <c r="E256" s="1"/>
      <c r="F256" s="622">
        <v>124.02</v>
      </c>
      <c r="G256" s="625" t="s">
        <v>63</v>
      </c>
      <c r="L256" s="626">
        <v>702.09</v>
      </c>
      <c r="M256" s="626" t="s">
        <v>36</v>
      </c>
      <c r="Q256" s="627" t="str">
        <f t="array" ref="Q256">IFERROR(IF($Q$21="Yes",INDEX($L$23:$L$2323,SMALL(IF((County=$M$23:$M$2323),MATCH(ROW($M$23:$M$2323),ROW($M$23:$M$2323)),""),ROWS($A$23:A256))),""),"")</f>
        <v/>
      </c>
      <c r="S256" s="623">
        <v>33777</v>
      </c>
      <c r="T256" s="622" t="s">
        <v>89</v>
      </c>
      <c r="V256" s="622">
        <v>30.03</v>
      </c>
      <c r="W256" s="625" t="s">
        <v>78</v>
      </c>
      <c r="AB256" s="626">
        <v>18.010000000000002</v>
      </c>
      <c r="AC256" s="626" t="s">
        <v>70</v>
      </c>
      <c r="AE256" s="1802">
        <v>33412</v>
      </c>
      <c r="AF256" s="622" t="s">
        <v>87</v>
      </c>
      <c r="AI256" s="1376"/>
      <c r="AJ256" s="622">
        <v>110.1</v>
      </c>
      <c r="AK256" s="625" t="s">
        <v>63</v>
      </c>
      <c r="AP256" s="1837"/>
      <c r="AQ256" s="1837"/>
      <c r="AU256" s="627" t="str">
        <f t="array" ref="AU256">IFERROR(IF($Q$21="Yes",INDEX($AP$23:$AP$2323,SMALL(IF((County=$AQ$23:$AQ$2323),MATCH(ROW($AQ$23:$AQ$2323),ROW($AQ$23:$AQ$2323)),""),ROWS($A$23:$A256))),""),"")</f>
        <v/>
      </c>
      <c r="AW256" s="1802">
        <v>33713</v>
      </c>
      <c r="AX256" s="622" t="s">
        <v>89</v>
      </c>
      <c r="AZ256" s="622">
        <v>22.18</v>
      </c>
      <c r="BA256" s="625" t="s">
        <v>26</v>
      </c>
      <c r="BF256" s="1837"/>
      <c r="BG256" s="1837"/>
      <c r="BI256" s="1365"/>
      <c r="BJ256" s="1365"/>
      <c r="BK256" s="1365"/>
      <c r="BL256" s="1365"/>
      <c r="BM256" s="1365"/>
      <c r="BN256" s="1365"/>
      <c r="BO256" s="1365"/>
      <c r="BP256" s="1365"/>
      <c r="BQ256" s="1365"/>
      <c r="BR256" s="1365"/>
      <c r="BS256" s="1365"/>
    </row>
    <row r="257" spans="1:71">
      <c r="A257" s="1802">
        <v>33426</v>
      </c>
      <c r="B257" s="622" t="s">
        <v>87</v>
      </c>
      <c r="E257" s="1"/>
      <c r="F257" s="622">
        <v>124.03</v>
      </c>
      <c r="G257" s="625" t="s">
        <v>63</v>
      </c>
      <c r="L257" s="626">
        <v>702.11</v>
      </c>
      <c r="M257" s="626" t="s">
        <v>36</v>
      </c>
      <c r="Q257" s="627" t="str">
        <f t="array" ref="Q257">IFERROR(IF($Q$21="Yes",INDEX($L$23:$L$2323,SMALL(IF((County=$M$23:$M$2323),MATCH(ROW($M$23:$M$2323),ROW($M$23:$M$2323)),""),ROWS($A$23:A257))),""),"")</f>
        <v/>
      </c>
      <c r="S257" s="623">
        <v>33782</v>
      </c>
      <c r="T257" s="622" t="s">
        <v>89</v>
      </c>
      <c r="V257" s="622">
        <v>30.04</v>
      </c>
      <c r="W257" s="625" t="s">
        <v>78</v>
      </c>
      <c r="AB257" s="626">
        <v>18.010000000000002</v>
      </c>
      <c r="AC257" s="626" t="s">
        <v>96</v>
      </c>
      <c r="AE257" s="1802">
        <v>33413</v>
      </c>
      <c r="AF257" s="622" t="s">
        <v>87</v>
      </c>
      <c r="AI257" s="1376"/>
      <c r="AJ257" s="622">
        <v>112.06</v>
      </c>
      <c r="AK257" s="625" t="s">
        <v>63</v>
      </c>
      <c r="AP257" s="1837"/>
      <c r="AQ257" s="1837"/>
      <c r="AU257" s="627" t="str">
        <f t="array" ref="AU257">IFERROR(IF($Q$21="Yes",INDEX($AP$23:$AP$2323,SMALL(IF((County=$AQ$23:$AQ$2323),MATCH(ROW($AQ$23:$AQ$2323),ROW($AQ$23:$AQ$2323)),""),ROWS($A$23:$A257))),""),"")</f>
        <v/>
      </c>
      <c r="AW257" s="1802">
        <v>33715</v>
      </c>
      <c r="AX257" s="622" t="s">
        <v>89</v>
      </c>
      <c r="AZ257" s="622">
        <v>23</v>
      </c>
      <c r="BA257" s="625" t="s">
        <v>78</v>
      </c>
      <c r="BF257" s="1837"/>
      <c r="BG257" s="1837"/>
      <c r="BI257" s="1365"/>
      <c r="BJ257" s="1365"/>
      <c r="BK257" s="1365"/>
      <c r="BL257" s="1365"/>
      <c r="BM257" s="1365"/>
      <c r="BN257" s="1365"/>
      <c r="BO257" s="1365"/>
      <c r="BP257" s="1365"/>
      <c r="BQ257" s="1365"/>
      <c r="BR257" s="1365"/>
      <c r="BS257" s="1365"/>
    </row>
    <row r="258" spans="1:71">
      <c r="A258" s="1802">
        <v>33428</v>
      </c>
      <c r="B258" s="622" t="s">
        <v>87</v>
      </c>
      <c r="E258" s="1"/>
      <c r="F258" s="622">
        <v>129</v>
      </c>
      <c r="G258" s="625" t="s">
        <v>63</v>
      </c>
      <c r="L258" s="626">
        <v>703.04</v>
      </c>
      <c r="M258" s="626" t="s">
        <v>36</v>
      </c>
      <c r="Q258" s="627" t="str">
        <f t="array" ref="Q258">IFERROR(IF($Q$21="Yes",INDEX($L$23:$L$2323,SMALL(IF((County=$M$23:$M$2323),MATCH(ROW($M$23:$M$2323),ROW($M$23:$M$2323)),""),ROWS($A$23:A258))),""),"")</f>
        <v/>
      </c>
      <c r="S258" s="623">
        <v>33785</v>
      </c>
      <c r="T258" s="622" t="s">
        <v>89</v>
      </c>
      <c r="V258" s="622">
        <v>31</v>
      </c>
      <c r="W258" s="625" t="s">
        <v>63</v>
      </c>
      <c r="AB258" s="626">
        <v>18.02</v>
      </c>
      <c r="AC258" s="626" t="s">
        <v>70</v>
      </c>
      <c r="AE258" s="1802">
        <v>33414</v>
      </c>
      <c r="AF258" s="622" t="s">
        <v>87</v>
      </c>
      <c r="AI258" s="1376"/>
      <c r="AJ258" s="622">
        <v>116.1</v>
      </c>
      <c r="AK258" s="625" t="s">
        <v>63</v>
      </c>
      <c r="AP258" s="1837"/>
      <c r="AQ258" s="1837"/>
      <c r="AU258" s="627" t="str">
        <f t="array" ref="AU258">IFERROR(IF($Q$21="Yes",INDEX($AP$23:$AP$2323,SMALL(IF((County=$AQ$23:$AQ$2323),MATCH(ROW($AQ$23:$AQ$2323),ROW($AQ$23:$AQ$2323)),""),ROWS($A$23:$A258))),""),"")</f>
        <v/>
      </c>
      <c r="AW258" s="1802">
        <v>33716</v>
      </c>
      <c r="AX258" s="622" t="s">
        <v>89</v>
      </c>
      <c r="AZ258" s="622">
        <v>24</v>
      </c>
      <c r="BA258" s="625" t="s">
        <v>32</v>
      </c>
      <c r="BF258" s="1837"/>
      <c r="BG258" s="1837"/>
      <c r="BI258" s="1365"/>
      <c r="BJ258" s="1365"/>
      <c r="BK258" s="1365"/>
      <c r="BL258" s="1365"/>
      <c r="BM258" s="1365"/>
      <c r="BN258" s="1365"/>
      <c r="BO258" s="1365"/>
      <c r="BP258" s="1365"/>
      <c r="BQ258" s="1365"/>
      <c r="BR258" s="1365"/>
      <c r="BS258" s="1365"/>
    </row>
    <row r="259" spans="1:71">
      <c r="A259" s="1802">
        <v>33431</v>
      </c>
      <c r="B259" s="622" t="s">
        <v>87</v>
      </c>
      <c r="E259" s="1"/>
      <c r="F259" s="622">
        <v>133.16999999999999</v>
      </c>
      <c r="G259" s="625" t="s">
        <v>63</v>
      </c>
      <c r="L259" s="626">
        <v>703.06</v>
      </c>
      <c r="M259" s="626" t="s">
        <v>36</v>
      </c>
      <c r="Q259" s="627" t="str">
        <f t="array" ref="Q259">IFERROR(IF($Q$21="Yes",INDEX($L$23:$L$2323,SMALL(IF((County=$M$23:$M$2323),MATCH(ROW($M$23:$M$2323),ROW($M$23:$M$2323)),""),ROWS($A$23:A259))),""),"")</f>
        <v/>
      </c>
      <c r="S259" s="623">
        <v>33786</v>
      </c>
      <c r="T259" s="622" t="s">
        <v>89</v>
      </c>
      <c r="V259" s="622">
        <v>31</v>
      </c>
      <c r="W259" s="625" t="s">
        <v>78</v>
      </c>
      <c r="AB259" s="626">
        <v>18.05</v>
      </c>
      <c r="AC259" s="626" t="s">
        <v>26</v>
      </c>
      <c r="AE259" s="1802">
        <v>33418</v>
      </c>
      <c r="AF259" s="622" t="s">
        <v>87</v>
      </c>
      <c r="AI259" s="1376"/>
      <c r="AJ259" s="622">
        <v>116.14</v>
      </c>
      <c r="AK259" s="625" t="s">
        <v>63</v>
      </c>
      <c r="AP259" s="1837"/>
      <c r="AQ259" s="1837"/>
      <c r="AU259" s="627" t="str">
        <f t="array" ref="AU259">IFERROR(IF($Q$21="Yes",INDEX($AP$23:$AP$2323,SMALL(IF((County=$AQ$23:$AQ$2323),MATCH(ROW($AQ$23:$AQ$2323),ROW($AQ$23:$AQ$2323)),""),ROWS($A$23:$A259))),""),"")</f>
        <v/>
      </c>
      <c r="AW259" s="1802">
        <v>33744</v>
      </c>
      <c r="AX259" s="622" t="s">
        <v>89</v>
      </c>
      <c r="AZ259" s="622">
        <v>24</v>
      </c>
      <c r="BA259" s="622" t="s">
        <v>87</v>
      </c>
      <c r="BF259" s="1837"/>
      <c r="BG259" s="1837"/>
      <c r="BI259" s="1365"/>
      <c r="BJ259" s="1365"/>
      <c r="BK259" s="1365"/>
      <c r="BL259" s="1365"/>
      <c r="BM259" s="1365"/>
      <c r="BN259" s="1365"/>
      <c r="BO259" s="1365"/>
      <c r="BP259" s="1365"/>
      <c r="BQ259" s="1365"/>
      <c r="BR259" s="1365"/>
      <c r="BS259" s="1365"/>
    </row>
    <row r="260" spans="1:71">
      <c r="A260" s="1802">
        <v>33432</v>
      </c>
      <c r="B260" s="622" t="s">
        <v>87</v>
      </c>
      <c r="E260" s="1"/>
      <c r="F260" s="622">
        <v>135.04</v>
      </c>
      <c r="G260" s="625" t="s">
        <v>63</v>
      </c>
      <c r="L260" s="626">
        <v>703.1</v>
      </c>
      <c r="M260" s="626" t="s">
        <v>36</v>
      </c>
      <c r="Q260" s="627" t="str">
        <f t="array" ref="Q260">IFERROR(IF($Q$21="Yes",INDEX($L$23:$L$2323,SMALL(IF((County=$M$23:$M$2323),MATCH(ROW($M$23:$M$2323),ROW($M$23:$M$2323)),""),ROWS($A$23:A260))),""),"")</f>
        <v/>
      </c>
      <c r="S260" s="623">
        <v>33803</v>
      </c>
      <c r="T260" s="622" t="s">
        <v>91</v>
      </c>
      <c r="V260" s="622">
        <v>31.02</v>
      </c>
      <c r="W260" s="625" t="s">
        <v>87</v>
      </c>
      <c r="AB260" s="626">
        <v>18.05</v>
      </c>
      <c r="AC260" s="626" t="s">
        <v>96</v>
      </c>
      <c r="AE260" s="1802">
        <v>33426</v>
      </c>
      <c r="AF260" s="622" t="s">
        <v>87</v>
      </c>
      <c r="AI260" s="1376"/>
      <c r="AJ260" s="622">
        <v>119.05</v>
      </c>
      <c r="AK260" s="625" t="s">
        <v>63</v>
      </c>
      <c r="AP260" s="1837"/>
      <c r="AQ260" s="1837"/>
      <c r="AU260" s="627" t="str">
        <f t="array" ref="AU260">IFERROR(IF($Q$21="Yes",INDEX($AP$23:$AP$2323,SMALL(IF((County=$AQ$23:$AQ$2323),MATCH(ROW($AQ$23:$AQ$2323),ROW($AQ$23:$AQ$2323)),""),ROWS($A$23:$A260))),""),"")</f>
        <v/>
      </c>
      <c r="AW260" s="1802">
        <v>33759</v>
      </c>
      <c r="AX260" s="622" t="s">
        <v>89</v>
      </c>
      <c r="AZ260" s="622">
        <v>24.02</v>
      </c>
      <c r="BA260" s="625" t="s">
        <v>78</v>
      </c>
      <c r="BF260" s="1837"/>
      <c r="BG260" s="1837"/>
      <c r="BI260" s="1365"/>
      <c r="BJ260" s="1365"/>
      <c r="BK260" s="1365"/>
      <c r="BL260" s="1365"/>
      <c r="BM260" s="1365"/>
      <c r="BN260" s="1365"/>
      <c r="BO260" s="1365"/>
      <c r="BP260" s="1365"/>
      <c r="BQ260" s="1365"/>
      <c r="BR260" s="1365"/>
      <c r="BS260" s="1365"/>
    </row>
    <row r="261" spans="1:71">
      <c r="A261" s="1802">
        <v>33433</v>
      </c>
      <c r="B261" s="622" t="s">
        <v>87</v>
      </c>
      <c r="E261" s="1"/>
      <c r="F261" s="622">
        <v>135.05000000000001</v>
      </c>
      <c r="G261" s="625" t="s">
        <v>63</v>
      </c>
      <c r="L261" s="626">
        <v>703.11</v>
      </c>
      <c r="M261" s="626" t="s">
        <v>36</v>
      </c>
      <c r="Q261" s="627" t="str">
        <f t="array" ref="Q261">IFERROR(IF($Q$21="Yes",INDEX($L$23:$L$2323,SMALL(IF((County=$M$23:$M$2323),MATCH(ROW($M$23:$M$2323),ROW($M$23:$M$2323)),""),ROWS($A$23:A261))),""),"")</f>
        <v/>
      </c>
      <c r="S261" s="623">
        <v>33805</v>
      </c>
      <c r="T261" s="622" t="s">
        <v>91</v>
      </c>
      <c r="V261" s="622">
        <v>32</v>
      </c>
      <c r="W261" s="625" t="s">
        <v>63</v>
      </c>
      <c r="AB261" s="626">
        <v>18.059999999999999</v>
      </c>
      <c r="AC261" s="626" t="s">
        <v>26</v>
      </c>
      <c r="AE261" s="1802">
        <v>33428</v>
      </c>
      <c r="AF261" s="622" t="s">
        <v>87</v>
      </c>
      <c r="AI261" s="1376"/>
      <c r="AJ261" s="622">
        <v>120.02</v>
      </c>
      <c r="AK261" s="625" t="s">
        <v>63</v>
      </c>
      <c r="AP261" s="1837"/>
      <c r="AQ261" s="1837"/>
      <c r="AU261" s="627" t="str">
        <f t="array" ref="AU261">IFERROR(IF($Q$21="Yes",INDEX($AP$23:$AP$2323,SMALL(IF((County=$AQ$23:$AQ$2323),MATCH(ROW($AQ$23:$AQ$2323),ROW($AQ$23:$AQ$2323)),""),ROWS($A$23:$A261))),""),"")</f>
        <v/>
      </c>
      <c r="AW261" s="1802">
        <v>33762</v>
      </c>
      <c r="AX261" s="622" t="s">
        <v>89</v>
      </c>
      <c r="AZ261" s="622">
        <v>24.03</v>
      </c>
      <c r="BA261" s="622" t="s">
        <v>78</v>
      </c>
      <c r="BF261" s="1837"/>
      <c r="BG261" s="1837"/>
      <c r="BI261" s="1365"/>
      <c r="BJ261" s="1365"/>
      <c r="BK261" s="1365"/>
      <c r="BL261" s="1365"/>
      <c r="BM261" s="1365"/>
      <c r="BN261" s="1365"/>
      <c r="BO261" s="1365"/>
      <c r="BP261" s="1365"/>
      <c r="BQ261" s="1365"/>
      <c r="BR261" s="1365"/>
      <c r="BS261" s="1365"/>
    </row>
    <row r="262" spans="1:71">
      <c r="A262" s="1802">
        <v>33435</v>
      </c>
      <c r="B262" s="622" t="s">
        <v>87</v>
      </c>
      <c r="E262" s="1"/>
      <c r="F262" s="622">
        <v>136.02000000000001</v>
      </c>
      <c r="G262" s="625" t="s">
        <v>63</v>
      </c>
      <c r="L262" s="626">
        <v>703.12</v>
      </c>
      <c r="M262" s="626" t="s">
        <v>36</v>
      </c>
      <c r="Q262" s="627" t="str">
        <f t="array" ref="Q262">IFERROR(IF($Q$21="Yes",INDEX($L$23:$L$2323,SMALL(IF((County=$M$23:$M$2323),MATCH(ROW($M$23:$M$2323),ROW($M$23:$M$2323)),""),ROWS($A$23:A262))),""),"")</f>
        <v/>
      </c>
      <c r="S262" s="623">
        <v>33809</v>
      </c>
      <c r="T262" s="622" t="s">
        <v>91</v>
      </c>
      <c r="V262" s="622">
        <v>33</v>
      </c>
      <c r="W262" s="625" t="s">
        <v>63</v>
      </c>
      <c r="AB262" s="626">
        <v>18.11</v>
      </c>
      <c r="AC262" s="626" t="s">
        <v>26</v>
      </c>
      <c r="AE262" s="1802">
        <v>33431</v>
      </c>
      <c r="AF262" s="622" t="s">
        <v>87</v>
      </c>
      <c r="AI262" s="1376"/>
      <c r="AJ262" s="622">
        <v>122.11</v>
      </c>
      <c r="AK262" s="625" t="s">
        <v>63</v>
      </c>
      <c r="AP262" s="1837"/>
      <c r="AQ262" s="1837"/>
      <c r="AU262" s="627" t="str">
        <f t="array" ref="AU262">IFERROR(IF($Q$21="Yes",INDEX($AP$23:$AP$2323,SMALL(IF((County=$AQ$23:$AQ$2323),MATCH(ROW($AQ$23:$AQ$2323),ROW($AQ$23:$AQ$2323)),""),ROWS($A$23:$A262))),""),"")</f>
        <v/>
      </c>
      <c r="AW262" s="1802">
        <v>33767</v>
      </c>
      <c r="AX262" s="622" t="s">
        <v>89</v>
      </c>
      <c r="AZ262" s="622">
        <v>24.04</v>
      </c>
      <c r="BA262" s="622" t="s">
        <v>78</v>
      </c>
      <c r="BF262" s="1837"/>
      <c r="BG262" s="1837"/>
      <c r="BI262" s="1365"/>
      <c r="BJ262" s="1365"/>
      <c r="BK262" s="1365"/>
      <c r="BL262" s="1365"/>
      <c r="BM262" s="1365"/>
      <c r="BN262" s="1365"/>
      <c r="BO262" s="1365"/>
      <c r="BP262" s="1365"/>
      <c r="BQ262" s="1365"/>
      <c r="BR262" s="1365"/>
      <c r="BS262" s="1365"/>
    </row>
    <row r="263" spans="1:71">
      <c r="A263" s="1802">
        <v>33436</v>
      </c>
      <c r="B263" s="622" t="s">
        <v>87</v>
      </c>
      <c r="E263" s="1"/>
      <c r="F263" s="622">
        <v>136.04</v>
      </c>
      <c r="G263" s="625" t="s">
        <v>63</v>
      </c>
      <c r="L263" s="626">
        <v>703.13</v>
      </c>
      <c r="M263" s="626" t="s">
        <v>36</v>
      </c>
      <c r="Q263" s="627" t="str">
        <f t="array" ref="Q263">IFERROR(IF($Q$21="Yes",INDEX($L$23:$L$2323,SMALL(IF((County=$M$23:$M$2323),MATCH(ROW($M$23:$M$2323),ROW($M$23:$M$2323)),""),ROWS($A$23:A263))),""),"")</f>
        <v/>
      </c>
      <c r="S263" s="623">
        <v>33810</v>
      </c>
      <c r="T263" s="622" t="s">
        <v>91</v>
      </c>
      <c r="V263" s="622">
        <v>34</v>
      </c>
      <c r="W263" s="625" t="s">
        <v>63</v>
      </c>
      <c r="AB263" s="626">
        <v>18.13</v>
      </c>
      <c r="AC263" s="626" t="s">
        <v>26</v>
      </c>
      <c r="AE263" s="1802">
        <v>33432</v>
      </c>
      <c r="AF263" s="622" t="s">
        <v>87</v>
      </c>
      <c r="AI263" s="1376"/>
      <c r="AJ263" s="622">
        <v>124.01</v>
      </c>
      <c r="AK263" s="625" t="s">
        <v>63</v>
      </c>
      <c r="AP263" s="1837"/>
      <c r="AQ263" s="1837"/>
      <c r="AU263" s="627" t="str">
        <f t="array" ref="AU263">IFERROR(IF($Q$21="Yes",INDEX($AP$23:$AP$2323,SMALL(IF((County=$AQ$23:$AQ$2323),MATCH(ROW($AQ$23:$AQ$2323),ROW($AQ$23:$AQ$2323)),""),ROWS($A$23:$A263))),""),"")</f>
        <v/>
      </c>
      <c r="AW263" s="1802">
        <v>33772</v>
      </c>
      <c r="AX263" s="622" t="s">
        <v>89</v>
      </c>
      <c r="AZ263" s="622">
        <v>25</v>
      </c>
      <c r="BA263" s="625" t="s">
        <v>63</v>
      </c>
      <c r="BF263" s="1837"/>
      <c r="BG263" s="1837"/>
      <c r="BI263" s="1365"/>
      <c r="BJ263" s="1365"/>
      <c r="BK263" s="1365"/>
      <c r="BL263" s="1365"/>
      <c r="BM263" s="1365"/>
      <c r="BN263" s="1365"/>
      <c r="BO263" s="1365"/>
      <c r="BP263" s="1365"/>
      <c r="BQ263" s="1365"/>
      <c r="BR263" s="1365"/>
      <c r="BS263" s="1365"/>
    </row>
    <row r="264" spans="1:71">
      <c r="A264" s="1802">
        <v>33437</v>
      </c>
      <c r="B264" s="622" t="s">
        <v>87</v>
      </c>
      <c r="E264" s="1"/>
      <c r="F264" s="622">
        <v>138.01</v>
      </c>
      <c r="G264" s="625" t="s">
        <v>63</v>
      </c>
      <c r="L264" s="626">
        <v>703.14</v>
      </c>
      <c r="M264" s="626" t="s">
        <v>36</v>
      </c>
      <c r="Q264" s="627" t="str">
        <f t="array" ref="Q264">IFERROR(IF($Q$21="Yes",INDEX($L$23:$L$2323,SMALL(IF((County=$M$23:$M$2323),MATCH(ROW($M$23:$M$2323),ROW($M$23:$M$2323)),""),ROWS($A$23:A264))),""),"")</f>
        <v/>
      </c>
      <c r="S264" s="623">
        <v>33811</v>
      </c>
      <c r="T264" s="622" t="s">
        <v>91</v>
      </c>
      <c r="V264" s="622">
        <v>34</v>
      </c>
      <c r="W264" s="625" t="s">
        <v>78</v>
      </c>
      <c r="AB264" s="626">
        <v>18.14</v>
      </c>
      <c r="AC264" s="626" t="s">
        <v>26</v>
      </c>
      <c r="AE264" s="1802">
        <v>33433</v>
      </c>
      <c r="AF264" s="622" t="s">
        <v>87</v>
      </c>
      <c r="AI264" s="1376"/>
      <c r="AJ264" s="622">
        <v>124.03</v>
      </c>
      <c r="AK264" s="625" t="s">
        <v>63</v>
      </c>
      <c r="AP264" s="1837"/>
      <c r="AQ264" s="1837"/>
      <c r="AU264" s="627" t="str">
        <f t="array" ref="AU264">IFERROR(IF($Q$21="Yes",INDEX($AP$23:$AP$2323,SMALL(IF((County=$AQ$23:$AQ$2323),MATCH(ROW($AQ$23:$AQ$2323),ROW($AQ$23:$AQ$2323)),""),ROWS($A$23:$A264))),""),"")</f>
        <v/>
      </c>
      <c r="AW264" s="1802">
        <v>33776</v>
      </c>
      <c r="AX264" s="622" t="s">
        <v>89</v>
      </c>
      <c r="AZ264" s="622">
        <v>25.01</v>
      </c>
      <c r="BA264" s="625" t="s">
        <v>49</v>
      </c>
      <c r="BF264" s="1837"/>
      <c r="BG264" s="1837"/>
      <c r="BI264" s="1365"/>
      <c r="BJ264" s="1365"/>
      <c r="BK264" s="1365"/>
      <c r="BL264" s="1365"/>
      <c r="BM264" s="1365"/>
      <c r="BN264" s="1365"/>
      <c r="BO264" s="1365"/>
      <c r="BP264" s="1365"/>
      <c r="BQ264" s="1365"/>
      <c r="BR264" s="1365"/>
      <c r="BS264" s="1365"/>
    </row>
    <row r="265" spans="1:71">
      <c r="A265" s="1802">
        <v>33445</v>
      </c>
      <c r="B265" s="622" t="s">
        <v>87</v>
      </c>
      <c r="E265" s="1"/>
      <c r="F265" s="622">
        <v>138.03</v>
      </c>
      <c r="G265" s="625" t="s">
        <v>63</v>
      </c>
      <c r="L265" s="626">
        <v>703.15</v>
      </c>
      <c r="M265" s="626" t="s">
        <v>36</v>
      </c>
      <c r="Q265" s="627" t="str">
        <f t="array" ref="Q265">IFERROR(IF($Q$21="Yes",INDEX($L$23:$L$2323,SMALL(IF((County=$M$23:$M$2323),MATCH(ROW($M$23:$M$2323),ROW($M$23:$M$2323)),""),ROWS($A$23:A265))),""),"")</f>
        <v/>
      </c>
      <c r="S265" s="623">
        <v>33812</v>
      </c>
      <c r="T265" s="622" t="s">
        <v>91</v>
      </c>
      <c r="V265" s="622">
        <v>35</v>
      </c>
      <c r="W265" s="625" t="s">
        <v>63</v>
      </c>
      <c r="AB265" s="626">
        <v>19</v>
      </c>
      <c r="AC265" s="626" t="s">
        <v>32</v>
      </c>
      <c r="AE265" s="1802">
        <v>33435</v>
      </c>
      <c r="AF265" s="622" t="s">
        <v>87</v>
      </c>
      <c r="AI265" s="1376"/>
      <c r="AJ265" s="622">
        <v>129</v>
      </c>
      <c r="AK265" s="625" t="s">
        <v>63</v>
      </c>
      <c r="AP265" s="1837"/>
      <c r="AQ265" s="1837"/>
      <c r="AU265" s="627" t="str">
        <f t="array" ref="AU265">IFERROR(IF($Q$21="Yes",INDEX($AP$23:$AP$2323,SMALL(IF((County=$AQ$23:$AQ$2323),MATCH(ROW($AQ$23:$AQ$2323),ROW($AQ$23:$AQ$2323)),""),ROWS($A$23:$A265))),""),"")</f>
        <v/>
      </c>
      <c r="AW265" s="1802">
        <v>33777</v>
      </c>
      <c r="AX265" s="622" t="s">
        <v>89</v>
      </c>
      <c r="AZ265" s="622">
        <v>25.01</v>
      </c>
      <c r="BA265" s="625" t="s">
        <v>78</v>
      </c>
      <c r="BF265" s="1837"/>
      <c r="BG265" s="1837"/>
      <c r="BI265" s="1365"/>
      <c r="BJ265" s="1365"/>
      <c r="BK265" s="1365"/>
      <c r="BL265" s="1365"/>
      <c r="BM265" s="1365"/>
      <c r="BN265" s="1365"/>
      <c r="BO265" s="1365"/>
      <c r="BP265" s="1365"/>
      <c r="BQ265" s="1365"/>
      <c r="BR265" s="1365"/>
      <c r="BS265" s="1365"/>
    </row>
    <row r="266" spans="1:71">
      <c r="A266" s="1802">
        <v>33449</v>
      </c>
      <c r="B266" s="622" t="s">
        <v>87</v>
      </c>
      <c r="E266" s="1"/>
      <c r="F266" s="622">
        <v>140.02000000000001</v>
      </c>
      <c r="G266" s="625" t="s">
        <v>63</v>
      </c>
      <c r="L266" s="626">
        <v>703.16</v>
      </c>
      <c r="M266" s="626" t="s">
        <v>36</v>
      </c>
      <c r="Q266" s="627" t="str">
        <f t="array" ref="Q266">IFERROR(IF($Q$21="Yes",INDEX($L$23:$L$2323,SMALL(IF((County=$M$23:$M$2323),MATCH(ROW($M$23:$M$2323),ROW($M$23:$M$2323)),""),ROWS($A$23:A266))),""),"")</f>
        <v/>
      </c>
      <c r="S266" s="623">
        <v>33813</v>
      </c>
      <c r="T266" s="622" t="s">
        <v>91</v>
      </c>
      <c r="V266" s="622">
        <v>35.06</v>
      </c>
      <c r="W266" s="625" t="s">
        <v>51</v>
      </c>
      <c r="AB266" s="626">
        <v>19.03</v>
      </c>
      <c r="AC266" s="626" t="s">
        <v>70</v>
      </c>
      <c r="AE266" s="1802">
        <v>33436</v>
      </c>
      <c r="AF266" s="622" t="s">
        <v>87</v>
      </c>
      <c r="AI266" s="1376"/>
      <c r="AJ266" s="622">
        <v>133.16999999999999</v>
      </c>
      <c r="AK266" s="625" t="s">
        <v>63</v>
      </c>
      <c r="AP266" s="1837"/>
      <c r="AQ266" s="1837"/>
      <c r="AU266" s="627" t="str">
        <f t="array" ref="AU266">IFERROR(IF($Q$21="Yes",INDEX($AP$23:$AP$2323,SMALL(IF((County=$AQ$23:$AQ$2323),MATCH(ROW($AQ$23:$AQ$2323),ROW($AQ$23:$AQ$2323)),""),ROWS($A$23:$A266))),""),"")</f>
        <v/>
      </c>
      <c r="AW266" s="1802">
        <v>33782</v>
      </c>
      <c r="AX266" s="622" t="s">
        <v>89</v>
      </c>
      <c r="AZ266" s="622">
        <v>25.02</v>
      </c>
      <c r="BA266" s="622" t="s">
        <v>78</v>
      </c>
      <c r="BF266" s="1837"/>
      <c r="BG266" s="1837"/>
      <c r="BI266" s="1365"/>
      <c r="BJ266" s="1365"/>
      <c r="BK266" s="1365"/>
      <c r="BL266" s="1365"/>
      <c r="BM266" s="1365"/>
      <c r="BN266" s="1365"/>
      <c r="BO266" s="1365"/>
      <c r="BP266" s="1365"/>
      <c r="BQ266" s="1365"/>
      <c r="BR266" s="1365"/>
      <c r="BS266" s="1365"/>
    </row>
    <row r="267" spans="1:71">
      <c r="A267" s="1802">
        <v>33458</v>
      </c>
      <c r="B267" s="622" t="s">
        <v>87</v>
      </c>
      <c r="E267" s="1"/>
      <c r="F267" s="622">
        <v>140.13</v>
      </c>
      <c r="G267" s="625" t="s">
        <v>63</v>
      </c>
      <c r="L267" s="626">
        <v>703.17</v>
      </c>
      <c r="M267" s="626" t="s">
        <v>36</v>
      </c>
      <c r="Q267" s="627" t="str">
        <f t="array" ref="Q267">IFERROR(IF($Q$21="Yes",INDEX($L$23:$L$2323,SMALL(IF((County=$M$23:$M$2323),MATCH(ROW($M$23:$M$2323),ROW($M$23:$M$2323)),""),ROWS($A$23:A267))),""),"")</f>
        <v/>
      </c>
      <c r="S267" s="623">
        <v>33837</v>
      </c>
      <c r="T267" s="622" t="s">
        <v>91</v>
      </c>
      <c r="V267" s="622">
        <v>36</v>
      </c>
      <c r="W267" s="625" t="s">
        <v>63</v>
      </c>
      <c r="AB267" s="626">
        <v>19.03</v>
      </c>
      <c r="AC267" s="626" t="s">
        <v>96</v>
      </c>
      <c r="AE267" s="1802">
        <v>33437</v>
      </c>
      <c r="AF267" s="622" t="s">
        <v>87</v>
      </c>
      <c r="AI267" s="1376"/>
      <c r="AJ267" s="622">
        <v>135.04</v>
      </c>
      <c r="AK267" s="625" t="s">
        <v>63</v>
      </c>
      <c r="AP267" s="1837"/>
      <c r="AQ267" s="1837"/>
      <c r="AU267" s="627" t="str">
        <f t="array" ref="AU267">IFERROR(IF($Q$21="Yes",INDEX($AP$23:$AP$2323,SMALL(IF((County=$AQ$23:$AQ$2323),MATCH(ROW($AQ$23:$AQ$2323),ROW($AQ$23:$AQ$2323)),""),ROWS($A$23:$A267))),""),"")</f>
        <v/>
      </c>
      <c r="AW267" s="1802">
        <v>33785</v>
      </c>
      <c r="AX267" s="622" t="s">
        <v>89</v>
      </c>
      <c r="AZ267" s="622">
        <v>25.04</v>
      </c>
      <c r="BA267" s="625" t="s">
        <v>76</v>
      </c>
      <c r="BF267" s="1837"/>
      <c r="BG267" s="1837"/>
      <c r="BI267" s="1365"/>
      <c r="BJ267" s="1365"/>
      <c r="BK267" s="1365"/>
      <c r="BL267" s="1365"/>
      <c r="BM267" s="1365"/>
      <c r="BN267" s="1365"/>
      <c r="BO267" s="1365"/>
      <c r="BP267" s="1365"/>
      <c r="BQ267" s="1365"/>
      <c r="BR267" s="1365"/>
      <c r="BS267" s="1365"/>
    </row>
    <row r="268" spans="1:71">
      <c r="A268" s="1802">
        <v>33467</v>
      </c>
      <c r="B268" s="622" t="s">
        <v>87</v>
      </c>
      <c r="E268" s="1"/>
      <c r="F268" s="622">
        <v>141.08000000000001</v>
      </c>
      <c r="G268" s="625" t="s">
        <v>63</v>
      </c>
      <c r="L268" s="626">
        <v>703.18</v>
      </c>
      <c r="M268" s="626" t="s">
        <v>36</v>
      </c>
      <c r="Q268" s="627" t="str">
        <f t="array" ref="Q268">IFERROR(IF($Q$21="Yes",INDEX($L$23:$L$2323,SMALL(IF((County=$M$23:$M$2323),MATCH(ROW($M$23:$M$2323),ROW($M$23:$M$2323)),""),ROWS($A$23:A268))),""),"")</f>
        <v/>
      </c>
      <c r="S268" s="623">
        <v>33848</v>
      </c>
      <c r="T268" s="622" t="s">
        <v>86</v>
      </c>
      <c r="V268" s="622">
        <v>36.01</v>
      </c>
      <c r="W268" s="625" t="s">
        <v>78</v>
      </c>
      <c r="AB268" s="626">
        <v>19.04</v>
      </c>
      <c r="AC268" s="626" t="s">
        <v>87</v>
      </c>
      <c r="AE268" s="1802">
        <v>33444</v>
      </c>
      <c r="AF268" s="622" t="s">
        <v>87</v>
      </c>
      <c r="AI268" s="1376"/>
      <c r="AJ268" s="622">
        <v>138.01</v>
      </c>
      <c r="AK268" s="625" t="s">
        <v>63</v>
      </c>
      <c r="AP268" s="1837"/>
      <c r="AQ268" s="1837"/>
      <c r="AU268" s="627" t="str">
        <f t="array" ref="AU268">IFERROR(IF($Q$21="Yes",INDEX($AP$23:$AP$2323,SMALL(IF((County=$AQ$23:$AQ$2323),MATCH(ROW($AQ$23:$AQ$2323),ROW($AQ$23:$AQ$2323)),""),ROWS($A$23:$A268))),""),"")</f>
        <v/>
      </c>
      <c r="AW268" s="1802">
        <v>33786</v>
      </c>
      <c r="AX268" s="622" t="s">
        <v>89</v>
      </c>
      <c r="AZ268" s="622">
        <v>26</v>
      </c>
      <c r="BA268" s="625" t="s">
        <v>49</v>
      </c>
      <c r="BF268" s="1837"/>
      <c r="BG268" s="1837"/>
      <c r="BI268" s="1365"/>
      <c r="BJ268" s="1365"/>
      <c r="BK268" s="1365"/>
      <c r="BL268" s="1365"/>
      <c r="BM268" s="1365"/>
      <c r="BN268" s="1365"/>
      <c r="BO268" s="1365"/>
      <c r="BP268" s="1365"/>
      <c r="BQ268" s="1365"/>
      <c r="BR268" s="1365"/>
      <c r="BS268" s="1365"/>
    </row>
    <row r="269" spans="1:71">
      <c r="A269" s="1802">
        <v>33469</v>
      </c>
      <c r="B269" s="622" t="s">
        <v>87</v>
      </c>
      <c r="E269" s="1"/>
      <c r="F269" s="622">
        <v>503.02</v>
      </c>
      <c r="G269" s="625" t="s">
        <v>65</v>
      </c>
      <c r="L269" s="626">
        <v>703.19</v>
      </c>
      <c r="M269" s="626" t="s">
        <v>36</v>
      </c>
      <c r="Q269" s="627" t="str">
        <f t="array" ref="Q269">IFERROR(IF($Q$21="Yes",INDEX($L$23:$L$2323,SMALL(IF((County=$M$23:$M$2323),MATCH(ROW($M$23:$M$2323),ROW($M$23:$M$2323)),""),ROWS($A$23:A269))),""),"")</f>
        <v/>
      </c>
      <c r="S269" s="623">
        <v>33851</v>
      </c>
      <c r="T269" s="622" t="s">
        <v>91</v>
      </c>
      <c r="V269" s="622">
        <v>36.020000000000003</v>
      </c>
      <c r="W269" s="625" t="s">
        <v>78</v>
      </c>
      <c r="AB269" s="626">
        <v>19.04</v>
      </c>
      <c r="AC269" s="626" t="s">
        <v>96</v>
      </c>
      <c r="AE269" s="1802">
        <v>33445</v>
      </c>
      <c r="AF269" s="622" t="s">
        <v>87</v>
      </c>
      <c r="AI269" s="1376"/>
      <c r="AJ269" s="622">
        <v>138.03</v>
      </c>
      <c r="AK269" s="625" t="s">
        <v>63</v>
      </c>
      <c r="AP269" s="1837"/>
      <c r="AQ269" s="1837"/>
      <c r="AU269" s="627" t="str">
        <f t="array" ref="AU269">IFERROR(IF($Q$21="Yes",INDEX($AP$23:$AP$2323,SMALL(IF((County=$AQ$23:$AQ$2323),MATCH(ROW($AQ$23:$AQ$2323),ROW($AQ$23:$AQ$2323)),""),ROWS($A$23:$A269))),""),"")</f>
        <v/>
      </c>
      <c r="AW269" s="1802">
        <v>33803</v>
      </c>
      <c r="AX269" s="622" t="s">
        <v>91</v>
      </c>
      <c r="AZ269" s="622">
        <v>26</v>
      </c>
      <c r="BA269" s="625" t="s">
        <v>63</v>
      </c>
      <c r="BF269" s="1837"/>
      <c r="BG269" s="1837"/>
      <c r="BI269" s="1365"/>
      <c r="BJ269" s="1365"/>
      <c r="BK269" s="1365"/>
      <c r="BL269" s="1365"/>
      <c r="BM269" s="1365"/>
      <c r="BN269" s="1365"/>
      <c r="BO269" s="1365"/>
      <c r="BP269" s="1365"/>
      <c r="BQ269" s="1365"/>
      <c r="BR269" s="1365"/>
      <c r="BS269" s="1365"/>
    </row>
    <row r="270" spans="1:71">
      <c r="A270" s="1802">
        <v>33470</v>
      </c>
      <c r="B270" s="622" t="s">
        <v>87</v>
      </c>
      <c r="E270" s="1"/>
      <c r="F270" s="622">
        <v>504.01</v>
      </c>
      <c r="G270" s="625" t="s">
        <v>65</v>
      </c>
      <c r="L270" s="626">
        <v>703.2</v>
      </c>
      <c r="M270" s="626" t="s">
        <v>36</v>
      </c>
      <c r="Q270" s="627" t="str">
        <f t="array" ref="Q270">IFERROR(IF($Q$21="Yes",INDEX($L$23:$L$2323,SMALL(IF((County=$M$23:$M$2323),MATCH(ROW($M$23:$M$2323),ROW($M$23:$M$2323)),""),ROWS($A$23:A270))),""),"")</f>
        <v/>
      </c>
      <c r="S270" s="623">
        <v>33872</v>
      </c>
      <c r="T270" s="622" t="s">
        <v>62</v>
      </c>
      <c r="V270" s="622">
        <v>36.07</v>
      </c>
      <c r="W270" s="625" t="s">
        <v>51</v>
      </c>
      <c r="AB270" s="626">
        <v>19.05</v>
      </c>
      <c r="AC270" s="626" t="s">
        <v>96</v>
      </c>
      <c r="AE270" s="1802">
        <v>33449</v>
      </c>
      <c r="AF270" s="622" t="s">
        <v>87</v>
      </c>
      <c r="AI270" s="1376"/>
      <c r="AJ270" s="622">
        <v>140.02000000000001</v>
      </c>
      <c r="AK270" s="625" t="s">
        <v>63</v>
      </c>
      <c r="AP270" s="1837"/>
      <c r="AQ270" s="1837"/>
      <c r="AU270" s="627" t="str">
        <f t="array" ref="AU270">IFERROR(IF($Q$21="Yes",INDEX($AP$23:$AP$2323,SMALL(IF((County=$AQ$23:$AQ$2323),MATCH(ROW($AQ$23:$AQ$2323),ROW($AQ$23:$AQ$2323)),""),ROWS($A$23:$A270))),""),"")</f>
        <v/>
      </c>
      <c r="AW270" s="1802">
        <v>33805</v>
      </c>
      <c r="AX270" s="622" t="s">
        <v>91</v>
      </c>
      <c r="AZ270" s="622">
        <v>27.01</v>
      </c>
      <c r="BA270" s="625" t="s">
        <v>49</v>
      </c>
      <c r="BF270" s="1837"/>
      <c r="BG270" s="1837"/>
      <c r="BI270" s="1365"/>
      <c r="BJ270" s="1365"/>
      <c r="BK270" s="1365"/>
      <c r="BL270" s="1365"/>
      <c r="BM270" s="1365"/>
      <c r="BN270" s="1365"/>
      <c r="BO270" s="1365"/>
      <c r="BP270" s="1365"/>
      <c r="BQ270" s="1365"/>
      <c r="BR270" s="1365"/>
      <c r="BS270" s="1365"/>
    </row>
    <row r="271" spans="1:71">
      <c r="A271" s="1802">
        <v>33472</v>
      </c>
      <c r="B271" s="622" t="s">
        <v>87</v>
      </c>
      <c r="E271" s="1"/>
      <c r="F271" s="622">
        <v>509.04</v>
      </c>
      <c r="G271" s="625" t="s">
        <v>65</v>
      </c>
      <c r="L271" s="626">
        <v>703.21</v>
      </c>
      <c r="M271" s="626" t="s">
        <v>36</v>
      </c>
      <c r="Q271" s="627" t="str">
        <f t="array" ref="Q271">IFERROR(IF($Q$21="Yes",INDEX($L$23:$L$2323,SMALL(IF((County=$M$23:$M$2323),MATCH(ROW($M$23:$M$2323),ROW($M$23:$M$2323)),""),ROWS($A$23:A271))),""),"")</f>
        <v/>
      </c>
      <c r="S271" s="623">
        <v>33875</v>
      </c>
      <c r="T271" s="622" t="s">
        <v>62</v>
      </c>
      <c r="V271" s="622">
        <v>37</v>
      </c>
      <c r="W271" s="625" t="s">
        <v>63</v>
      </c>
      <c r="AB271" s="626">
        <v>19.059999999999999</v>
      </c>
      <c r="AC271" s="626" t="s">
        <v>70</v>
      </c>
      <c r="AE271" s="1802">
        <v>33458</v>
      </c>
      <c r="AF271" s="622" t="s">
        <v>87</v>
      </c>
      <c r="AI271" s="1376"/>
      <c r="AJ271" s="622">
        <v>140.13</v>
      </c>
      <c r="AK271" s="625" t="s">
        <v>63</v>
      </c>
      <c r="AP271" s="1837"/>
      <c r="AQ271" s="1837"/>
      <c r="AU271" s="627" t="str">
        <f t="array" ref="AU271">IFERROR(IF($Q$21="Yes",INDEX($AP$23:$AP$2323,SMALL(IF((County=$AQ$23:$AQ$2323),MATCH(ROW($AQ$23:$AQ$2323),ROW($AQ$23:$AQ$2323)),""),ROWS($A$23:$A271))),""),"")</f>
        <v/>
      </c>
      <c r="AW271" s="1802">
        <v>33809</v>
      </c>
      <c r="AX271" s="622" t="s">
        <v>91</v>
      </c>
      <c r="AZ271" s="622">
        <v>27.02</v>
      </c>
      <c r="BA271" s="625" t="s">
        <v>49</v>
      </c>
      <c r="BF271" s="1837"/>
      <c r="BG271" s="1837"/>
      <c r="BI271" s="1365"/>
      <c r="BJ271" s="1365"/>
      <c r="BK271" s="1365"/>
      <c r="BL271" s="1365"/>
      <c r="BM271" s="1365"/>
      <c r="BN271" s="1365"/>
      <c r="BO271" s="1365"/>
      <c r="BP271" s="1365"/>
      <c r="BQ271" s="1365"/>
      <c r="BR271" s="1365"/>
      <c r="BS271" s="1365"/>
    </row>
    <row r="272" spans="1:71">
      <c r="A272" s="1802">
        <v>33473</v>
      </c>
      <c r="B272" s="622" t="s">
        <v>87</v>
      </c>
      <c r="E272" s="1"/>
      <c r="F272" s="622">
        <v>301.02</v>
      </c>
      <c r="G272" s="625" t="s">
        <v>69</v>
      </c>
      <c r="L272" s="626">
        <v>703.22</v>
      </c>
      <c r="M272" s="626" t="s">
        <v>36</v>
      </c>
      <c r="Q272" s="627" t="str">
        <f t="array" ref="Q272">IFERROR(IF($Q$21="Yes",INDEX($L$23:$L$2323,SMALL(IF((County=$M$23:$M$2323),MATCH(ROW($M$23:$M$2323),ROW($M$23:$M$2323)),""),ROWS($A$23:A272))),""),"")</f>
        <v/>
      </c>
      <c r="S272" s="623">
        <v>33876</v>
      </c>
      <c r="T272" s="622" t="s">
        <v>62</v>
      </c>
      <c r="V272" s="622">
        <v>37</v>
      </c>
      <c r="W272" s="625" t="s">
        <v>87</v>
      </c>
      <c r="AB272" s="626">
        <v>19.07</v>
      </c>
      <c r="AC272" s="626" t="s">
        <v>70</v>
      </c>
      <c r="AE272" s="1802">
        <v>33469</v>
      </c>
      <c r="AF272" s="622" t="s">
        <v>87</v>
      </c>
      <c r="AI272" s="1376"/>
      <c r="AJ272" s="622">
        <v>141.08000000000001</v>
      </c>
      <c r="AK272" s="625" t="s">
        <v>63</v>
      </c>
      <c r="AP272" s="1837"/>
      <c r="AQ272" s="1837"/>
      <c r="AU272" s="627" t="str">
        <f t="array" ref="AU272">IFERROR(IF($Q$21="Yes",INDEX($AP$23:$AP$2323,SMALL(IF((County=$AQ$23:$AQ$2323),MATCH(ROW($AQ$23:$AQ$2323),ROW($AQ$23:$AQ$2323)),""),ROWS($A$23:$A272))),""),"")</f>
        <v/>
      </c>
      <c r="AW272" s="1802">
        <v>33810</v>
      </c>
      <c r="AX272" s="622" t="s">
        <v>91</v>
      </c>
      <c r="AZ272" s="622">
        <v>27.03</v>
      </c>
      <c r="BA272" s="625" t="s">
        <v>51</v>
      </c>
      <c r="BF272" s="1837"/>
      <c r="BG272" s="1837"/>
      <c r="BI272" s="1365"/>
      <c r="BJ272" s="1365"/>
      <c r="BK272" s="1365"/>
      <c r="BL272" s="1365"/>
      <c r="BM272" s="1365"/>
      <c r="BN272" s="1365"/>
      <c r="BO272" s="1365"/>
      <c r="BP272" s="1365"/>
      <c r="BQ272" s="1365"/>
      <c r="BR272" s="1365"/>
      <c r="BS272" s="1365"/>
    </row>
    <row r="273" spans="1:71">
      <c r="A273" s="1802">
        <v>33477</v>
      </c>
      <c r="B273" s="622" t="s">
        <v>87</v>
      </c>
      <c r="E273" s="1"/>
      <c r="F273" s="622">
        <v>301.06</v>
      </c>
      <c r="G273" s="625" t="s">
        <v>69</v>
      </c>
      <c r="L273" s="626">
        <v>704.01</v>
      </c>
      <c r="M273" s="626" t="s">
        <v>36</v>
      </c>
      <c r="Q273" s="627" t="str">
        <f t="array" ref="Q273">IFERROR(IF($Q$21="Yes",INDEX($L$23:$L$2323,SMALL(IF((County=$M$23:$M$2323),MATCH(ROW($M$23:$M$2323),ROW($M$23:$M$2323)),""),ROWS($A$23:A273))),""),"")</f>
        <v/>
      </c>
      <c r="S273" s="623">
        <v>33884</v>
      </c>
      <c r="T273" s="622" t="s">
        <v>91</v>
      </c>
      <c r="V273" s="622">
        <v>38</v>
      </c>
      <c r="W273" s="625" t="s">
        <v>63</v>
      </c>
      <c r="AB273" s="626">
        <v>19.07</v>
      </c>
      <c r="AC273" s="626" t="s">
        <v>75</v>
      </c>
      <c r="AE273" s="1802">
        <v>33470</v>
      </c>
      <c r="AF273" s="622" t="s">
        <v>87</v>
      </c>
      <c r="AI273" s="1376"/>
      <c r="AJ273" s="622">
        <v>142</v>
      </c>
      <c r="AK273" s="625" t="s">
        <v>63</v>
      </c>
      <c r="AP273" s="1837"/>
      <c r="AQ273" s="1837"/>
      <c r="AU273" s="627" t="str">
        <f t="array" ref="AU273">IFERROR(IF($Q$21="Yes",INDEX($AP$23:$AP$2323,SMALL(IF((County=$AQ$23:$AQ$2323),MATCH(ROW($AQ$23:$AQ$2323),ROW($AQ$23:$AQ$2323)),""),ROWS($A$23:$A273))),""),"")</f>
        <v/>
      </c>
      <c r="AW273" s="1802">
        <v>33811</v>
      </c>
      <c r="AX273" s="622" t="s">
        <v>91</v>
      </c>
      <c r="AZ273" s="622">
        <v>28</v>
      </c>
      <c r="BA273" s="625" t="s">
        <v>78</v>
      </c>
      <c r="BF273" s="1837"/>
      <c r="BG273" s="1837"/>
      <c r="BI273" s="1365"/>
      <c r="BJ273" s="1365"/>
      <c r="BK273" s="1365"/>
      <c r="BL273" s="1365"/>
      <c r="BM273" s="1365"/>
      <c r="BN273" s="1365"/>
      <c r="BO273" s="1365"/>
      <c r="BP273" s="1365"/>
      <c r="BQ273" s="1365"/>
      <c r="BR273" s="1365"/>
      <c r="BS273" s="1365"/>
    </row>
    <row r="274" spans="1:71">
      <c r="A274" s="1802">
        <v>33478</v>
      </c>
      <c r="B274" s="622" t="s">
        <v>87</v>
      </c>
      <c r="E274" s="1"/>
      <c r="F274" s="622">
        <v>302.06</v>
      </c>
      <c r="G274" s="625" t="s">
        <v>69</v>
      </c>
      <c r="L274" s="626">
        <v>704.02</v>
      </c>
      <c r="M274" s="626" t="s">
        <v>36</v>
      </c>
      <c r="Q274" s="627" t="str">
        <f t="array" ref="Q274">IFERROR(IF($Q$21="Yes",INDEX($L$23:$L$2323,SMALL(IF((County=$M$23:$M$2323),MATCH(ROW($M$23:$M$2323),ROW($M$23:$M$2323)),""),ROWS($A$23:A274))),""),"")</f>
        <v/>
      </c>
      <c r="S274" s="623">
        <v>33896</v>
      </c>
      <c r="T274" s="622" t="s">
        <v>91</v>
      </c>
      <c r="V274" s="622">
        <v>39</v>
      </c>
      <c r="W274" s="625" t="s">
        <v>63</v>
      </c>
      <c r="AB274" s="626">
        <v>19.07</v>
      </c>
      <c r="AC274" s="626" t="s">
        <v>96</v>
      </c>
      <c r="AE274" s="1802">
        <v>33472</v>
      </c>
      <c r="AF274" s="622" t="s">
        <v>87</v>
      </c>
      <c r="AI274" s="1376"/>
      <c r="AJ274" s="622">
        <v>503.03</v>
      </c>
      <c r="AK274" s="625" t="s">
        <v>65</v>
      </c>
      <c r="AP274" s="1837"/>
      <c r="AQ274" s="1837"/>
      <c r="AU274" s="627" t="str">
        <f t="array" ref="AU274">IFERROR(IF($Q$21="Yes",INDEX($AP$23:$AP$2323,SMALL(IF((County=$AQ$23:$AQ$2323),MATCH(ROW($AQ$23:$AQ$2323),ROW($AQ$23:$AQ$2323)),""),ROWS($A$23:$A274))),""),"")</f>
        <v/>
      </c>
      <c r="AW274" s="1802">
        <v>33812</v>
      </c>
      <c r="AX274" s="622" t="s">
        <v>91</v>
      </c>
      <c r="AZ274" s="622">
        <v>28.01</v>
      </c>
      <c r="BA274" s="625" t="s">
        <v>49</v>
      </c>
      <c r="BF274" s="1837"/>
      <c r="BG274" s="1837"/>
      <c r="BI274" s="1365"/>
      <c r="BJ274" s="1365"/>
      <c r="BK274" s="1365"/>
      <c r="BL274" s="1365"/>
      <c r="BM274" s="1365"/>
      <c r="BN274" s="1365"/>
      <c r="BO274" s="1365"/>
      <c r="BP274" s="1365"/>
      <c r="BQ274" s="1365"/>
      <c r="BR274" s="1365"/>
      <c r="BS274" s="1365"/>
    </row>
    <row r="275" spans="1:71">
      <c r="A275" s="1802">
        <v>33480</v>
      </c>
      <c r="B275" s="622" t="s">
        <v>87</v>
      </c>
      <c r="E275" s="1"/>
      <c r="F275" s="622">
        <v>302.08999999999997</v>
      </c>
      <c r="G275" s="625" t="s">
        <v>69</v>
      </c>
      <c r="L275" s="626">
        <v>704.03</v>
      </c>
      <c r="M275" s="626" t="s">
        <v>36</v>
      </c>
      <c r="Q275" s="627" t="str">
        <f t="array" ref="Q275">IFERROR(IF($Q$21="Yes",INDEX($L$23:$L$2323,SMALL(IF((County=$M$23:$M$2323),MATCH(ROW($M$23:$M$2323),ROW($M$23:$M$2323)),""),ROWS($A$23:A275))),""),"")</f>
        <v/>
      </c>
      <c r="S275" s="623">
        <v>33897</v>
      </c>
      <c r="T275" s="622" t="s">
        <v>91</v>
      </c>
      <c r="V275" s="622">
        <v>39.11</v>
      </c>
      <c r="W275" s="625" t="s">
        <v>78</v>
      </c>
      <c r="AB275" s="626">
        <v>19.079999999999998</v>
      </c>
      <c r="AC275" s="626" t="s">
        <v>70</v>
      </c>
      <c r="AE275" s="1802">
        <v>33473</v>
      </c>
      <c r="AF275" s="622" t="s">
        <v>87</v>
      </c>
      <c r="AI275" s="1376"/>
      <c r="AJ275" s="622">
        <v>503.04</v>
      </c>
      <c r="AK275" s="625" t="s">
        <v>65</v>
      </c>
      <c r="AP275" s="1837"/>
      <c r="AQ275" s="1837"/>
      <c r="AU275" s="627" t="str">
        <f t="array" ref="AU275">IFERROR(IF($Q$21="Yes",INDEX($AP$23:$AP$2323,SMALL(IF((County=$AQ$23:$AQ$2323),MATCH(ROW($AQ$23:$AQ$2323),ROW($AQ$23:$AQ$2323)),""),ROWS($A$23:$A275))),""),"")</f>
        <v/>
      </c>
      <c r="AW275" s="1802">
        <v>33813</v>
      </c>
      <c r="AX275" s="622" t="s">
        <v>91</v>
      </c>
      <c r="AZ275" s="622">
        <v>28.02</v>
      </c>
      <c r="BA275" s="625" t="s">
        <v>49</v>
      </c>
      <c r="BF275" s="1837"/>
      <c r="BG275" s="1837"/>
      <c r="BI275" s="1365"/>
      <c r="BJ275" s="1365"/>
      <c r="BK275" s="1365"/>
      <c r="BL275" s="1365"/>
      <c r="BM275" s="1365"/>
      <c r="BN275" s="1365"/>
      <c r="BO275" s="1365"/>
      <c r="BP275" s="1365"/>
      <c r="BQ275" s="1365"/>
      <c r="BR275" s="1365"/>
      <c r="BS275" s="1365"/>
    </row>
    <row r="276" spans="1:71">
      <c r="A276" s="1802">
        <v>33483</v>
      </c>
      <c r="B276" s="622" t="s">
        <v>87</v>
      </c>
      <c r="E276" s="1"/>
      <c r="F276" s="622">
        <v>305.02999999999997</v>
      </c>
      <c r="G276" s="625" t="s">
        <v>69</v>
      </c>
      <c r="L276" s="626">
        <v>704.04</v>
      </c>
      <c r="M276" s="626" t="s">
        <v>36</v>
      </c>
      <c r="Q276" s="627" t="str">
        <f t="array" ref="Q276">IFERROR(IF($Q$21="Yes",INDEX($L$23:$L$2323,SMALL(IF((County=$M$23:$M$2323),MATCH(ROW($M$23:$M$2323),ROW($M$23:$M$2323)),""),ROWS($A$23:A276))),""),"")</f>
        <v/>
      </c>
      <c r="S276" s="623">
        <v>33908</v>
      </c>
      <c r="T276" s="622" t="s">
        <v>70</v>
      </c>
      <c r="V276" s="622">
        <v>40</v>
      </c>
      <c r="W276" s="625" t="s">
        <v>63</v>
      </c>
      <c r="AB276" s="626">
        <v>19.079999999999998</v>
      </c>
      <c r="AC276" s="626" t="s">
        <v>96</v>
      </c>
      <c r="AE276" s="1802">
        <v>33477</v>
      </c>
      <c r="AF276" s="622" t="s">
        <v>87</v>
      </c>
      <c r="AI276" s="1376"/>
      <c r="AJ276" s="622">
        <v>504.01</v>
      </c>
      <c r="AK276" s="625" t="s">
        <v>65</v>
      </c>
      <c r="AP276" s="1837"/>
      <c r="AQ276" s="1837"/>
      <c r="AU276" s="627" t="str">
        <f t="array" ref="AU276">IFERROR(IF($Q$21="Yes",INDEX($AP$23:$AP$2323,SMALL(IF((County=$AQ$23:$AQ$2323),MATCH(ROW($AQ$23:$AQ$2323),ROW($AQ$23:$AQ$2323)),""),ROWS($A$23:$A276))),""),"")</f>
        <v/>
      </c>
      <c r="AW276" s="1802">
        <v>33827</v>
      </c>
      <c r="AX276" s="622" t="s">
        <v>91</v>
      </c>
      <c r="AZ276" s="622">
        <v>29</v>
      </c>
      <c r="BA276" s="625" t="s">
        <v>51</v>
      </c>
      <c r="BF276" s="1837"/>
      <c r="BG276" s="1837"/>
      <c r="BI276" s="1365"/>
      <c r="BJ276" s="1365"/>
      <c r="BK276" s="1365"/>
      <c r="BL276" s="1365"/>
      <c r="BM276" s="1365"/>
      <c r="BN276" s="1365"/>
      <c r="BO276" s="1365"/>
      <c r="BP276" s="1365"/>
      <c r="BQ276" s="1365"/>
      <c r="BR276" s="1365"/>
      <c r="BS276" s="1365"/>
    </row>
    <row r="277" spans="1:71">
      <c r="A277" s="1802">
        <v>33486</v>
      </c>
      <c r="B277" s="622" t="s">
        <v>87</v>
      </c>
      <c r="E277" s="1"/>
      <c r="F277" s="622">
        <v>306.01</v>
      </c>
      <c r="G277" s="625" t="s">
        <v>69</v>
      </c>
      <c r="L277" s="626">
        <v>704.05</v>
      </c>
      <c r="M277" s="626" t="s">
        <v>36</v>
      </c>
      <c r="Q277" s="627" t="str">
        <f t="array" ref="Q277">IFERROR(IF($Q$21="Yes",INDEX($L$23:$L$2323,SMALL(IF((County=$M$23:$M$2323),MATCH(ROW($M$23:$M$2323),ROW($M$23:$M$2323)),""),ROWS($A$23:A277))),""),"")</f>
        <v/>
      </c>
      <c r="S277" s="623">
        <v>33909</v>
      </c>
      <c r="T277" s="622" t="s">
        <v>70</v>
      </c>
      <c r="V277" s="622">
        <v>40.07</v>
      </c>
      <c r="W277" s="625" t="s">
        <v>87</v>
      </c>
      <c r="AB277" s="626">
        <v>19.09</v>
      </c>
      <c r="AC277" s="626" t="s">
        <v>75</v>
      </c>
      <c r="AE277" s="1802">
        <v>33478</v>
      </c>
      <c r="AF277" s="622" t="s">
        <v>87</v>
      </c>
      <c r="AI277" s="1376"/>
      <c r="AJ277" s="622">
        <v>301.06</v>
      </c>
      <c r="AK277" s="625" t="s">
        <v>69</v>
      </c>
      <c r="AP277" s="1837"/>
      <c r="AQ277" s="1837"/>
      <c r="AU277" s="627" t="str">
        <f t="array" ref="AU277">IFERROR(IF($Q$21="Yes",INDEX($AP$23:$AP$2323,SMALL(IF((County=$AQ$23:$AQ$2323),MATCH(ROW($AQ$23:$AQ$2323),ROW($AQ$23:$AQ$2323)),""),ROWS($A$23:$A277))),""),"")</f>
        <v/>
      </c>
      <c r="AW277" s="1802">
        <v>33837</v>
      </c>
      <c r="AX277" s="622" t="s">
        <v>91</v>
      </c>
      <c r="AZ277" s="622">
        <v>29</v>
      </c>
      <c r="BA277" s="625" t="s">
        <v>78</v>
      </c>
      <c r="BF277" s="1837"/>
      <c r="BG277" s="1837"/>
      <c r="BI277" s="1365"/>
      <c r="BJ277" s="1365"/>
      <c r="BK277" s="1365"/>
      <c r="BL277" s="1365"/>
      <c r="BM277" s="1365"/>
      <c r="BN277" s="1365"/>
      <c r="BO277" s="1365"/>
      <c r="BP277" s="1365"/>
      <c r="BQ277" s="1365"/>
      <c r="BR277" s="1365"/>
      <c r="BS277" s="1365"/>
    </row>
    <row r="278" spans="1:71">
      <c r="A278" s="1802">
        <v>33487</v>
      </c>
      <c r="B278" s="622" t="s">
        <v>87</v>
      </c>
      <c r="E278" s="1"/>
      <c r="F278" s="622">
        <v>306.02</v>
      </c>
      <c r="G278" s="625" t="s">
        <v>69</v>
      </c>
      <c r="L278" s="626">
        <v>705.01</v>
      </c>
      <c r="M278" s="626" t="s">
        <v>36</v>
      </c>
      <c r="Q278" s="627" t="str">
        <f t="array" ref="Q278">IFERROR(IF($Q$21="Yes",INDEX($L$23:$L$2323,SMALL(IF((County=$M$23:$M$2323),MATCH(ROW($M$23:$M$2323),ROW($M$23:$M$2323)),""),ROWS($A$23:A278))),""),"")</f>
        <v/>
      </c>
      <c r="S278" s="623">
        <v>33912</v>
      </c>
      <c r="T278" s="622" t="s">
        <v>70</v>
      </c>
      <c r="V278" s="622">
        <v>40.090000000000003</v>
      </c>
      <c r="W278" s="625" t="s">
        <v>87</v>
      </c>
      <c r="AB278" s="626">
        <v>19.100000000000001</v>
      </c>
      <c r="AC278" s="626" t="s">
        <v>75</v>
      </c>
      <c r="AE278" s="1802">
        <v>33480</v>
      </c>
      <c r="AF278" s="622" t="s">
        <v>87</v>
      </c>
      <c r="AI278" s="1376"/>
      <c r="AJ278" s="622">
        <v>302.06</v>
      </c>
      <c r="AK278" s="625" t="s">
        <v>69</v>
      </c>
      <c r="AP278" s="1837"/>
      <c r="AQ278" s="1837"/>
      <c r="AU278" s="627" t="str">
        <f t="array" ref="AU278">IFERROR(IF($Q$21="Yes",INDEX($AP$23:$AP$2323,SMALL(IF((County=$AQ$23:$AQ$2323),MATCH(ROW($AQ$23:$AQ$2323),ROW($AQ$23:$AQ$2323)),""),ROWS($A$23:$A278))),""),"")</f>
        <v/>
      </c>
      <c r="AW278" s="1802">
        <v>33848</v>
      </c>
      <c r="AX278" s="622" t="s">
        <v>86</v>
      </c>
      <c r="AZ278" s="622">
        <v>29</v>
      </c>
      <c r="BA278" s="622" t="s">
        <v>87</v>
      </c>
      <c r="BF278" s="1837"/>
      <c r="BG278" s="1837"/>
      <c r="BI278" s="1365"/>
      <c r="BJ278" s="1365"/>
      <c r="BK278" s="1365"/>
      <c r="BL278" s="1365"/>
      <c r="BM278" s="1365"/>
      <c r="BN278" s="1365"/>
      <c r="BO278" s="1365"/>
      <c r="BP278" s="1365"/>
      <c r="BQ278" s="1365"/>
      <c r="BR278" s="1365"/>
      <c r="BS278" s="1365"/>
    </row>
    <row r="279" spans="1:71">
      <c r="A279" s="1802">
        <v>33496</v>
      </c>
      <c r="B279" s="622" t="s">
        <v>87</v>
      </c>
      <c r="E279" s="1"/>
      <c r="F279" s="622">
        <v>3.01</v>
      </c>
      <c r="G279" s="625" t="s">
        <v>70</v>
      </c>
      <c r="L279" s="626">
        <v>706.02</v>
      </c>
      <c r="M279" s="626" t="s">
        <v>36</v>
      </c>
      <c r="Q279" s="627" t="str">
        <f t="array" ref="Q279">IFERROR(IF($Q$21="Yes",INDEX($L$23:$L$2323,SMALL(IF((County=$M$23:$M$2323),MATCH(ROW($M$23:$M$2323),ROW($M$23:$M$2323)),""),ROWS($A$23:A279))),""),"")</f>
        <v/>
      </c>
      <c r="S279" s="623">
        <v>33913</v>
      </c>
      <c r="T279" s="622" t="s">
        <v>70</v>
      </c>
      <c r="V279" s="622">
        <v>41</v>
      </c>
      <c r="W279" s="625" t="s">
        <v>63</v>
      </c>
      <c r="AB279" s="626">
        <v>19.11</v>
      </c>
      <c r="AC279" s="626" t="s">
        <v>70</v>
      </c>
      <c r="AE279" s="1802">
        <v>33483</v>
      </c>
      <c r="AF279" s="622" t="s">
        <v>87</v>
      </c>
      <c r="AI279" s="1376"/>
      <c r="AJ279" s="622">
        <v>302.08999999999997</v>
      </c>
      <c r="AK279" s="625" t="s">
        <v>69</v>
      </c>
      <c r="AP279" s="1837"/>
      <c r="AQ279" s="1837"/>
      <c r="AU279" s="627" t="str">
        <f t="array" ref="AU279">IFERROR(IF($Q$21="Yes",INDEX($AP$23:$AP$2323,SMALL(IF((County=$AQ$23:$AQ$2323),MATCH(ROW($AQ$23:$AQ$2323),ROW($AQ$23:$AQ$2323)),""),ROWS($A$23:$A279))),""),"")</f>
        <v/>
      </c>
      <c r="AW279" s="1802">
        <v>33851</v>
      </c>
      <c r="AX279" s="622" t="s">
        <v>91</v>
      </c>
      <c r="AZ279" s="622">
        <v>29.01</v>
      </c>
      <c r="BA279" s="625" t="s">
        <v>49</v>
      </c>
      <c r="BF279" s="1837"/>
      <c r="BG279" s="1837"/>
      <c r="BI279" s="1365"/>
      <c r="BJ279" s="1365"/>
      <c r="BK279" s="1365"/>
      <c r="BL279" s="1365"/>
      <c r="BM279" s="1365"/>
      <c r="BN279" s="1365"/>
      <c r="BO279" s="1365"/>
      <c r="BP279" s="1365"/>
      <c r="BQ279" s="1365"/>
      <c r="BR279" s="1365"/>
      <c r="BS279" s="1365"/>
    </row>
    <row r="280" spans="1:71">
      <c r="A280" s="1802">
        <v>33498</v>
      </c>
      <c r="B280" s="622" t="s">
        <v>87</v>
      </c>
      <c r="E280" s="1"/>
      <c r="F280" s="622">
        <v>3.02</v>
      </c>
      <c r="G280" s="625" t="s">
        <v>70</v>
      </c>
      <c r="L280" s="626">
        <v>801.03</v>
      </c>
      <c r="M280" s="626" t="s">
        <v>36</v>
      </c>
      <c r="Q280" s="627" t="str">
        <f t="array" ref="Q280">IFERROR(IF($Q$21="Yes",INDEX($L$23:$L$2323,SMALL(IF((County=$M$23:$M$2323),MATCH(ROW($M$23:$M$2323),ROW($M$23:$M$2323)),""),ROWS($A$23:A280))),""),"")</f>
        <v/>
      </c>
      <c r="S280" s="623">
        <v>33914</v>
      </c>
      <c r="T280" s="622" t="s">
        <v>70</v>
      </c>
      <c r="V280" s="622">
        <v>41.03</v>
      </c>
      <c r="W280" s="625" t="s">
        <v>78</v>
      </c>
      <c r="AB280" s="626">
        <v>19.11</v>
      </c>
      <c r="AC280" s="626" t="s">
        <v>75</v>
      </c>
      <c r="AE280" s="1802">
        <v>33484</v>
      </c>
      <c r="AF280" s="622" t="s">
        <v>87</v>
      </c>
      <c r="AI280" s="1376"/>
      <c r="AJ280" s="622">
        <v>305.07</v>
      </c>
      <c r="AK280" s="625" t="s">
        <v>69</v>
      </c>
      <c r="AP280" s="1837"/>
      <c r="AQ280" s="1837"/>
      <c r="AU280" s="627" t="str">
        <f t="array" ref="AU280">IFERROR(IF($Q$21="Yes",INDEX($AP$23:$AP$2323,SMALL(IF((County=$AQ$23:$AQ$2323),MATCH(ROW($AQ$23:$AQ$2323),ROW($AQ$23:$AQ$2323)),""),ROWS($A$23:$A280))),""),"")</f>
        <v/>
      </c>
      <c r="AW280" s="1802">
        <v>33875</v>
      </c>
      <c r="AX280" s="622" t="s">
        <v>62</v>
      </c>
      <c r="AZ280" s="622">
        <v>29.02</v>
      </c>
      <c r="BA280" s="622" t="s">
        <v>49</v>
      </c>
      <c r="BF280" s="1837"/>
      <c r="BG280" s="1837"/>
      <c r="BI280" s="1365"/>
      <c r="BJ280" s="1365"/>
      <c r="BK280" s="1365"/>
      <c r="BL280" s="1365"/>
      <c r="BM280" s="1365"/>
      <c r="BN280" s="1365"/>
      <c r="BO280" s="1365"/>
      <c r="BP280" s="1365"/>
      <c r="BQ280" s="1365"/>
      <c r="BR280" s="1365"/>
      <c r="BS280" s="1365"/>
    </row>
    <row r="281" spans="1:71">
      <c r="A281" s="1802">
        <v>33543</v>
      </c>
      <c r="B281" s="622" t="s">
        <v>88</v>
      </c>
      <c r="E281" s="1"/>
      <c r="F281" s="622">
        <v>4.01</v>
      </c>
      <c r="G281" s="625" t="s">
        <v>70</v>
      </c>
      <c r="L281" s="626">
        <v>804.06</v>
      </c>
      <c r="M281" s="626" t="s">
        <v>36</v>
      </c>
      <c r="Q281" s="627" t="str">
        <f t="array" ref="Q281">IFERROR(IF($Q$21="Yes",INDEX($L$23:$L$2323,SMALL(IF((County=$M$23:$M$2323),MATCH(ROW($M$23:$M$2323),ROW($M$23:$M$2323)),""),ROWS($A$23:A281))),""),"")</f>
        <v/>
      </c>
      <c r="S281" s="623">
        <v>33919</v>
      </c>
      <c r="T281" s="622" t="s">
        <v>70</v>
      </c>
      <c r="V281" s="622">
        <v>42</v>
      </c>
      <c r="W281" s="625" t="s">
        <v>63</v>
      </c>
      <c r="AB281" s="626">
        <v>19.12</v>
      </c>
      <c r="AC281" s="626" t="s">
        <v>70</v>
      </c>
      <c r="AE281" s="1802">
        <v>33486</v>
      </c>
      <c r="AF281" s="622" t="s">
        <v>87</v>
      </c>
      <c r="AI281" s="1376"/>
      <c r="AJ281" s="622">
        <v>306.01</v>
      </c>
      <c r="AK281" s="625" t="s">
        <v>69</v>
      </c>
      <c r="AP281" s="1837"/>
      <c r="AQ281" s="1837"/>
      <c r="AU281" s="627" t="str">
        <f t="array" ref="AU281">IFERROR(IF($Q$21="Yes",INDEX($AP$23:$AP$2323,SMALL(IF((County=$AQ$23:$AQ$2323),MATCH(ROW($AQ$23:$AQ$2323),ROW($AQ$23:$AQ$2323)),""),ROWS($A$23:$A281))),""),"")</f>
        <v/>
      </c>
      <c r="AW281" s="1802">
        <v>33876</v>
      </c>
      <c r="AX281" s="622" t="s">
        <v>62</v>
      </c>
      <c r="AZ281" s="622">
        <v>30</v>
      </c>
      <c r="BA281" s="625" t="s">
        <v>63</v>
      </c>
      <c r="BF281" s="1837"/>
      <c r="BG281" s="1837"/>
      <c r="BI281" s="1365"/>
      <c r="BJ281" s="1365"/>
      <c r="BK281" s="1365"/>
      <c r="BL281" s="1365"/>
      <c r="BM281" s="1365"/>
      <c r="BN281" s="1365"/>
      <c r="BO281" s="1365"/>
      <c r="BP281" s="1365"/>
      <c r="BQ281" s="1365"/>
      <c r="BR281" s="1365"/>
      <c r="BS281" s="1365"/>
    </row>
    <row r="282" spans="1:71">
      <c r="A282" s="1802">
        <v>33544</v>
      </c>
      <c r="B282" s="622" t="s">
        <v>88</v>
      </c>
      <c r="E282" s="1"/>
      <c r="F282" s="622">
        <v>5.0199999999999996</v>
      </c>
      <c r="G282" s="625" t="s">
        <v>70</v>
      </c>
      <c r="L282" s="626">
        <v>901.01</v>
      </c>
      <c r="M282" s="626" t="s">
        <v>36</v>
      </c>
      <c r="Q282" s="627" t="str">
        <f t="array" ref="Q282">IFERROR(IF($Q$21="Yes",INDEX($L$23:$L$2323,SMALL(IF((County=$M$23:$M$2323),MATCH(ROW($M$23:$M$2323),ROW($M$23:$M$2323)),""),ROWS($A$23:A282))),""),"")</f>
        <v/>
      </c>
      <c r="S282" s="623">
        <v>33921</v>
      </c>
      <c r="T282" s="622" t="s">
        <v>70</v>
      </c>
      <c r="V282" s="622">
        <v>43</v>
      </c>
      <c r="W282" s="625" t="s">
        <v>63</v>
      </c>
      <c r="AB282" s="626">
        <v>19.12</v>
      </c>
      <c r="AC282" s="626" t="s">
        <v>75</v>
      </c>
      <c r="AE282" s="1802">
        <v>33487</v>
      </c>
      <c r="AF282" s="622" t="s">
        <v>87</v>
      </c>
      <c r="AI282" s="1376"/>
      <c r="AJ282" s="622">
        <v>306.02</v>
      </c>
      <c r="AK282" s="625" t="s">
        <v>69</v>
      </c>
      <c r="AP282" s="1837"/>
      <c r="AQ282" s="1837"/>
      <c r="AU282" s="627" t="str">
        <f t="array" ref="AU282">IFERROR(IF($Q$21="Yes",INDEX($AP$23:$AP$2323,SMALL(IF((County=$AQ$23:$AQ$2323),MATCH(ROW($AQ$23:$AQ$2323),ROW($AQ$23:$AQ$2323)),""),ROWS($A$23:$A282))),""),"")</f>
        <v/>
      </c>
      <c r="AW282" s="1802">
        <v>33884</v>
      </c>
      <c r="AX282" s="622" t="s">
        <v>91</v>
      </c>
      <c r="AZ282" s="622">
        <v>30</v>
      </c>
      <c r="BA282" s="622" t="s">
        <v>87</v>
      </c>
      <c r="BF282" s="1837"/>
      <c r="BG282" s="1837"/>
      <c r="BI282" s="1365"/>
      <c r="BJ282" s="1365"/>
      <c r="BK282" s="1365"/>
      <c r="BL282" s="1365"/>
      <c r="BM282" s="1365"/>
      <c r="BN282" s="1365"/>
      <c r="BO282" s="1365"/>
      <c r="BP282" s="1365"/>
      <c r="BQ282" s="1365"/>
      <c r="BR282" s="1365"/>
      <c r="BS282" s="1365"/>
    </row>
    <row r="283" spans="1:71">
      <c r="A283" s="1802">
        <v>33545</v>
      </c>
      <c r="B283" s="622" t="s">
        <v>88</v>
      </c>
      <c r="E283" s="1"/>
      <c r="F283" s="622">
        <v>5.04</v>
      </c>
      <c r="G283" s="625" t="s">
        <v>70</v>
      </c>
      <c r="L283" s="626">
        <v>901.02</v>
      </c>
      <c r="M283" s="626" t="s">
        <v>36</v>
      </c>
      <c r="Q283" s="627" t="str">
        <f t="array" ref="Q283">IFERROR(IF($Q$21="Yes",INDEX($L$23:$L$2323,SMALL(IF((County=$M$23:$M$2323),MATCH(ROW($M$23:$M$2323),ROW($M$23:$M$2323)),""),ROWS($A$23:A283))),""),"")</f>
        <v/>
      </c>
      <c r="S283" s="623">
        <v>33924</v>
      </c>
      <c r="T283" s="622" t="s">
        <v>70</v>
      </c>
      <c r="V283" s="622">
        <v>44</v>
      </c>
      <c r="W283" s="625" t="s">
        <v>63</v>
      </c>
      <c r="AB283" s="626">
        <v>19.13</v>
      </c>
      <c r="AC283" s="626" t="s">
        <v>75</v>
      </c>
      <c r="AE283" s="1802">
        <v>33496</v>
      </c>
      <c r="AF283" s="622" t="s">
        <v>87</v>
      </c>
      <c r="AI283" s="1376"/>
      <c r="AJ283" s="622">
        <v>3.05</v>
      </c>
      <c r="AK283" s="625" t="s">
        <v>70</v>
      </c>
      <c r="AP283" s="1837"/>
      <c r="AQ283" s="1837"/>
      <c r="AU283" s="627" t="str">
        <f t="array" ref="AU283">IFERROR(IF($Q$21="Yes",INDEX($AP$23:$AP$2323,SMALL(IF((County=$AQ$23:$AQ$2323),MATCH(ROW($AQ$23:$AQ$2323),ROW($AQ$23:$AQ$2323)),""),ROWS($A$23:$A283))),""),"")</f>
        <v/>
      </c>
      <c r="AW283" s="1802">
        <v>33896</v>
      </c>
      <c r="AX283" s="622" t="s">
        <v>91</v>
      </c>
      <c r="AZ283" s="622">
        <v>30.01</v>
      </c>
      <c r="BA283" s="625" t="s">
        <v>78</v>
      </c>
      <c r="BF283" s="1837"/>
      <c r="BG283" s="1837"/>
      <c r="BI283" s="1365"/>
      <c r="BJ283" s="1365"/>
      <c r="BK283" s="1365"/>
      <c r="BL283" s="1365"/>
      <c r="BM283" s="1365"/>
      <c r="BN283" s="1365"/>
      <c r="BO283" s="1365"/>
      <c r="BP283" s="1365"/>
      <c r="BQ283" s="1365"/>
      <c r="BR283" s="1365"/>
      <c r="BS283" s="1365"/>
    </row>
    <row r="284" spans="1:71">
      <c r="A284" s="1802">
        <v>34637</v>
      </c>
      <c r="B284" s="622" t="s">
        <v>88</v>
      </c>
      <c r="E284" s="1"/>
      <c r="F284" s="622">
        <v>6</v>
      </c>
      <c r="G284" s="625" t="s">
        <v>70</v>
      </c>
      <c r="L284" s="626">
        <v>902</v>
      </c>
      <c r="M284" s="626" t="s">
        <v>36</v>
      </c>
      <c r="Q284" s="627" t="str">
        <f t="array" ref="Q284">IFERROR(IF($Q$21="Yes",INDEX($L$23:$L$2323,SMALL(IF((County=$M$23:$M$2323),MATCH(ROW($M$23:$M$2323),ROW($M$23:$M$2323)),""),ROWS($A$23:A284))),""),"")</f>
        <v/>
      </c>
      <c r="S284" s="623">
        <v>33928</v>
      </c>
      <c r="T284" s="622" t="s">
        <v>70</v>
      </c>
      <c r="V284" s="622">
        <v>44.02</v>
      </c>
      <c r="W284" s="625" t="s">
        <v>87</v>
      </c>
      <c r="AB284" s="626">
        <v>19.14</v>
      </c>
      <c r="AC284" s="626" t="s">
        <v>75</v>
      </c>
      <c r="AE284" s="1802">
        <v>33498</v>
      </c>
      <c r="AF284" s="622" t="s">
        <v>87</v>
      </c>
      <c r="AI284" s="1376"/>
      <c r="AJ284" s="622">
        <v>3.06</v>
      </c>
      <c r="AK284" s="625" t="s">
        <v>70</v>
      </c>
      <c r="AP284" s="1837"/>
      <c r="AQ284" s="1837"/>
      <c r="AU284" s="627" t="str">
        <f t="array" ref="AU284">IFERROR(IF($Q$21="Yes",INDEX($AP$23:$AP$2323,SMALL(IF((County=$AQ$23:$AQ$2323),MATCH(ROW($AQ$23:$AQ$2323),ROW($AQ$23:$AQ$2323)),""),ROWS($A$23:$A284))),""),"")</f>
        <v/>
      </c>
      <c r="AW284" s="1802">
        <v>33897</v>
      </c>
      <c r="AX284" s="622" t="s">
        <v>91</v>
      </c>
      <c r="AZ284" s="622">
        <v>30.04</v>
      </c>
      <c r="BA284" s="622" t="s">
        <v>78</v>
      </c>
      <c r="BF284" s="1837"/>
      <c r="BG284" s="1837"/>
      <c r="BI284" s="1365"/>
      <c r="BJ284" s="1365"/>
      <c r="BK284" s="1365"/>
      <c r="BL284" s="1365"/>
      <c r="BM284" s="1365"/>
      <c r="BN284" s="1365"/>
      <c r="BO284" s="1365"/>
      <c r="BP284" s="1365"/>
      <c r="BQ284" s="1365"/>
      <c r="BR284" s="1365"/>
      <c r="BS284" s="1365"/>
    </row>
    <row r="285" spans="1:71">
      <c r="A285" s="1802">
        <v>34638</v>
      </c>
      <c r="B285" s="622" t="s">
        <v>88</v>
      </c>
      <c r="E285" s="1"/>
      <c r="F285" s="622">
        <v>7</v>
      </c>
      <c r="G285" s="625" t="s">
        <v>70</v>
      </c>
      <c r="L285" s="626">
        <v>905.02</v>
      </c>
      <c r="M285" s="626" t="s">
        <v>36</v>
      </c>
      <c r="Q285" s="627" t="str">
        <f t="array" ref="Q285">IFERROR(IF($Q$21="Yes",INDEX($L$23:$L$2323,SMALL(IF((County=$M$23:$M$2323),MATCH(ROW($M$23:$M$2323),ROW($M$23:$M$2323)),""),ROWS($A$23:A285))),""),"")</f>
        <v/>
      </c>
      <c r="S285" s="623">
        <v>33946</v>
      </c>
      <c r="T285" s="622" t="s">
        <v>41</v>
      </c>
      <c r="V285" s="622">
        <v>44.04</v>
      </c>
      <c r="W285" s="625" t="s">
        <v>78</v>
      </c>
      <c r="AB285" s="626">
        <v>19.14</v>
      </c>
      <c r="AC285" s="626" t="s">
        <v>87</v>
      </c>
      <c r="AE285" s="1802">
        <v>33543</v>
      </c>
      <c r="AF285" s="622" t="s">
        <v>88</v>
      </c>
      <c r="AI285" s="1376"/>
      <c r="AJ285" s="622">
        <v>5.0199999999999996</v>
      </c>
      <c r="AK285" s="625" t="s">
        <v>70</v>
      </c>
      <c r="AP285" s="1837"/>
      <c r="AQ285" s="1837"/>
      <c r="AU285" s="627" t="str">
        <f t="array" ref="AU285">IFERROR(IF($Q$21="Yes",INDEX($AP$23:$AP$2323,SMALL(IF((County=$AQ$23:$AQ$2323),MATCH(ROW($AQ$23:$AQ$2323),ROW($AQ$23:$AQ$2323)),""),ROWS($A$23:$A285))),""),"")</f>
        <v/>
      </c>
      <c r="AW285" s="1802">
        <v>33908</v>
      </c>
      <c r="AX285" s="622" t="s">
        <v>70</v>
      </c>
      <c r="AZ285" s="622">
        <v>30.05</v>
      </c>
      <c r="BA285" s="622" t="s">
        <v>78</v>
      </c>
      <c r="BF285" s="1837"/>
      <c r="BG285" s="1837"/>
      <c r="BI285" s="1365"/>
      <c r="BJ285" s="1365"/>
      <c r="BK285" s="1365"/>
      <c r="BL285" s="1365"/>
      <c r="BM285" s="1365"/>
      <c r="BN285" s="1365"/>
      <c r="BO285" s="1365"/>
      <c r="BP285" s="1365"/>
      <c r="BQ285" s="1365"/>
      <c r="BR285" s="1365"/>
      <c r="BS285" s="1365"/>
    </row>
    <row r="286" spans="1:71">
      <c r="A286" s="1802">
        <v>34639</v>
      </c>
      <c r="B286" s="622" t="s">
        <v>88</v>
      </c>
      <c r="E286" s="1"/>
      <c r="F286" s="622">
        <v>11.01</v>
      </c>
      <c r="G286" s="625" t="s">
        <v>70</v>
      </c>
      <c r="L286" s="626">
        <v>905.03</v>
      </c>
      <c r="M286" s="626" t="s">
        <v>36</v>
      </c>
      <c r="Q286" s="627" t="str">
        <f t="array" ref="Q286">IFERROR(IF($Q$21="Yes",INDEX($L$23:$L$2323,SMALL(IF((County=$M$23:$M$2323),MATCH(ROW($M$23:$M$2323),ROW($M$23:$M$2323)),""),ROWS($A$23:A286))),""),"")</f>
        <v/>
      </c>
      <c r="S286" s="623">
        <v>33947</v>
      </c>
      <c r="T286" s="622" t="s">
        <v>41</v>
      </c>
      <c r="V286" s="622">
        <v>45</v>
      </c>
      <c r="W286" s="625" t="s">
        <v>87</v>
      </c>
      <c r="AB286" s="626">
        <v>19.149999999999999</v>
      </c>
      <c r="AC286" s="626" t="s">
        <v>70</v>
      </c>
      <c r="AE286" s="1802">
        <v>33544</v>
      </c>
      <c r="AF286" s="622" t="s">
        <v>88</v>
      </c>
      <c r="AI286" s="1376"/>
      <c r="AJ286" s="622">
        <v>5.04</v>
      </c>
      <c r="AK286" s="625" t="s">
        <v>70</v>
      </c>
      <c r="AP286" s="1837"/>
      <c r="AQ286" s="1837"/>
      <c r="AU286" s="627" t="str">
        <f t="array" ref="AU286">IFERROR(IF($Q$21="Yes",INDEX($AP$23:$AP$2323,SMALL(IF((County=$AQ$23:$AQ$2323),MATCH(ROW($AQ$23:$AQ$2323),ROW($AQ$23:$AQ$2323)),""),ROWS($A$23:$A286))),""),"")</f>
        <v/>
      </c>
      <c r="AW286" s="1802">
        <v>33912</v>
      </c>
      <c r="AX286" s="622" t="s">
        <v>70</v>
      </c>
      <c r="AZ286" s="622">
        <v>30.06</v>
      </c>
      <c r="BA286" s="622" t="s">
        <v>78</v>
      </c>
      <c r="BF286" s="1837"/>
      <c r="BG286" s="1837"/>
      <c r="BI286" s="1365"/>
      <c r="BJ286" s="1365"/>
      <c r="BK286" s="1365"/>
      <c r="BL286" s="1365"/>
      <c r="BM286" s="1365"/>
      <c r="BN286" s="1365"/>
      <c r="BO286" s="1365"/>
      <c r="BP286" s="1365"/>
      <c r="BQ286" s="1365"/>
      <c r="BR286" s="1365"/>
      <c r="BS286" s="1365"/>
    </row>
    <row r="287" spans="1:71">
      <c r="A287" s="1802">
        <v>34655</v>
      </c>
      <c r="B287" s="622" t="s">
        <v>88</v>
      </c>
      <c r="E287" s="1"/>
      <c r="F287" s="622">
        <v>11.02</v>
      </c>
      <c r="G287" s="625" t="s">
        <v>70</v>
      </c>
      <c r="L287" s="626">
        <v>906.01</v>
      </c>
      <c r="M287" s="626" t="s">
        <v>36</v>
      </c>
      <c r="Q287" s="627" t="str">
        <f t="array" ref="Q287">IFERROR(IF($Q$21="Yes",INDEX($L$23:$L$2323,SMALL(IF((County=$M$23:$M$2323),MATCH(ROW($M$23:$M$2323),ROW($M$23:$M$2323)),""),ROWS($A$23:A287))),""),"")</f>
        <v/>
      </c>
      <c r="S287" s="623">
        <v>33954</v>
      </c>
      <c r="T287" s="622" t="s">
        <v>41</v>
      </c>
      <c r="V287" s="622">
        <v>46.02</v>
      </c>
      <c r="W287" s="625" t="s">
        <v>87</v>
      </c>
      <c r="AB287" s="626">
        <v>19.149999999999999</v>
      </c>
      <c r="AC287" s="626" t="s">
        <v>87</v>
      </c>
      <c r="AE287" s="1802">
        <v>33545</v>
      </c>
      <c r="AF287" s="622" t="s">
        <v>88</v>
      </c>
      <c r="AI287" s="1376"/>
      <c r="AJ287" s="622">
        <v>6</v>
      </c>
      <c r="AK287" s="625" t="s">
        <v>70</v>
      </c>
      <c r="AP287" s="1837"/>
      <c r="AQ287" s="1837"/>
      <c r="AU287" s="627" t="str">
        <f t="array" ref="AU287">IFERROR(IF($Q$21="Yes",INDEX($AP$23:$AP$2323,SMALL(IF((County=$AQ$23:$AQ$2323),MATCH(ROW($AQ$23:$AQ$2323),ROW($AQ$23:$AQ$2323)),""),ROWS($A$23:$A287))),""),"")</f>
        <v/>
      </c>
      <c r="AW287" s="1802">
        <v>33913</v>
      </c>
      <c r="AX287" s="622" t="s">
        <v>70</v>
      </c>
      <c r="AZ287" s="622">
        <v>31</v>
      </c>
      <c r="BA287" s="625" t="s">
        <v>51</v>
      </c>
      <c r="BF287" s="1837"/>
      <c r="BG287" s="1837"/>
      <c r="BI287" s="1365"/>
      <c r="BJ287" s="1365"/>
      <c r="BK287" s="1365"/>
      <c r="BL287" s="1365"/>
      <c r="BM287" s="1365"/>
      <c r="BN287" s="1365"/>
      <c r="BO287" s="1365"/>
      <c r="BP287" s="1365"/>
      <c r="BQ287" s="1365"/>
      <c r="BR287" s="1365"/>
      <c r="BS287" s="1365"/>
    </row>
    <row r="288" spans="1:71">
      <c r="A288" s="1802">
        <v>33703</v>
      </c>
      <c r="B288" s="622" t="s">
        <v>89</v>
      </c>
      <c r="E288" s="1"/>
      <c r="F288" s="622">
        <v>15.02</v>
      </c>
      <c r="G288" s="625" t="s">
        <v>70</v>
      </c>
      <c r="L288" s="626">
        <v>908.01</v>
      </c>
      <c r="M288" s="626" t="s">
        <v>36</v>
      </c>
      <c r="Q288" s="627" t="str">
        <f t="array" ref="Q288">IFERROR(IF($Q$21="Yes",INDEX($L$23:$L$2323,SMALL(IF((County=$M$23:$M$2323),MATCH(ROW($M$23:$M$2323),ROW($M$23:$M$2323)),""),ROWS($A$23:A288))),""),"")</f>
        <v/>
      </c>
      <c r="S288" s="623">
        <v>33955</v>
      </c>
      <c r="T288" s="622" t="s">
        <v>41</v>
      </c>
      <c r="V288" s="622">
        <v>47.04</v>
      </c>
      <c r="W288" s="625" t="s">
        <v>87</v>
      </c>
      <c r="AB288" s="626">
        <v>19.16</v>
      </c>
      <c r="AC288" s="626" t="s">
        <v>87</v>
      </c>
      <c r="AE288" s="1802">
        <v>34637</v>
      </c>
      <c r="AF288" s="622" t="s">
        <v>88</v>
      </c>
      <c r="AI288" s="1376"/>
      <c r="AJ288" s="622">
        <v>7</v>
      </c>
      <c r="AK288" s="625" t="s">
        <v>70</v>
      </c>
      <c r="AP288" s="1837"/>
      <c r="AQ288" s="1837"/>
      <c r="AU288" s="627" t="str">
        <f t="array" ref="AU288">IFERROR(IF($Q$21="Yes",INDEX($AP$23:$AP$2323,SMALL(IF((County=$AQ$23:$AQ$2323),MATCH(ROW($AQ$23:$AQ$2323),ROW($AQ$23:$AQ$2323)),""),ROWS($A$23:$A288))),""),"")</f>
        <v/>
      </c>
      <c r="AW288" s="1802">
        <v>33921</v>
      </c>
      <c r="AX288" s="622" t="s">
        <v>70</v>
      </c>
      <c r="AZ288" s="622">
        <v>31</v>
      </c>
      <c r="BA288" s="625" t="s">
        <v>63</v>
      </c>
      <c r="BF288" s="1837"/>
      <c r="BG288" s="1837"/>
      <c r="BI288" s="1365"/>
      <c r="BJ288" s="1365"/>
      <c r="BK288" s="1365"/>
      <c r="BL288" s="1365"/>
      <c r="BM288" s="1365"/>
      <c r="BN288" s="1365"/>
      <c r="BO288" s="1365"/>
      <c r="BP288" s="1365"/>
      <c r="BQ288" s="1365"/>
      <c r="BR288" s="1365"/>
      <c r="BS288" s="1365"/>
    </row>
    <row r="289" spans="1:71">
      <c r="A289" s="1802">
        <v>33705</v>
      </c>
      <c r="B289" s="622" t="s">
        <v>89</v>
      </c>
      <c r="E289" s="1"/>
      <c r="F289" s="622">
        <v>108.02</v>
      </c>
      <c r="G289" s="625" t="s">
        <v>70</v>
      </c>
      <c r="L289" s="626">
        <v>908.02</v>
      </c>
      <c r="M289" s="626" t="s">
        <v>36</v>
      </c>
      <c r="Q289" s="627" t="str">
        <f t="array" ref="Q289">IFERROR(IF($Q$21="Yes",INDEX($L$23:$L$2323,SMALL(IF((County=$M$23:$M$2323),MATCH(ROW($M$23:$M$2323),ROW($M$23:$M$2323)),""),ROWS($A$23:A289))),""),"")</f>
        <v/>
      </c>
      <c r="S289" s="623">
        <v>33957</v>
      </c>
      <c r="T289" s="622" t="s">
        <v>70</v>
      </c>
      <c r="V289" s="622">
        <v>47.05</v>
      </c>
      <c r="W289" s="625" t="s">
        <v>87</v>
      </c>
      <c r="AB289" s="626">
        <v>20.03</v>
      </c>
      <c r="AC289" s="626" t="s">
        <v>75</v>
      </c>
      <c r="AE289" s="1802">
        <v>34638</v>
      </c>
      <c r="AF289" s="622" t="s">
        <v>88</v>
      </c>
      <c r="AI289" s="1376"/>
      <c r="AJ289" s="622">
        <v>11.01</v>
      </c>
      <c r="AK289" s="625" t="s">
        <v>70</v>
      </c>
      <c r="AP289" s="1837"/>
      <c r="AQ289" s="1837"/>
      <c r="AU289" s="627" t="str">
        <f t="array" ref="AU289">IFERROR(IF($Q$21="Yes",INDEX($AP$23:$AP$2323,SMALL(IF((County=$AQ$23:$AQ$2323),MATCH(ROW($AQ$23:$AQ$2323),ROW($AQ$23:$AQ$2323)),""),ROWS($A$23:$A289))),""),"")</f>
        <v/>
      </c>
      <c r="AW289" s="1802">
        <v>33924</v>
      </c>
      <c r="AX289" s="622" t="s">
        <v>70</v>
      </c>
      <c r="AZ289" s="622">
        <v>31</v>
      </c>
      <c r="BA289" s="625" t="s">
        <v>78</v>
      </c>
      <c r="BF289" s="1837"/>
      <c r="BG289" s="1837"/>
      <c r="BI289" s="1365"/>
      <c r="BJ289" s="1365"/>
      <c r="BK289" s="1365"/>
      <c r="BL289" s="1365"/>
      <c r="BM289" s="1365"/>
      <c r="BN289" s="1365"/>
      <c r="BO289" s="1365"/>
      <c r="BP289" s="1365"/>
      <c r="BQ289" s="1365"/>
      <c r="BR289" s="1365"/>
      <c r="BS289" s="1365"/>
    </row>
    <row r="290" spans="1:71">
      <c r="A290" s="1802">
        <v>33706</v>
      </c>
      <c r="B290" s="622" t="s">
        <v>89</v>
      </c>
      <c r="E290" s="1"/>
      <c r="F290" s="622">
        <v>203</v>
      </c>
      <c r="G290" s="625" t="s">
        <v>70</v>
      </c>
      <c r="L290" s="626">
        <v>909</v>
      </c>
      <c r="M290" s="626" t="s">
        <v>36</v>
      </c>
      <c r="Q290" s="627" t="str">
        <f t="array" ref="Q290">IFERROR(IF($Q$21="Yes",INDEX($L$23:$L$2323,SMALL(IF((County=$M$23:$M$2323),MATCH(ROW($M$23:$M$2323),ROW($M$23:$M$2323)),""),ROWS($A$23:A290))),""),"")</f>
        <v/>
      </c>
      <c r="S290" s="623">
        <v>33965</v>
      </c>
      <c r="T290" s="622" t="s">
        <v>70</v>
      </c>
      <c r="V290" s="622">
        <v>49.01</v>
      </c>
      <c r="W290" s="625" t="s">
        <v>78</v>
      </c>
      <c r="AB290" s="626">
        <v>20.04</v>
      </c>
      <c r="AC290" s="626" t="s">
        <v>96</v>
      </c>
      <c r="AE290" s="1802">
        <v>34639</v>
      </c>
      <c r="AF290" s="622" t="s">
        <v>88</v>
      </c>
      <c r="AI290" s="1376"/>
      <c r="AJ290" s="622">
        <v>11.03</v>
      </c>
      <c r="AK290" s="625" t="s">
        <v>70</v>
      </c>
      <c r="AP290" s="1837"/>
      <c r="AQ290" s="1837"/>
      <c r="AU290" s="627" t="str">
        <f t="array" ref="AU290">IFERROR(IF($Q$21="Yes",INDEX($AP$23:$AP$2323,SMALL(IF((County=$AQ$23:$AQ$2323),MATCH(ROW($AQ$23:$AQ$2323),ROW($AQ$23:$AQ$2323)),""),ROWS($A$23:$A290))),""),"")</f>
        <v/>
      </c>
      <c r="AW290" s="1802">
        <v>33928</v>
      </c>
      <c r="AX290" s="622" t="s">
        <v>70</v>
      </c>
      <c r="AZ290" s="622">
        <v>31.02</v>
      </c>
      <c r="BA290" s="622" t="s">
        <v>87</v>
      </c>
      <c r="BF290" s="1837"/>
      <c r="BG290" s="1837"/>
      <c r="BI290" s="1365"/>
      <c r="BJ290" s="1365"/>
      <c r="BK290" s="1365"/>
      <c r="BL290" s="1365"/>
      <c r="BM290" s="1365"/>
      <c r="BN290" s="1365"/>
      <c r="BO290" s="1365"/>
      <c r="BP290" s="1365"/>
      <c r="BQ290" s="1365"/>
      <c r="BR290" s="1365"/>
      <c r="BS290" s="1365"/>
    </row>
    <row r="291" spans="1:71">
      <c r="A291" s="1802">
        <v>33707</v>
      </c>
      <c r="B291" s="622" t="s">
        <v>89</v>
      </c>
      <c r="E291" s="1"/>
      <c r="F291" s="622">
        <v>205.01</v>
      </c>
      <c r="G291" s="625" t="s">
        <v>70</v>
      </c>
      <c r="L291" s="626">
        <v>910</v>
      </c>
      <c r="M291" s="626" t="s">
        <v>36</v>
      </c>
      <c r="Q291" s="627" t="str">
        <f t="array" ref="Q291">IFERROR(IF($Q$21="Yes",INDEX($L$23:$L$2323,SMALL(IF((County=$M$23:$M$2323),MATCH(ROW($M$23:$M$2323),ROW($M$23:$M$2323)),""),ROWS($A$23:A291))),""),"")</f>
        <v/>
      </c>
      <c r="S291" s="623">
        <v>33967</v>
      </c>
      <c r="T291" s="622" t="s">
        <v>70</v>
      </c>
      <c r="V291" s="622">
        <v>49.02</v>
      </c>
      <c r="W291" s="625" t="s">
        <v>78</v>
      </c>
      <c r="AB291" s="626">
        <v>20.05</v>
      </c>
      <c r="AC291" s="626" t="s">
        <v>75</v>
      </c>
      <c r="AE291" s="1802">
        <v>34655</v>
      </c>
      <c r="AF291" s="622" t="s">
        <v>88</v>
      </c>
      <c r="AI291" s="1376"/>
      <c r="AJ291" s="622">
        <v>11.04</v>
      </c>
      <c r="AK291" s="625" t="s">
        <v>70</v>
      </c>
      <c r="AP291" s="1837"/>
      <c r="AQ291" s="1837"/>
      <c r="AU291" s="627" t="str">
        <f t="array" ref="AU291">IFERROR(IF($Q$21="Yes",INDEX($AP$23:$AP$2323,SMALL(IF((County=$AQ$23:$AQ$2323),MATCH(ROW($AQ$23:$AQ$2323),ROW($AQ$23:$AQ$2323)),""),ROWS($A$23:$A291))),""),"")</f>
        <v/>
      </c>
      <c r="AW291" s="1836">
        <v>33946</v>
      </c>
      <c r="AX291" s="622" t="s">
        <v>41</v>
      </c>
      <c r="AZ291" s="622">
        <v>32</v>
      </c>
      <c r="BA291" s="625" t="s">
        <v>63</v>
      </c>
      <c r="BF291" s="1837"/>
      <c r="BG291" s="1837"/>
      <c r="BI291" s="1365"/>
      <c r="BJ291" s="1365"/>
      <c r="BK291" s="1365"/>
      <c r="BL291" s="1365"/>
      <c r="BM291" s="1365"/>
      <c r="BN291" s="1365"/>
      <c r="BO291" s="1365"/>
      <c r="BP291" s="1365"/>
      <c r="BQ291" s="1365"/>
      <c r="BR291" s="1365"/>
      <c r="BS291" s="1365"/>
    </row>
    <row r="292" spans="1:71">
      <c r="A292" s="1802">
        <v>33708</v>
      </c>
      <c r="B292" s="622" t="s">
        <v>89</v>
      </c>
      <c r="E292" s="1"/>
      <c r="F292" s="622">
        <v>208</v>
      </c>
      <c r="G292" s="625" t="s">
        <v>70</v>
      </c>
      <c r="L292" s="626">
        <v>913</v>
      </c>
      <c r="M292" s="626" t="s">
        <v>36</v>
      </c>
      <c r="Q292" s="627" t="str">
        <f t="array" ref="Q292">IFERROR(IF($Q$21="Yes",INDEX($L$23:$L$2323,SMALL(IF((County=$M$23:$M$2323),MATCH(ROW($M$23:$M$2323),ROW($M$23:$M$2323)),""),ROWS($A$23:A292))),""),"")</f>
        <v/>
      </c>
      <c r="S292" s="623">
        <v>33981</v>
      </c>
      <c r="T292" s="622" t="s">
        <v>41</v>
      </c>
      <c r="V292" s="622">
        <v>49.03</v>
      </c>
      <c r="W292" s="625" t="s">
        <v>87</v>
      </c>
      <c r="AB292" s="626">
        <v>20.05</v>
      </c>
      <c r="AC292" s="626" t="s">
        <v>87</v>
      </c>
      <c r="AE292" s="1802">
        <v>33703</v>
      </c>
      <c r="AF292" s="622" t="s">
        <v>89</v>
      </c>
      <c r="AI292" s="1376"/>
      <c r="AJ292" s="622">
        <v>15.02</v>
      </c>
      <c r="AK292" s="625" t="s">
        <v>70</v>
      </c>
      <c r="AP292" s="1837"/>
      <c r="AQ292" s="1837"/>
      <c r="AU292" s="627" t="str">
        <f t="array" ref="AU292">IFERROR(IF($Q$21="Yes",INDEX($AP$23:$AP$2323,SMALL(IF((County=$AQ$23:$AQ$2323),MATCH(ROW($AQ$23:$AQ$2323),ROW($AQ$23:$AQ$2323)),""),ROWS($A$23:$A292))),""),"")</f>
        <v/>
      </c>
      <c r="AW292" s="1802">
        <v>33947</v>
      </c>
      <c r="AX292" s="622" t="s">
        <v>41</v>
      </c>
      <c r="AZ292" s="622">
        <v>33</v>
      </c>
      <c r="BA292" s="625" t="s">
        <v>63</v>
      </c>
      <c r="BF292" s="1837"/>
      <c r="BG292" s="1837"/>
      <c r="BI292" s="1365"/>
      <c r="BJ292" s="1365"/>
      <c r="BK292" s="1365"/>
      <c r="BL292" s="1365"/>
      <c r="BM292" s="1365"/>
      <c r="BN292" s="1365"/>
      <c r="BO292" s="1365"/>
      <c r="BP292" s="1365"/>
      <c r="BQ292" s="1365"/>
      <c r="BR292" s="1365"/>
      <c r="BS292" s="1365"/>
    </row>
    <row r="293" spans="1:71">
      <c r="A293" s="1802">
        <v>33711</v>
      </c>
      <c r="B293" s="622" t="s">
        <v>89</v>
      </c>
      <c r="E293" s="1"/>
      <c r="F293" s="622">
        <v>401.09</v>
      </c>
      <c r="G293" s="625" t="s">
        <v>70</v>
      </c>
      <c r="L293" s="626">
        <v>917.01</v>
      </c>
      <c r="M293" s="626" t="s">
        <v>36</v>
      </c>
      <c r="Q293" s="627" t="str">
        <f t="array" ref="Q293">IFERROR(IF($Q$21="Yes",INDEX($L$23:$L$2323,SMALL(IF((County=$M$23:$M$2323),MATCH(ROW($M$23:$M$2323),ROW($M$23:$M$2323)),""),ROWS($A$23:A293))),""),"")</f>
        <v/>
      </c>
      <c r="S293" s="623">
        <v>33991</v>
      </c>
      <c r="T293" s="622" t="s">
        <v>70</v>
      </c>
      <c r="V293" s="622">
        <v>50</v>
      </c>
      <c r="W293" s="625" t="s">
        <v>63</v>
      </c>
      <c r="AB293" s="626">
        <v>20.05</v>
      </c>
      <c r="AC293" s="626" t="s">
        <v>96</v>
      </c>
      <c r="AE293" s="1802">
        <v>33705</v>
      </c>
      <c r="AF293" s="622" t="s">
        <v>89</v>
      </c>
      <c r="AI293" s="1376"/>
      <c r="AJ293" s="622">
        <v>108.02</v>
      </c>
      <c r="AK293" s="625" t="s">
        <v>70</v>
      </c>
      <c r="AP293" s="1837"/>
      <c r="AQ293" s="1837"/>
      <c r="AU293" s="627" t="str">
        <f t="array" ref="AU293">IFERROR(IF($Q$21="Yes",INDEX($AP$23:$AP$2323,SMALL(IF((County=$AQ$23:$AQ$2323),MATCH(ROW($AQ$23:$AQ$2323),ROW($AQ$23:$AQ$2323)),""),ROWS($A$23:$A293))),""),"")</f>
        <v/>
      </c>
      <c r="AW293" s="1802">
        <v>33953</v>
      </c>
      <c r="AX293" s="622" t="s">
        <v>41</v>
      </c>
      <c r="AZ293" s="622">
        <v>34</v>
      </c>
      <c r="BA293" s="625" t="s">
        <v>63</v>
      </c>
      <c r="BF293" s="1837"/>
      <c r="BG293" s="1837"/>
      <c r="BI293" s="1365"/>
      <c r="BJ293" s="1365"/>
      <c r="BK293" s="1365"/>
      <c r="BL293" s="1365"/>
      <c r="BM293" s="1365"/>
      <c r="BN293" s="1365"/>
      <c r="BO293" s="1365"/>
      <c r="BP293" s="1365"/>
      <c r="BQ293" s="1365"/>
      <c r="BR293" s="1365"/>
      <c r="BS293" s="1365"/>
    </row>
    <row r="294" spans="1:71">
      <c r="A294" s="1802">
        <v>33713</v>
      </c>
      <c r="B294" s="622" t="s">
        <v>89</v>
      </c>
      <c r="E294" s="1"/>
      <c r="F294" s="622">
        <v>401.22</v>
      </c>
      <c r="G294" s="625" t="s">
        <v>70</v>
      </c>
      <c r="L294" s="626">
        <v>919.01</v>
      </c>
      <c r="M294" s="626" t="s">
        <v>36</v>
      </c>
      <c r="Q294" s="627" t="str">
        <f t="array" ref="Q294">IFERROR(IF($Q$21="Yes",INDEX($L$23:$L$2323,SMALL(IF((County=$M$23:$M$2323),MATCH(ROW($M$23:$M$2323),ROW($M$23:$M$2323)),""),ROWS($A$23:A294))),""),"")</f>
        <v/>
      </c>
      <c r="S294" s="623">
        <v>33993</v>
      </c>
      <c r="T294" s="622" t="s">
        <v>70</v>
      </c>
      <c r="V294" s="622">
        <v>50.02</v>
      </c>
      <c r="W294" s="625" t="s">
        <v>78</v>
      </c>
      <c r="AB294" s="626">
        <v>20.07</v>
      </c>
      <c r="AC294" s="626" t="s">
        <v>75</v>
      </c>
      <c r="AE294" s="1802">
        <v>33706</v>
      </c>
      <c r="AF294" s="622" t="s">
        <v>89</v>
      </c>
      <c r="AI294" s="1376"/>
      <c r="AJ294" s="622">
        <v>203.01</v>
      </c>
      <c r="AK294" s="625" t="s">
        <v>70</v>
      </c>
      <c r="AP294" s="1837"/>
      <c r="AQ294" s="1837"/>
      <c r="AU294" s="627" t="str">
        <f t="array" ref="AU294">IFERROR(IF($Q$21="Yes",INDEX($AP$23:$AP$2323,SMALL(IF((County=$AQ$23:$AQ$2323),MATCH(ROW($AQ$23:$AQ$2323),ROW($AQ$23:$AQ$2323)),""),ROWS($A$23:$A294))),""),"")</f>
        <v/>
      </c>
      <c r="AW294" s="1802">
        <v>33954</v>
      </c>
      <c r="AX294" s="622" t="s">
        <v>41</v>
      </c>
      <c r="AZ294" s="622">
        <v>34</v>
      </c>
      <c r="BA294" s="625" t="s">
        <v>78</v>
      </c>
      <c r="BF294" s="1837"/>
      <c r="BG294" s="1837"/>
      <c r="BI294" s="1365"/>
      <c r="BJ294" s="1365"/>
      <c r="BK294" s="1365"/>
      <c r="BL294" s="1365"/>
      <c r="BM294" s="1365"/>
      <c r="BN294" s="1365"/>
      <c r="BO294" s="1365"/>
      <c r="BP294" s="1365"/>
      <c r="BQ294" s="1365"/>
      <c r="BR294" s="1365"/>
      <c r="BS294" s="1365"/>
    </row>
    <row r="295" spans="1:71">
      <c r="A295" s="1802">
        <v>33715</v>
      </c>
      <c r="B295" s="622" t="s">
        <v>89</v>
      </c>
      <c r="E295" s="1"/>
      <c r="F295" s="622">
        <v>403.04</v>
      </c>
      <c r="G295" s="625" t="s">
        <v>70</v>
      </c>
      <c r="L295" s="626">
        <v>920</v>
      </c>
      <c r="M295" s="626" t="s">
        <v>36</v>
      </c>
      <c r="Q295" s="627" t="str">
        <f t="array" ref="Q295">IFERROR(IF($Q$21="Yes",INDEX($L$23:$L$2323,SMALL(IF((County=$M$23:$M$2323),MATCH(ROW($M$23:$M$2323),ROW($M$23:$M$2323)),""),ROWS($A$23:A295))),""),"")</f>
        <v/>
      </c>
      <c r="S295" s="623">
        <v>34103</v>
      </c>
      <c r="T295" s="622" t="s">
        <v>44</v>
      </c>
      <c r="V295" s="622">
        <v>51.01</v>
      </c>
      <c r="W295" s="625" t="s">
        <v>87</v>
      </c>
      <c r="AB295" s="626">
        <v>20.07</v>
      </c>
      <c r="AC295" s="626" t="s">
        <v>96</v>
      </c>
      <c r="AE295" s="1802">
        <v>33708</v>
      </c>
      <c r="AF295" s="622" t="s">
        <v>89</v>
      </c>
      <c r="AI295" s="1376"/>
      <c r="AJ295" s="622">
        <v>203.02</v>
      </c>
      <c r="AK295" s="625" t="s">
        <v>70</v>
      </c>
      <c r="AP295" s="1837"/>
      <c r="AQ295" s="1837"/>
      <c r="AU295" s="627" t="str">
        <f t="array" ref="AU295">IFERROR(IF($Q$21="Yes",INDEX($AP$23:$AP$2323,SMALL(IF((County=$AQ$23:$AQ$2323),MATCH(ROW($AQ$23:$AQ$2323),ROW($AQ$23:$AQ$2323)),""),ROWS($A$23:$A295))),""),"")</f>
        <v/>
      </c>
      <c r="AW295" s="1802">
        <v>33955</v>
      </c>
      <c r="AX295" s="622" t="s">
        <v>41</v>
      </c>
      <c r="AZ295" s="622">
        <v>35</v>
      </c>
      <c r="BA295" s="625" t="s">
        <v>63</v>
      </c>
      <c r="BF295" s="1837"/>
      <c r="BG295" s="1837"/>
      <c r="BI295" s="1365"/>
      <c r="BJ295" s="1365"/>
      <c r="BK295" s="1365"/>
      <c r="BL295" s="1365"/>
      <c r="BM295" s="1365"/>
      <c r="BN295" s="1365"/>
      <c r="BO295" s="1365"/>
      <c r="BP295" s="1365"/>
      <c r="BQ295" s="1365"/>
      <c r="BR295" s="1365"/>
      <c r="BS295" s="1365"/>
    </row>
    <row r="296" spans="1:71">
      <c r="A296" s="1802">
        <v>33716</v>
      </c>
      <c r="B296" s="622" t="s">
        <v>89</v>
      </c>
      <c r="E296" s="1"/>
      <c r="F296" s="622">
        <v>403.05</v>
      </c>
      <c r="G296" s="625" t="s">
        <v>70</v>
      </c>
      <c r="L296" s="626">
        <v>1001.04</v>
      </c>
      <c r="M296" s="626" t="s">
        <v>36</v>
      </c>
      <c r="Q296" s="627" t="str">
        <f t="array" ref="Q296">IFERROR(IF($Q$21="Yes",INDEX($L$23:$L$2323,SMALL(IF((County=$M$23:$M$2323),MATCH(ROW($M$23:$M$2323),ROW($M$23:$M$2323)),""),ROWS($A$23:A296))),""),"")</f>
        <v/>
      </c>
      <c r="S296" s="623">
        <v>34105</v>
      </c>
      <c r="T296" s="622" t="s">
        <v>44</v>
      </c>
      <c r="V296" s="622">
        <v>51.02</v>
      </c>
      <c r="W296" s="625" t="s">
        <v>78</v>
      </c>
      <c r="AB296" s="626">
        <v>20.079999999999998</v>
      </c>
      <c r="AC296" s="626" t="s">
        <v>75</v>
      </c>
      <c r="AE296" s="1802">
        <v>33711</v>
      </c>
      <c r="AF296" s="622" t="s">
        <v>89</v>
      </c>
      <c r="AI296" s="1376"/>
      <c r="AJ296" s="622">
        <v>205.01</v>
      </c>
      <c r="AK296" s="625" t="s">
        <v>70</v>
      </c>
      <c r="AP296" s="1837"/>
      <c r="AQ296" s="1837"/>
      <c r="AU296" s="627" t="str">
        <f t="array" ref="AU296">IFERROR(IF($Q$21="Yes",INDEX($AP$23:$AP$2323,SMALL(IF((County=$AQ$23:$AQ$2323),MATCH(ROW($AQ$23:$AQ$2323),ROW($AQ$23:$AQ$2323)),""),ROWS($A$23:$A296))),""),"")</f>
        <v/>
      </c>
      <c r="AW296" s="1802">
        <v>33957</v>
      </c>
      <c r="AX296" s="622" t="s">
        <v>70</v>
      </c>
      <c r="AZ296" s="622">
        <v>35.06</v>
      </c>
      <c r="BA296" s="625" t="s">
        <v>51</v>
      </c>
      <c r="BF296" s="1837"/>
      <c r="BG296" s="1837"/>
      <c r="BI296" s="1365"/>
      <c r="BJ296" s="1365"/>
      <c r="BK296" s="1365"/>
      <c r="BL296" s="1365"/>
      <c r="BM296" s="1365"/>
      <c r="BN296" s="1365"/>
      <c r="BO296" s="1365"/>
      <c r="BP296" s="1365"/>
      <c r="BQ296" s="1365"/>
      <c r="BR296" s="1365"/>
      <c r="BS296" s="1365"/>
    </row>
    <row r="297" spans="1:71">
      <c r="A297" s="1802">
        <v>33744</v>
      </c>
      <c r="B297" s="622" t="s">
        <v>89</v>
      </c>
      <c r="E297" s="1"/>
      <c r="F297" s="622">
        <v>403.08</v>
      </c>
      <c r="G297" s="625" t="s">
        <v>70</v>
      </c>
      <c r="L297" s="626">
        <v>1001.05</v>
      </c>
      <c r="M297" s="626" t="s">
        <v>36</v>
      </c>
      <c r="Q297" s="627" t="str">
        <f t="array" ref="Q297">IFERROR(IF($Q$21="Yes",INDEX($L$23:$L$2323,SMALL(IF((County=$M$23:$M$2323),MATCH(ROW($M$23:$M$2323),ROW($M$23:$M$2323)),""),ROWS($A$23:A297))),""),"")</f>
        <v/>
      </c>
      <c r="S297" s="623">
        <v>34108</v>
      </c>
      <c r="T297" s="622" t="s">
        <v>44</v>
      </c>
      <c r="V297" s="622">
        <v>51.02</v>
      </c>
      <c r="W297" s="625" t="s">
        <v>87</v>
      </c>
      <c r="AB297" s="626">
        <v>20.079999999999998</v>
      </c>
      <c r="AC297" s="626" t="s">
        <v>96</v>
      </c>
      <c r="AE297" s="1802">
        <v>33713</v>
      </c>
      <c r="AF297" s="622" t="s">
        <v>89</v>
      </c>
      <c r="AI297" s="1376"/>
      <c r="AJ297" s="622">
        <v>208.01</v>
      </c>
      <c r="AK297" s="625" t="s">
        <v>70</v>
      </c>
      <c r="AP297" s="1837"/>
      <c r="AQ297" s="1837"/>
      <c r="AU297" s="627" t="str">
        <f t="array" ref="AU297">IFERROR(IF($Q$21="Yes",INDEX($AP$23:$AP$2323,SMALL(IF((County=$AQ$23:$AQ$2323),MATCH(ROW($AQ$23:$AQ$2323),ROW($AQ$23:$AQ$2323)),""),ROWS($A$23:$A297))),""),"")</f>
        <v/>
      </c>
      <c r="AW297" s="1802">
        <v>33965</v>
      </c>
      <c r="AX297" s="622" t="s">
        <v>70</v>
      </c>
      <c r="AZ297" s="622">
        <v>36</v>
      </c>
      <c r="BA297" s="625" t="s">
        <v>63</v>
      </c>
      <c r="BF297" s="1837"/>
      <c r="BG297" s="1837"/>
      <c r="BI297" s="1365"/>
      <c r="BJ297" s="1365"/>
      <c r="BK297" s="1365"/>
      <c r="BL297" s="1365"/>
      <c r="BM297" s="1365"/>
      <c r="BN297" s="1365"/>
      <c r="BO297" s="1365"/>
      <c r="BP297" s="1365"/>
      <c r="BQ297" s="1365"/>
      <c r="BR297" s="1365"/>
      <c r="BS297" s="1365"/>
    </row>
    <row r="298" spans="1:71">
      <c r="A298" s="1802">
        <v>33759</v>
      </c>
      <c r="B298" s="622" t="s">
        <v>89</v>
      </c>
      <c r="E298" s="1"/>
      <c r="F298" s="622">
        <v>403.11</v>
      </c>
      <c r="G298" s="625" t="s">
        <v>70</v>
      </c>
      <c r="L298" s="626">
        <v>1103.01</v>
      </c>
      <c r="M298" s="626" t="s">
        <v>36</v>
      </c>
      <c r="Q298" s="627" t="str">
        <f t="array" ref="Q298">IFERROR(IF($Q$21="Yes",INDEX($L$23:$L$2323,SMALL(IF((County=$M$23:$M$2323),MATCH(ROW($M$23:$M$2323),ROW($M$23:$M$2323)),""),ROWS($A$23:A298))),""),"")</f>
        <v/>
      </c>
      <c r="S298" s="623">
        <v>34110</v>
      </c>
      <c r="T298" s="622" t="s">
        <v>44</v>
      </c>
      <c r="V298" s="622">
        <v>51.03</v>
      </c>
      <c r="W298" s="625" t="s">
        <v>78</v>
      </c>
      <c r="AB298" s="626">
        <v>20.09</v>
      </c>
      <c r="AC298" s="626" t="s">
        <v>96</v>
      </c>
      <c r="AE298" s="1802">
        <v>33715</v>
      </c>
      <c r="AF298" s="622" t="s">
        <v>89</v>
      </c>
      <c r="AI298" s="1376"/>
      <c r="AJ298" s="622">
        <v>208.02</v>
      </c>
      <c r="AK298" s="625" t="s">
        <v>70</v>
      </c>
      <c r="AP298" s="1837"/>
      <c r="AQ298" s="1837"/>
      <c r="AU298" s="627" t="str">
        <f t="array" ref="AU298">IFERROR(IF($Q$21="Yes",INDEX($AP$23:$AP$2323,SMALL(IF((County=$AQ$23:$AQ$2323),MATCH(ROW($AQ$23:$AQ$2323),ROW($AQ$23:$AQ$2323)),""),ROWS($A$23:$A298))),""),"")</f>
        <v/>
      </c>
      <c r="AW298" s="1802">
        <v>33967</v>
      </c>
      <c r="AX298" s="622" t="s">
        <v>70</v>
      </c>
      <c r="AZ298" s="622">
        <v>36.03</v>
      </c>
      <c r="BA298" s="622" t="s">
        <v>78</v>
      </c>
      <c r="BF298" s="1837"/>
      <c r="BG298" s="1837"/>
      <c r="BI298" s="1365"/>
      <c r="BJ298" s="1365"/>
      <c r="BK298" s="1365"/>
      <c r="BL298" s="1365"/>
      <c r="BM298" s="1365"/>
      <c r="BN298" s="1365"/>
      <c r="BO298" s="1365"/>
      <c r="BP298" s="1365"/>
      <c r="BQ298" s="1365"/>
      <c r="BR298" s="1365"/>
      <c r="BS298" s="1365"/>
    </row>
    <row r="299" spans="1:71">
      <c r="A299" s="1802">
        <v>33762</v>
      </c>
      <c r="B299" s="622" t="s">
        <v>89</v>
      </c>
      <c r="E299" s="1"/>
      <c r="F299" s="622">
        <v>4</v>
      </c>
      <c r="G299" s="625" t="s">
        <v>71</v>
      </c>
      <c r="L299" s="626">
        <v>1103.02</v>
      </c>
      <c r="M299" s="626" t="s">
        <v>36</v>
      </c>
      <c r="Q299" s="627" t="str">
        <f t="array" ref="Q299">IFERROR(IF($Q$21="Yes",INDEX($L$23:$L$2323,SMALL(IF((County=$M$23:$M$2323),MATCH(ROW($M$23:$M$2323),ROW($M$23:$M$2323)),""),ROWS($A$23:A299))),""),"")</f>
        <v/>
      </c>
      <c r="S299" s="623">
        <v>34117</v>
      </c>
      <c r="T299" s="622" t="s">
        <v>44</v>
      </c>
      <c r="V299" s="622">
        <v>51.04</v>
      </c>
      <c r="W299" s="625" t="s">
        <v>78</v>
      </c>
      <c r="AB299" s="626">
        <v>20.100000000000001</v>
      </c>
      <c r="AC299" s="626" t="s">
        <v>75</v>
      </c>
      <c r="AE299" s="1802">
        <v>33716</v>
      </c>
      <c r="AF299" s="622" t="s">
        <v>89</v>
      </c>
      <c r="AI299" s="1376"/>
      <c r="AJ299" s="622">
        <v>401.09</v>
      </c>
      <c r="AK299" s="625" t="s">
        <v>70</v>
      </c>
      <c r="AP299" s="1837"/>
      <c r="AQ299" s="1837"/>
      <c r="AU299" s="627" t="str">
        <f t="array" ref="AU299">IFERROR(IF($Q$21="Yes",INDEX($AP$23:$AP$2323,SMALL(IF((County=$AQ$23:$AQ$2323),MATCH(ROW($AQ$23:$AQ$2323),ROW($AQ$23:$AQ$2323)),""),ROWS($A$23:$A299))),""),"")</f>
        <v/>
      </c>
      <c r="AW299" s="1802">
        <v>33981</v>
      </c>
      <c r="AX299" s="622" t="s">
        <v>41</v>
      </c>
      <c r="AZ299" s="622">
        <v>36.04</v>
      </c>
      <c r="BA299" s="622" t="s">
        <v>78</v>
      </c>
      <c r="BF299" s="1837"/>
      <c r="BG299" s="1837"/>
      <c r="BI299" s="1365"/>
      <c r="BJ299" s="1365"/>
      <c r="BK299" s="1365"/>
      <c r="BL299" s="1365"/>
      <c r="BM299" s="1365"/>
      <c r="BN299" s="1365"/>
      <c r="BO299" s="1365"/>
      <c r="BP299" s="1365"/>
      <c r="BQ299" s="1365"/>
      <c r="BR299" s="1365"/>
      <c r="BS299" s="1365"/>
    </row>
    <row r="300" spans="1:71">
      <c r="A300" s="1802">
        <v>33767</v>
      </c>
      <c r="B300" s="622" t="s">
        <v>89</v>
      </c>
      <c r="E300" s="1"/>
      <c r="F300" s="622">
        <v>5</v>
      </c>
      <c r="G300" s="625" t="s">
        <v>71</v>
      </c>
      <c r="L300" s="626">
        <v>1103.03</v>
      </c>
      <c r="M300" s="626" t="s">
        <v>36</v>
      </c>
      <c r="Q300" s="627" t="str">
        <f t="array" ref="Q300">IFERROR(IF($Q$21="Yes",INDEX($L$23:$L$2323,SMALL(IF((County=$M$23:$M$2323),MATCH(ROW($M$23:$M$2323),ROW($M$23:$M$2323)),""),ROWS($A$23:A300))),""),"")</f>
        <v/>
      </c>
      <c r="S300" s="623">
        <v>34119</v>
      </c>
      <c r="T300" s="622" t="s">
        <v>44</v>
      </c>
      <c r="V300" s="622">
        <v>52.01</v>
      </c>
      <c r="W300" s="625" t="s">
        <v>78</v>
      </c>
      <c r="AB300" s="626">
        <v>20.100000000000001</v>
      </c>
      <c r="AC300" s="626" t="s">
        <v>96</v>
      </c>
      <c r="AE300" s="1802">
        <v>33744</v>
      </c>
      <c r="AF300" s="622" t="s">
        <v>89</v>
      </c>
      <c r="AI300" s="1376"/>
      <c r="AJ300" s="622">
        <v>401.22</v>
      </c>
      <c r="AK300" s="625" t="s">
        <v>70</v>
      </c>
      <c r="AP300" s="1837"/>
      <c r="AQ300" s="1837"/>
      <c r="AU300" s="627" t="str">
        <f t="array" ref="AU300">IFERROR(IF($Q$21="Yes",INDEX($AP$23:$AP$2323,SMALL(IF((County=$AQ$23:$AQ$2323),MATCH(ROW($AQ$23:$AQ$2323),ROW($AQ$23:$AQ$2323)),""),ROWS($A$23:$A300))),""),"")</f>
        <v/>
      </c>
      <c r="AW300" s="1802">
        <v>33991</v>
      </c>
      <c r="AX300" s="622" t="s">
        <v>70</v>
      </c>
      <c r="AZ300" s="622">
        <v>36.049999999999997</v>
      </c>
      <c r="BA300" s="625" t="s">
        <v>78</v>
      </c>
      <c r="BF300" s="1837"/>
      <c r="BG300" s="1837"/>
      <c r="BI300" s="1365"/>
      <c r="BJ300" s="1365"/>
      <c r="BK300" s="1365"/>
      <c r="BL300" s="1365"/>
      <c r="BM300" s="1365"/>
      <c r="BN300" s="1365"/>
      <c r="BO300" s="1365"/>
      <c r="BP300" s="1365"/>
      <c r="BQ300" s="1365"/>
      <c r="BR300" s="1365"/>
      <c r="BS300" s="1365"/>
    </row>
    <row r="301" spans="1:71">
      <c r="A301" s="1802">
        <v>33772</v>
      </c>
      <c r="B301" s="622" t="s">
        <v>89</v>
      </c>
      <c r="E301" s="1"/>
      <c r="F301" s="622">
        <v>6</v>
      </c>
      <c r="G301" s="625" t="s">
        <v>71</v>
      </c>
      <c r="L301" s="626">
        <v>1103.07</v>
      </c>
      <c r="M301" s="626" t="s">
        <v>36</v>
      </c>
      <c r="Q301" s="627" t="str">
        <f t="array" ref="Q301">IFERROR(IF($Q$21="Yes",INDEX($L$23:$L$2323,SMALL(IF((County=$M$23:$M$2323),MATCH(ROW($M$23:$M$2323),ROW($M$23:$M$2323)),""),ROWS($A$23:A301))),""),"")</f>
        <v/>
      </c>
      <c r="S301" s="623">
        <v>34120</v>
      </c>
      <c r="T301" s="622" t="s">
        <v>44</v>
      </c>
      <c r="V301" s="622">
        <v>52.02</v>
      </c>
      <c r="W301" s="625" t="s">
        <v>78</v>
      </c>
      <c r="AB301" s="626">
        <v>20.11</v>
      </c>
      <c r="AC301" s="626" t="s">
        <v>75</v>
      </c>
      <c r="AE301" s="1802">
        <v>33759</v>
      </c>
      <c r="AF301" s="622" t="s">
        <v>89</v>
      </c>
      <c r="AI301" s="1376"/>
      <c r="AJ301" s="622">
        <v>403.04</v>
      </c>
      <c r="AK301" s="625" t="s">
        <v>70</v>
      </c>
      <c r="AP301" s="1837"/>
      <c r="AQ301" s="1837"/>
      <c r="AU301" s="627" t="str">
        <f t="array" ref="AU301">IFERROR(IF($Q$21="Yes",INDEX($AP$23:$AP$2323,SMALL(IF((County=$AQ$23:$AQ$2323),MATCH(ROW($AQ$23:$AQ$2323),ROW($AQ$23:$AQ$2323)),""),ROWS($A$23:$A301))),""),"")</f>
        <v/>
      </c>
      <c r="AW301" s="1802">
        <v>33993</v>
      </c>
      <c r="AX301" s="622" t="s">
        <v>70</v>
      </c>
      <c r="AZ301" s="622">
        <v>36.06</v>
      </c>
      <c r="BA301" s="622" t="s">
        <v>78</v>
      </c>
      <c r="BF301" s="1837"/>
      <c r="BG301" s="1837"/>
      <c r="BI301" s="1365"/>
      <c r="BJ301" s="1365"/>
      <c r="BK301" s="1365"/>
      <c r="BL301" s="1365"/>
      <c r="BM301" s="1365"/>
      <c r="BN301" s="1365"/>
      <c r="BO301" s="1365"/>
      <c r="BP301" s="1365"/>
      <c r="BQ301" s="1365"/>
      <c r="BR301" s="1365"/>
      <c r="BS301" s="1365"/>
    </row>
    <row r="302" spans="1:71">
      <c r="A302" s="1802">
        <v>33776</v>
      </c>
      <c r="B302" s="622" t="s">
        <v>89</v>
      </c>
      <c r="E302" s="1"/>
      <c r="F302" s="622">
        <v>10.01</v>
      </c>
      <c r="G302" s="625" t="s">
        <v>71</v>
      </c>
      <c r="L302" s="626">
        <v>1103.08</v>
      </c>
      <c r="M302" s="626" t="s">
        <v>36</v>
      </c>
      <c r="Q302" s="627" t="str">
        <f t="array" ref="Q302">IFERROR(IF($Q$21="Yes",INDEX($L$23:$L$2323,SMALL(IF((County=$M$23:$M$2323),MATCH(ROW($M$23:$M$2323),ROW($M$23:$M$2323)),""),ROWS($A$23:A302))),""),"")</f>
        <v/>
      </c>
      <c r="S302" s="623">
        <v>34134</v>
      </c>
      <c r="T302" s="622" t="s">
        <v>70</v>
      </c>
      <c r="V302" s="622">
        <v>52.02</v>
      </c>
      <c r="W302" s="625" t="s">
        <v>87</v>
      </c>
      <c r="AB302" s="626">
        <v>20.12</v>
      </c>
      <c r="AC302" s="626" t="s">
        <v>75</v>
      </c>
      <c r="AE302" s="1802">
        <v>33762</v>
      </c>
      <c r="AF302" s="622" t="s">
        <v>89</v>
      </c>
      <c r="AI302" s="1376"/>
      <c r="AJ302" s="622">
        <v>403.05</v>
      </c>
      <c r="AK302" s="625" t="s">
        <v>70</v>
      </c>
      <c r="AP302" s="1837"/>
      <c r="AQ302" s="1837"/>
      <c r="AU302" s="627" t="str">
        <f t="array" ref="AU302">IFERROR(IF($Q$21="Yes",INDEX($AP$23:$AP$2323,SMALL(IF((County=$AQ$23:$AQ$2323),MATCH(ROW($AQ$23:$AQ$2323),ROW($AQ$23:$AQ$2323)),""),ROWS($A$23:$A302))),""),"")</f>
        <v/>
      </c>
      <c r="AW302" s="1802">
        <v>34103</v>
      </c>
      <c r="AX302" s="622" t="s">
        <v>44</v>
      </c>
      <c r="AZ302" s="622">
        <v>36.07</v>
      </c>
      <c r="BA302" s="622" t="s">
        <v>51</v>
      </c>
      <c r="BF302" s="1837"/>
      <c r="BG302" s="1837"/>
      <c r="BI302" s="1365"/>
      <c r="BJ302" s="1365"/>
      <c r="BK302" s="1365"/>
      <c r="BL302" s="1365"/>
      <c r="BM302" s="1365"/>
      <c r="BN302" s="1365"/>
      <c r="BO302" s="1365"/>
      <c r="BP302" s="1365"/>
      <c r="BQ302" s="1365"/>
      <c r="BR302" s="1365"/>
      <c r="BS302" s="1365"/>
    </row>
    <row r="303" spans="1:71">
      <c r="A303" s="1802">
        <v>33777</v>
      </c>
      <c r="B303" s="622" t="s">
        <v>89</v>
      </c>
      <c r="E303" s="1"/>
      <c r="F303" s="622">
        <v>10.02</v>
      </c>
      <c r="G303" s="625" t="s">
        <v>71</v>
      </c>
      <c r="L303" s="626">
        <v>1103.0899999999999</v>
      </c>
      <c r="M303" s="626" t="s">
        <v>36</v>
      </c>
      <c r="Q303" s="627" t="str">
        <f t="array" ref="Q303">IFERROR(IF($Q$21="Yes",INDEX($L$23:$L$2323,SMALL(IF((County=$M$23:$M$2323),MATCH(ROW($M$23:$M$2323),ROW($M$23:$M$2323)),""),ROWS($A$23:A303))),""),"")</f>
        <v/>
      </c>
      <c r="S303" s="623">
        <v>34135</v>
      </c>
      <c r="T303" s="622" t="s">
        <v>70</v>
      </c>
      <c r="V303" s="622">
        <v>53.02</v>
      </c>
      <c r="W303" s="625" t="s">
        <v>63</v>
      </c>
      <c r="AB303" s="626">
        <v>20.13</v>
      </c>
      <c r="AC303" s="626" t="s">
        <v>75</v>
      </c>
      <c r="AE303" s="1802">
        <v>33767</v>
      </c>
      <c r="AF303" s="622" t="s">
        <v>89</v>
      </c>
      <c r="AI303" s="1376"/>
      <c r="AJ303" s="622">
        <v>403.11</v>
      </c>
      <c r="AK303" s="625" t="s">
        <v>70</v>
      </c>
      <c r="AP303" s="1837"/>
      <c r="AQ303" s="1837"/>
      <c r="AU303" s="627" t="str">
        <f t="array" ref="AU303">IFERROR(IF($Q$21="Yes",INDEX($AP$23:$AP$2323,SMALL(IF((County=$AQ$23:$AQ$2323),MATCH(ROW($AQ$23:$AQ$2323),ROW($AQ$23:$AQ$2323)),""),ROWS($A$23:$A303))),""),"")</f>
        <v/>
      </c>
      <c r="AW303" s="1802">
        <v>34105</v>
      </c>
      <c r="AX303" s="622" t="s">
        <v>44</v>
      </c>
      <c r="AZ303" s="622">
        <v>36.07</v>
      </c>
      <c r="BA303" s="622" t="s">
        <v>78</v>
      </c>
      <c r="BF303" s="1837"/>
      <c r="BG303" s="1837"/>
      <c r="BI303" s="1365"/>
      <c r="BJ303" s="1365"/>
      <c r="BK303" s="1365"/>
      <c r="BL303" s="1365"/>
      <c r="BM303" s="1365"/>
      <c r="BN303" s="1365"/>
      <c r="BO303" s="1365"/>
      <c r="BP303" s="1365"/>
      <c r="BQ303" s="1365"/>
      <c r="BR303" s="1365"/>
      <c r="BS303" s="1365"/>
    </row>
    <row r="304" spans="1:71">
      <c r="A304" s="1802">
        <v>33782</v>
      </c>
      <c r="B304" s="622" t="s">
        <v>89</v>
      </c>
      <c r="E304" s="1"/>
      <c r="F304" s="622">
        <v>11.01</v>
      </c>
      <c r="G304" s="625" t="s">
        <v>71</v>
      </c>
      <c r="L304" s="626">
        <v>1103.1099999999999</v>
      </c>
      <c r="M304" s="626" t="s">
        <v>36</v>
      </c>
      <c r="Q304" s="627" t="str">
        <f t="array" ref="Q304">IFERROR(IF($Q$21="Yes",INDEX($L$23:$L$2323,SMALL(IF((County=$M$23:$M$2323),MATCH(ROW($M$23:$M$2323),ROW($M$23:$M$2323)),""),ROWS($A$23:A304))),""),"")</f>
        <v/>
      </c>
      <c r="S304" s="623">
        <v>34140</v>
      </c>
      <c r="T304" s="622" t="s">
        <v>44</v>
      </c>
      <c r="V304" s="622">
        <v>53.02</v>
      </c>
      <c r="W304" s="625" t="s">
        <v>78</v>
      </c>
      <c r="AB304" s="626">
        <v>20.14</v>
      </c>
      <c r="AC304" s="626" t="s">
        <v>75</v>
      </c>
      <c r="AE304" s="1802">
        <v>33772</v>
      </c>
      <c r="AF304" s="622" t="s">
        <v>89</v>
      </c>
      <c r="AI304" s="1376"/>
      <c r="AJ304" s="622">
        <v>4</v>
      </c>
      <c r="AK304" s="625" t="s">
        <v>71</v>
      </c>
      <c r="AP304" s="1837"/>
      <c r="AQ304" s="1837"/>
      <c r="AU304" s="627" t="str">
        <f t="array" ref="AU304">IFERROR(IF($Q$21="Yes",INDEX($AP$23:$AP$2323,SMALL(IF((County=$AQ$23:$AQ$2323),MATCH(ROW($AQ$23:$AQ$2323),ROW($AQ$23:$AQ$2323)),""),ROWS($A$23:$A304))),""),"")</f>
        <v/>
      </c>
      <c r="AW304" s="1802">
        <v>34108</v>
      </c>
      <c r="AX304" s="622" t="s">
        <v>44</v>
      </c>
      <c r="AZ304" s="622">
        <v>37</v>
      </c>
      <c r="BA304" s="625" t="s">
        <v>63</v>
      </c>
      <c r="BF304" s="1837"/>
      <c r="BG304" s="1837"/>
      <c r="BI304" s="1365"/>
      <c r="BJ304" s="1365"/>
      <c r="BK304" s="1365"/>
      <c r="BL304" s="1365"/>
      <c r="BM304" s="1365"/>
      <c r="BN304" s="1365"/>
      <c r="BO304" s="1365"/>
      <c r="BP304" s="1365"/>
      <c r="BQ304" s="1365"/>
      <c r="BR304" s="1365"/>
      <c r="BS304" s="1365"/>
    </row>
    <row r="305" spans="1:71">
      <c r="A305" s="1802">
        <v>33785</v>
      </c>
      <c r="B305" s="622" t="s">
        <v>89</v>
      </c>
      <c r="E305" s="1"/>
      <c r="F305" s="622">
        <v>12</v>
      </c>
      <c r="G305" s="625" t="s">
        <v>71</v>
      </c>
      <c r="L305" s="626">
        <v>1103.19</v>
      </c>
      <c r="M305" s="626" t="s">
        <v>36</v>
      </c>
      <c r="Q305" s="627" t="str">
        <f t="array" ref="Q305">IFERROR(IF($Q$21="Yes",INDEX($L$23:$L$2323,SMALL(IF((County=$M$23:$M$2323),MATCH(ROW($M$23:$M$2323),ROW($M$23:$M$2323)),""),ROWS($A$23:A305))),""),"")</f>
        <v/>
      </c>
      <c r="S305" s="623">
        <v>34145</v>
      </c>
      <c r="T305" s="622" t="s">
        <v>44</v>
      </c>
      <c r="V305" s="622">
        <v>53.03</v>
      </c>
      <c r="W305" s="625" t="s">
        <v>78</v>
      </c>
      <c r="AB305" s="626">
        <v>20.149999999999999</v>
      </c>
      <c r="AC305" s="626" t="s">
        <v>75</v>
      </c>
      <c r="AE305" s="1802">
        <v>33776</v>
      </c>
      <c r="AF305" s="622" t="s">
        <v>89</v>
      </c>
      <c r="AI305" s="1376"/>
      <c r="AJ305" s="622">
        <v>5.01</v>
      </c>
      <c r="AK305" s="625" t="s">
        <v>71</v>
      </c>
      <c r="AP305" s="1837"/>
      <c r="AQ305" s="1837"/>
      <c r="AU305" s="627" t="str">
        <f t="array" ref="AU305">IFERROR(IF($Q$21="Yes",INDEX($AP$23:$AP$2323,SMALL(IF((County=$AQ$23:$AQ$2323),MATCH(ROW($AQ$23:$AQ$2323),ROW($AQ$23:$AQ$2323)),""),ROWS($A$23:$A305))),""),"")</f>
        <v/>
      </c>
      <c r="AW305" s="1802">
        <v>34109</v>
      </c>
      <c r="AX305" s="622" t="s">
        <v>44</v>
      </c>
      <c r="AZ305" s="622">
        <v>38</v>
      </c>
      <c r="BA305" s="625" t="s">
        <v>63</v>
      </c>
      <c r="BF305" s="1837"/>
      <c r="BG305" s="1837"/>
      <c r="BI305" s="1365"/>
      <c r="BJ305" s="1365"/>
      <c r="BK305" s="1365"/>
      <c r="BL305" s="1365"/>
      <c r="BM305" s="1365"/>
      <c r="BN305" s="1365"/>
      <c r="BO305" s="1365"/>
      <c r="BP305" s="1365"/>
      <c r="BQ305" s="1365"/>
      <c r="BR305" s="1365"/>
      <c r="BS305" s="1365"/>
    </row>
    <row r="306" spans="1:71">
      <c r="A306" s="1802">
        <v>33786</v>
      </c>
      <c r="B306" s="622" t="s">
        <v>89</v>
      </c>
      <c r="E306" s="1"/>
      <c r="F306" s="622">
        <v>14.01</v>
      </c>
      <c r="G306" s="625" t="s">
        <v>71</v>
      </c>
      <c r="L306" s="626">
        <v>1103.21</v>
      </c>
      <c r="M306" s="626" t="s">
        <v>36</v>
      </c>
      <c r="Q306" s="627" t="str">
        <f t="array" ref="Q306">IFERROR(IF($Q$21="Yes",INDEX($L$23:$L$2323,SMALL(IF((County=$M$23:$M$2323),MATCH(ROW($M$23:$M$2323),ROW($M$23:$M$2323)),""),ROWS($A$23:A306))),""),"")</f>
        <v/>
      </c>
      <c r="S306" s="623">
        <v>34201</v>
      </c>
      <c r="T306" s="622" t="s">
        <v>75</v>
      </c>
      <c r="V306" s="622">
        <v>53.04</v>
      </c>
      <c r="W306" s="625" t="s">
        <v>78</v>
      </c>
      <c r="AB306" s="626">
        <v>20.16</v>
      </c>
      <c r="AC306" s="626" t="s">
        <v>75</v>
      </c>
      <c r="AE306" s="1802">
        <v>33777</v>
      </c>
      <c r="AF306" s="622" t="s">
        <v>89</v>
      </c>
      <c r="AI306" s="1376"/>
      <c r="AJ306" s="622">
        <v>5.0199999999999996</v>
      </c>
      <c r="AK306" s="625" t="s">
        <v>71</v>
      </c>
      <c r="AP306" s="1837"/>
      <c r="AQ306" s="1837"/>
      <c r="AU306" s="627" t="str">
        <f t="array" ref="AU306">IFERROR(IF($Q$21="Yes",INDEX($AP$23:$AP$2323,SMALL(IF((County=$AQ$23:$AQ$2323),MATCH(ROW($AQ$23:$AQ$2323),ROW($AQ$23:$AQ$2323)),""),ROWS($A$23:$A306))),""),"")</f>
        <v/>
      </c>
      <c r="AW306" s="1802">
        <v>34110</v>
      </c>
      <c r="AX306" s="622" t="s">
        <v>44</v>
      </c>
      <c r="AZ306" s="622">
        <v>39.090000000000003</v>
      </c>
      <c r="BA306" s="625" t="s">
        <v>78</v>
      </c>
      <c r="BF306" s="1837"/>
      <c r="BG306" s="1837"/>
      <c r="BI306" s="1365"/>
      <c r="BJ306" s="1365"/>
      <c r="BK306" s="1365"/>
      <c r="BL306" s="1365"/>
      <c r="BM306" s="1365"/>
      <c r="BN306" s="1365"/>
      <c r="BO306" s="1365"/>
      <c r="BP306" s="1365"/>
      <c r="BQ306" s="1365"/>
      <c r="BR306" s="1365"/>
      <c r="BS306" s="1365"/>
    </row>
    <row r="307" spans="1:71">
      <c r="A307" s="1802">
        <v>34677</v>
      </c>
      <c r="B307" s="622" t="s">
        <v>89</v>
      </c>
      <c r="E307" s="1"/>
      <c r="F307" s="622">
        <v>14.02</v>
      </c>
      <c r="G307" s="625" t="s">
        <v>71</v>
      </c>
      <c r="L307" s="626">
        <v>1103.22</v>
      </c>
      <c r="M307" s="626" t="s">
        <v>36</v>
      </c>
      <c r="Q307" s="627" t="str">
        <f t="array" ref="Q307">IFERROR(IF($Q$21="Yes",INDEX($L$23:$L$2323,SMALL(IF((County=$M$23:$M$2323),MATCH(ROW($M$23:$M$2323),ROW($M$23:$M$2323)),""),ROWS($A$23:A307))),""),"")</f>
        <v/>
      </c>
      <c r="S307" s="623">
        <v>34202</v>
      </c>
      <c r="T307" s="622" t="s">
        <v>75</v>
      </c>
      <c r="V307" s="622">
        <v>54.03</v>
      </c>
      <c r="W307" s="625" t="s">
        <v>78</v>
      </c>
      <c r="AB307" s="626">
        <v>20.170000000000002</v>
      </c>
      <c r="AC307" s="626" t="s">
        <v>75</v>
      </c>
      <c r="AE307" s="1802">
        <v>33782</v>
      </c>
      <c r="AF307" s="622" t="s">
        <v>89</v>
      </c>
      <c r="AI307" s="1376"/>
      <c r="AJ307" s="622">
        <v>6</v>
      </c>
      <c r="AK307" s="625" t="s">
        <v>71</v>
      </c>
      <c r="AP307" s="1837"/>
      <c r="AQ307" s="1837"/>
      <c r="AU307" s="627" t="str">
        <f t="array" ref="AU307">IFERROR(IF($Q$21="Yes",INDEX($AP$23:$AP$2323,SMALL(IF((County=$AQ$23:$AQ$2323),MATCH(ROW($AQ$23:$AQ$2323),ROW($AQ$23:$AQ$2323)),""),ROWS($A$23:$A307))),""),"")</f>
        <v/>
      </c>
      <c r="AW307" s="1802">
        <v>34117</v>
      </c>
      <c r="AX307" s="622" t="s">
        <v>44</v>
      </c>
      <c r="AZ307" s="622">
        <v>39.11</v>
      </c>
      <c r="BA307" s="622" t="s">
        <v>78</v>
      </c>
      <c r="BF307" s="1837"/>
      <c r="BG307" s="1837"/>
      <c r="BI307" s="1365"/>
      <c r="BJ307" s="1365"/>
      <c r="BK307" s="1365"/>
      <c r="BL307" s="1365"/>
      <c r="BM307" s="1365"/>
      <c r="BN307" s="1365"/>
      <c r="BO307" s="1365"/>
      <c r="BP307" s="1365"/>
      <c r="BQ307" s="1365"/>
      <c r="BR307" s="1365"/>
      <c r="BS307" s="1365"/>
    </row>
    <row r="308" spans="1:71">
      <c r="A308" s="1802">
        <v>34681</v>
      </c>
      <c r="B308" s="622" t="s">
        <v>89</v>
      </c>
      <c r="E308" s="1"/>
      <c r="F308" s="622">
        <v>18.010000000000002</v>
      </c>
      <c r="G308" s="625" t="s">
        <v>71</v>
      </c>
      <c r="L308" s="626">
        <v>1103.24</v>
      </c>
      <c r="M308" s="626" t="s">
        <v>36</v>
      </c>
      <c r="Q308" s="627" t="str">
        <f t="array" ref="Q308">IFERROR(IF($Q$21="Yes",INDEX($L$23:$L$2323,SMALL(IF((County=$M$23:$M$2323),MATCH(ROW($M$23:$M$2323),ROW($M$23:$M$2323)),""),ROWS($A$23:A308))),""),"")</f>
        <v/>
      </c>
      <c r="S308" s="623">
        <v>34211</v>
      </c>
      <c r="T308" s="622" t="s">
        <v>75</v>
      </c>
      <c r="V308" s="622">
        <v>54.05</v>
      </c>
      <c r="W308" s="625" t="s">
        <v>78</v>
      </c>
      <c r="AB308" s="626">
        <v>21</v>
      </c>
      <c r="AC308" s="626" t="s">
        <v>76</v>
      </c>
      <c r="AE308" s="1802">
        <v>33785</v>
      </c>
      <c r="AF308" s="622" t="s">
        <v>89</v>
      </c>
      <c r="AI308" s="1376"/>
      <c r="AJ308" s="622">
        <v>10.01</v>
      </c>
      <c r="AK308" s="625" t="s">
        <v>71</v>
      </c>
      <c r="AP308" s="1837"/>
      <c r="AQ308" s="1837"/>
      <c r="AU308" s="627" t="str">
        <f t="array" ref="AU308">IFERROR(IF($Q$21="Yes",INDEX($AP$23:$AP$2323,SMALL(IF((County=$AQ$23:$AQ$2323),MATCH(ROW($AQ$23:$AQ$2323),ROW($AQ$23:$AQ$2323)),""),ROWS($A$23:$A308))),""),"")</f>
        <v/>
      </c>
      <c r="AW308" s="1802">
        <v>34119</v>
      </c>
      <c r="AX308" s="622" t="s">
        <v>44</v>
      </c>
      <c r="AZ308" s="622">
        <v>40.07</v>
      </c>
      <c r="BA308" s="622" t="s">
        <v>87</v>
      </c>
      <c r="BF308" s="1837"/>
      <c r="BG308" s="1837"/>
      <c r="BI308" s="1365"/>
      <c r="BJ308" s="1365"/>
      <c r="BK308" s="1365"/>
      <c r="BL308" s="1365"/>
      <c r="BM308" s="1365"/>
      <c r="BN308" s="1365"/>
      <c r="BO308" s="1365"/>
      <c r="BP308" s="1365"/>
      <c r="BQ308" s="1365"/>
      <c r="BR308" s="1365"/>
      <c r="BS308" s="1365"/>
    </row>
    <row r="309" spans="1:71">
      <c r="A309" s="1802">
        <v>34683</v>
      </c>
      <c r="B309" s="622" t="s">
        <v>89</v>
      </c>
      <c r="E309" s="1"/>
      <c r="F309" s="622">
        <v>19.010000000000002</v>
      </c>
      <c r="G309" s="625" t="s">
        <v>71</v>
      </c>
      <c r="L309" s="626">
        <v>1103.25</v>
      </c>
      <c r="M309" s="626" t="s">
        <v>36</v>
      </c>
      <c r="Q309" s="627" t="str">
        <f t="array" ref="Q309">IFERROR(IF($Q$21="Yes",INDEX($L$23:$L$2323,SMALL(IF((County=$M$23:$M$2323),MATCH(ROW($M$23:$M$2323),ROW($M$23:$M$2323)),""),ROWS($A$23:A309))),""),"")</f>
        <v/>
      </c>
      <c r="S309" s="623">
        <v>34212</v>
      </c>
      <c r="T309" s="622" t="s">
        <v>75</v>
      </c>
      <c r="V309" s="622">
        <v>54.06</v>
      </c>
      <c r="W309" s="625" t="s">
        <v>78</v>
      </c>
      <c r="AB309" s="626">
        <v>21</v>
      </c>
      <c r="AC309" s="626" t="s">
        <v>78</v>
      </c>
      <c r="AE309" s="1802">
        <v>33786</v>
      </c>
      <c r="AF309" s="622" t="s">
        <v>89</v>
      </c>
      <c r="AI309" s="1376"/>
      <c r="AJ309" s="622">
        <v>11.01</v>
      </c>
      <c r="AK309" s="625" t="s">
        <v>71</v>
      </c>
      <c r="AP309" s="1837"/>
      <c r="AQ309" s="1837"/>
      <c r="AU309" s="627" t="str">
        <f t="array" ref="AU309">IFERROR(IF($Q$21="Yes",INDEX($AP$23:$AP$2323,SMALL(IF((County=$AQ$23:$AQ$2323),MATCH(ROW($AQ$23:$AQ$2323),ROW($AQ$23:$AQ$2323)),""),ROWS($A$23:$A309))),""),"")</f>
        <v/>
      </c>
      <c r="AW309" s="1802">
        <v>34120</v>
      </c>
      <c r="AX309" s="622" t="s">
        <v>44</v>
      </c>
      <c r="AZ309" s="622">
        <v>40.090000000000003</v>
      </c>
      <c r="BA309" s="622" t="s">
        <v>87</v>
      </c>
      <c r="BF309" s="1837"/>
      <c r="BG309" s="1837"/>
      <c r="BI309" s="1365"/>
      <c r="BJ309" s="1365"/>
      <c r="BK309" s="1365"/>
      <c r="BL309" s="1365"/>
      <c r="BM309" s="1365"/>
      <c r="BN309" s="1365"/>
      <c r="BO309" s="1365"/>
      <c r="BP309" s="1365"/>
      <c r="BQ309" s="1365"/>
      <c r="BR309" s="1365"/>
      <c r="BS309" s="1365"/>
    </row>
    <row r="310" spans="1:71">
      <c r="A310" s="1802">
        <v>34684</v>
      </c>
      <c r="B310" s="622" t="s">
        <v>89</v>
      </c>
      <c r="E310" s="1"/>
      <c r="F310" s="622">
        <v>19.02</v>
      </c>
      <c r="G310" s="625" t="s">
        <v>71</v>
      </c>
      <c r="L310" s="626">
        <v>1103.26</v>
      </c>
      <c r="M310" s="626" t="s">
        <v>36</v>
      </c>
      <c r="Q310" s="627" t="str">
        <f t="array" ref="Q310">IFERROR(IF($Q$21="Yes",INDEX($L$23:$L$2323,SMALL(IF((County=$M$23:$M$2323),MATCH(ROW($M$23:$M$2323),ROW($M$23:$M$2323)),""),ROWS($A$23:A310))),""),"")</f>
        <v/>
      </c>
      <c r="S310" s="623">
        <v>34216</v>
      </c>
      <c r="T310" s="622" t="s">
        <v>75</v>
      </c>
      <c r="V310" s="622">
        <v>54.09</v>
      </c>
      <c r="W310" s="625" t="s">
        <v>78</v>
      </c>
      <c r="AB310" s="626">
        <v>21</v>
      </c>
      <c r="AC310" s="626" t="s">
        <v>96</v>
      </c>
      <c r="AE310" s="1802">
        <v>34677</v>
      </c>
      <c r="AF310" s="622" t="s">
        <v>89</v>
      </c>
      <c r="AI310" s="1376"/>
      <c r="AJ310" s="622">
        <v>12</v>
      </c>
      <c r="AK310" s="625" t="s">
        <v>71</v>
      </c>
      <c r="AP310" s="1837"/>
      <c r="AQ310" s="1837"/>
      <c r="AU310" s="627" t="str">
        <f t="array" ref="AU310">IFERROR(IF($Q$21="Yes",INDEX($AP$23:$AP$2323,SMALL(IF((County=$AQ$23:$AQ$2323),MATCH(ROW($AQ$23:$AQ$2323),ROW($AQ$23:$AQ$2323)),""),ROWS($A$23:$A310))),""),"")</f>
        <v/>
      </c>
      <c r="AW310" s="1802">
        <v>34140</v>
      </c>
      <c r="AX310" s="622" t="s">
        <v>44</v>
      </c>
      <c r="AZ310" s="622">
        <v>40.130000000000003</v>
      </c>
      <c r="BA310" s="622" t="s">
        <v>87</v>
      </c>
      <c r="BF310" s="1837"/>
      <c r="BG310" s="1837"/>
      <c r="BI310" s="1365"/>
      <c r="BJ310" s="1365"/>
      <c r="BK310" s="1365"/>
      <c r="BL310" s="1365"/>
      <c r="BM310" s="1365"/>
      <c r="BN310" s="1365"/>
      <c r="BO310" s="1365"/>
      <c r="BP310" s="1365"/>
      <c r="BQ310" s="1365"/>
      <c r="BR310" s="1365"/>
      <c r="BS310" s="1365"/>
    </row>
    <row r="311" spans="1:71">
      <c r="A311" s="1802">
        <v>34685</v>
      </c>
      <c r="B311" s="622" t="s">
        <v>89</v>
      </c>
      <c r="E311" s="1"/>
      <c r="F311" s="622">
        <v>20.03</v>
      </c>
      <c r="G311" s="625" t="s">
        <v>71</v>
      </c>
      <c r="L311" s="626">
        <v>1103.27</v>
      </c>
      <c r="M311" s="626" t="s">
        <v>36</v>
      </c>
      <c r="Q311" s="627" t="str">
        <f t="array" ref="Q311">IFERROR(IF($Q$21="Yes",INDEX($L$23:$L$2323,SMALL(IF((County=$M$23:$M$2323),MATCH(ROW($M$23:$M$2323),ROW($M$23:$M$2323)),""),ROWS($A$23:A311))),""),"")</f>
        <v/>
      </c>
      <c r="S311" s="623">
        <v>34217</v>
      </c>
      <c r="T311" s="622" t="s">
        <v>75</v>
      </c>
      <c r="V311" s="622">
        <v>54.1</v>
      </c>
      <c r="W311" s="625" t="s">
        <v>78</v>
      </c>
      <c r="AB311" s="626">
        <v>21.01</v>
      </c>
      <c r="AC311" s="626" t="s">
        <v>26</v>
      </c>
      <c r="AE311" s="1802">
        <v>34681</v>
      </c>
      <c r="AF311" s="622" t="s">
        <v>89</v>
      </c>
      <c r="AI311" s="1376"/>
      <c r="AJ311" s="622">
        <v>14.01</v>
      </c>
      <c r="AK311" s="625" t="s">
        <v>71</v>
      </c>
      <c r="AP311" s="1837"/>
      <c r="AQ311" s="1837"/>
      <c r="AU311" s="627" t="str">
        <f t="array" ref="AU311">IFERROR(IF($Q$21="Yes",INDEX($AP$23:$AP$2323,SMALL(IF((County=$AQ$23:$AQ$2323),MATCH(ROW($AQ$23:$AQ$2323),ROW($AQ$23:$AQ$2323)),""),ROWS($A$23:$A311))),""),"")</f>
        <v/>
      </c>
      <c r="AW311" s="1802">
        <v>34145</v>
      </c>
      <c r="AX311" s="622" t="s">
        <v>44</v>
      </c>
      <c r="AZ311" s="622">
        <v>41</v>
      </c>
      <c r="BA311" s="625" t="s">
        <v>63</v>
      </c>
      <c r="BF311" s="1837"/>
      <c r="BG311" s="1837"/>
      <c r="BI311" s="1365"/>
      <c r="BJ311" s="1365"/>
      <c r="BK311" s="1365"/>
      <c r="BL311" s="1365"/>
      <c r="BM311" s="1365"/>
      <c r="BN311" s="1365"/>
      <c r="BO311" s="1365"/>
      <c r="BP311" s="1365"/>
      <c r="BQ311" s="1365"/>
      <c r="BR311" s="1365"/>
      <c r="BS311" s="1365"/>
    </row>
    <row r="312" spans="1:71">
      <c r="A312" s="1802">
        <v>34688</v>
      </c>
      <c r="B312" s="622" t="s">
        <v>89</v>
      </c>
      <c r="E312" s="1"/>
      <c r="F312" s="622">
        <v>20.04</v>
      </c>
      <c r="G312" s="625" t="s">
        <v>71</v>
      </c>
      <c r="L312" s="626">
        <v>1103.28</v>
      </c>
      <c r="M312" s="626" t="s">
        <v>36</v>
      </c>
      <c r="S312" s="623">
        <v>34219</v>
      </c>
      <c r="T312" s="622" t="s">
        <v>75</v>
      </c>
      <c r="V312" s="622">
        <v>55.02</v>
      </c>
      <c r="W312" s="625" t="s">
        <v>78</v>
      </c>
      <c r="AB312" s="626">
        <v>21.01</v>
      </c>
      <c r="AC312" s="626" t="s">
        <v>49</v>
      </c>
      <c r="AE312" s="1802">
        <v>34683</v>
      </c>
      <c r="AF312" s="622" t="s">
        <v>89</v>
      </c>
      <c r="AI312" s="1376"/>
      <c r="AJ312" s="622">
        <v>14.02</v>
      </c>
      <c r="AK312" s="625" t="s">
        <v>71</v>
      </c>
      <c r="AP312" s="1837"/>
      <c r="AQ312" s="1837"/>
      <c r="AW312" s="1802">
        <v>34201</v>
      </c>
      <c r="AX312" s="622" t="s">
        <v>75</v>
      </c>
      <c r="AZ312" s="622">
        <v>41.03</v>
      </c>
      <c r="BA312" s="622" t="s">
        <v>78</v>
      </c>
      <c r="BF312" s="1837"/>
      <c r="BG312" s="1837"/>
      <c r="BI312" s="1365"/>
      <c r="BJ312" s="1365"/>
      <c r="BK312" s="1365"/>
      <c r="BL312" s="1365"/>
      <c r="BM312" s="1365"/>
      <c r="BN312" s="1365"/>
      <c r="BO312" s="1365"/>
      <c r="BP312" s="1365"/>
      <c r="BQ312" s="1365"/>
      <c r="BR312" s="1365"/>
      <c r="BS312" s="1365"/>
    </row>
    <row r="313" spans="1:71">
      <c r="A313" s="1802">
        <v>34695</v>
      </c>
      <c r="B313" s="622" t="s">
        <v>89</v>
      </c>
      <c r="E313" s="1"/>
      <c r="F313" s="622">
        <v>20.05</v>
      </c>
      <c r="G313" s="625" t="s">
        <v>71</v>
      </c>
      <c r="L313" s="626">
        <v>1103.3</v>
      </c>
      <c r="M313" s="626" t="s">
        <v>36</v>
      </c>
      <c r="S313" s="623">
        <v>34232</v>
      </c>
      <c r="T313" s="622" t="s">
        <v>96</v>
      </c>
      <c r="V313" s="622">
        <v>57.01</v>
      </c>
      <c r="W313" s="625" t="s">
        <v>78</v>
      </c>
      <c r="AB313" s="626">
        <v>21.01</v>
      </c>
      <c r="AC313" s="626" t="s">
        <v>71</v>
      </c>
      <c r="AE313" s="1802">
        <v>34684</v>
      </c>
      <c r="AF313" s="622" t="s">
        <v>89</v>
      </c>
      <c r="AI313" s="1376"/>
      <c r="AJ313" s="622">
        <v>18.010000000000002</v>
      </c>
      <c r="AK313" s="625" t="s">
        <v>71</v>
      </c>
      <c r="AP313" s="1837"/>
      <c r="AQ313" s="1837"/>
      <c r="AW313" s="1802">
        <v>34202</v>
      </c>
      <c r="AX313" s="622" t="s">
        <v>75</v>
      </c>
      <c r="AZ313" s="622">
        <v>42</v>
      </c>
      <c r="BA313" s="625" t="s">
        <v>63</v>
      </c>
      <c r="BF313" s="1837"/>
      <c r="BG313" s="1837"/>
      <c r="BI313" s="1365"/>
      <c r="BJ313" s="1365"/>
      <c r="BK313" s="1365"/>
      <c r="BL313" s="1365"/>
      <c r="BM313" s="1365"/>
      <c r="BN313" s="1365"/>
      <c r="BO313" s="1365"/>
      <c r="BP313" s="1365"/>
      <c r="BQ313" s="1365"/>
      <c r="BR313" s="1365"/>
      <c r="BS313" s="1365"/>
    </row>
    <row r="314" spans="1:71">
      <c r="A314" s="1802">
        <v>34698</v>
      </c>
      <c r="B314" s="622" t="s">
        <v>89</v>
      </c>
      <c r="E314" s="1"/>
      <c r="F314" s="622">
        <v>20.059999999999999</v>
      </c>
      <c r="G314" s="625" t="s">
        <v>71</v>
      </c>
      <c r="L314" s="626">
        <v>1103.31</v>
      </c>
      <c r="M314" s="626" t="s">
        <v>36</v>
      </c>
      <c r="S314" s="623">
        <v>34233</v>
      </c>
      <c r="T314" s="622" t="s">
        <v>96</v>
      </c>
      <c r="V314" s="622">
        <v>57.01</v>
      </c>
      <c r="W314" s="625" t="s">
        <v>87</v>
      </c>
      <c r="AB314" s="626">
        <v>21.02</v>
      </c>
      <c r="AC314" s="626" t="s">
        <v>26</v>
      </c>
      <c r="AE314" s="1802">
        <v>34685</v>
      </c>
      <c r="AF314" s="622" t="s">
        <v>89</v>
      </c>
      <c r="AI314" s="1376"/>
      <c r="AJ314" s="622">
        <v>19.010000000000002</v>
      </c>
      <c r="AK314" s="625" t="s">
        <v>71</v>
      </c>
      <c r="AP314" s="1837"/>
      <c r="AQ314" s="1837"/>
      <c r="AW314" s="1802">
        <v>34211</v>
      </c>
      <c r="AX314" s="622" t="s">
        <v>75</v>
      </c>
      <c r="AZ314" s="622">
        <v>43</v>
      </c>
      <c r="BA314" s="625" t="s">
        <v>63</v>
      </c>
      <c r="BF314" s="1837"/>
      <c r="BG314" s="1837"/>
      <c r="BI314" s="1365"/>
      <c r="BJ314" s="1365"/>
      <c r="BK314" s="1365"/>
      <c r="BL314" s="1365"/>
      <c r="BM314" s="1365"/>
      <c r="BN314" s="1365"/>
      <c r="BO314" s="1365"/>
      <c r="BP314" s="1365"/>
      <c r="BQ314" s="1365"/>
      <c r="BR314" s="1365"/>
      <c r="BS314" s="1365"/>
    </row>
    <row r="315" spans="1:71">
      <c r="A315" s="1802">
        <v>33803</v>
      </c>
      <c r="B315" s="622" t="s">
        <v>91</v>
      </c>
      <c r="E315" s="1"/>
      <c r="F315" s="622">
        <v>21.03</v>
      </c>
      <c r="G315" s="625" t="s">
        <v>71</v>
      </c>
      <c r="L315" s="626">
        <v>1103.32</v>
      </c>
      <c r="M315" s="626" t="s">
        <v>36</v>
      </c>
      <c r="S315" s="623">
        <v>34235</v>
      </c>
      <c r="T315" s="622" t="s">
        <v>96</v>
      </c>
      <c r="V315" s="622">
        <v>57.02</v>
      </c>
      <c r="W315" s="625" t="s">
        <v>87</v>
      </c>
      <c r="AB315" s="626">
        <v>21.02</v>
      </c>
      <c r="AC315" s="626" t="s">
        <v>49</v>
      </c>
      <c r="AE315" s="1802">
        <v>34688</v>
      </c>
      <c r="AF315" s="622" t="s">
        <v>89</v>
      </c>
      <c r="AI315" s="1376"/>
      <c r="AJ315" s="622">
        <v>19.02</v>
      </c>
      <c r="AK315" s="625" t="s">
        <v>71</v>
      </c>
      <c r="AP315" s="1837"/>
      <c r="AQ315" s="1837"/>
      <c r="AW315" s="1802">
        <v>34212</v>
      </c>
      <c r="AX315" s="622" t="s">
        <v>75</v>
      </c>
      <c r="AZ315" s="622">
        <v>44</v>
      </c>
      <c r="BA315" s="625" t="s">
        <v>63</v>
      </c>
      <c r="BF315" s="1837"/>
      <c r="BG315" s="1837"/>
      <c r="BI315" s="1365"/>
      <c r="BJ315" s="1365"/>
      <c r="BK315" s="1365"/>
      <c r="BL315" s="1365"/>
      <c r="BM315" s="1365"/>
      <c r="BN315" s="1365"/>
      <c r="BO315" s="1365"/>
      <c r="BP315" s="1365"/>
      <c r="BQ315" s="1365"/>
      <c r="BR315" s="1365"/>
      <c r="BS315" s="1365"/>
    </row>
    <row r="316" spans="1:71">
      <c r="A316" s="1802">
        <v>33805</v>
      </c>
      <c r="B316" s="622" t="s">
        <v>91</v>
      </c>
      <c r="E316" s="1"/>
      <c r="F316" s="622">
        <v>21.04</v>
      </c>
      <c r="G316" s="625" t="s">
        <v>71</v>
      </c>
      <c r="L316" s="626">
        <v>1103.33</v>
      </c>
      <c r="M316" s="626" t="s">
        <v>36</v>
      </c>
      <c r="S316" s="623">
        <v>34238</v>
      </c>
      <c r="T316" s="622" t="s">
        <v>96</v>
      </c>
      <c r="V316" s="622">
        <v>57.03</v>
      </c>
      <c r="W316" s="625" t="s">
        <v>78</v>
      </c>
      <c r="AB316" s="626">
        <v>22</v>
      </c>
      <c r="AC316" s="626" t="s">
        <v>49</v>
      </c>
      <c r="AE316" s="1802">
        <v>34695</v>
      </c>
      <c r="AF316" s="622" t="s">
        <v>89</v>
      </c>
      <c r="AI316" s="1376"/>
      <c r="AJ316" s="622">
        <v>20.03</v>
      </c>
      <c r="AK316" s="625" t="s">
        <v>71</v>
      </c>
      <c r="AP316" s="1837"/>
      <c r="AQ316" s="1837"/>
      <c r="AW316" s="1802">
        <v>34216</v>
      </c>
      <c r="AX316" s="622" t="s">
        <v>75</v>
      </c>
      <c r="AZ316" s="622">
        <v>44.02</v>
      </c>
      <c r="BA316" s="622" t="s">
        <v>87</v>
      </c>
      <c r="BF316" s="1837"/>
      <c r="BG316" s="1837"/>
      <c r="BI316" s="1365"/>
      <c r="BJ316" s="1365"/>
      <c r="BK316" s="1365"/>
      <c r="BL316" s="1365"/>
      <c r="BM316" s="1365"/>
      <c r="BN316" s="1365"/>
      <c r="BO316" s="1365"/>
      <c r="BP316" s="1365"/>
      <c r="BQ316" s="1365"/>
      <c r="BR316" s="1365"/>
      <c r="BS316" s="1365"/>
    </row>
    <row r="317" spans="1:71">
      <c r="A317" s="1802">
        <v>33809</v>
      </c>
      <c r="B317" s="622" t="s">
        <v>91</v>
      </c>
      <c r="E317" s="1"/>
      <c r="F317" s="622">
        <v>1.03</v>
      </c>
      <c r="G317" s="625" t="s">
        <v>75</v>
      </c>
      <c r="L317" s="626">
        <v>1103.3599999999999</v>
      </c>
      <c r="M317" s="626" t="s">
        <v>36</v>
      </c>
      <c r="S317" s="623">
        <v>34240</v>
      </c>
      <c r="T317" s="622" t="s">
        <v>96</v>
      </c>
      <c r="V317" s="622">
        <v>57.04</v>
      </c>
      <c r="W317" s="625" t="s">
        <v>78</v>
      </c>
      <c r="AB317" s="626">
        <v>22</v>
      </c>
      <c r="AC317" s="626" t="s">
        <v>63</v>
      </c>
      <c r="AE317" s="1802">
        <v>34698</v>
      </c>
      <c r="AF317" s="622" t="s">
        <v>89</v>
      </c>
      <c r="AI317" s="1376"/>
      <c r="AJ317" s="622">
        <v>20.05</v>
      </c>
      <c r="AK317" s="625" t="s">
        <v>71</v>
      </c>
      <c r="AP317" s="1837"/>
      <c r="AQ317" s="1837"/>
      <c r="AW317" s="1802">
        <v>34217</v>
      </c>
      <c r="AX317" s="622" t="s">
        <v>75</v>
      </c>
      <c r="AZ317" s="622">
        <v>44.04</v>
      </c>
      <c r="BA317" s="625" t="s">
        <v>78</v>
      </c>
      <c r="BF317" s="1837"/>
      <c r="BG317" s="1837"/>
      <c r="BI317" s="1365"/>
      <c r="BJ317" s="1365"/>
      <c r="BK317" s="1365"/>
      <c r="BL317" s="1365"/>
      <c r="BM317" s="1365"/>
      <c r="BN317" s="1365"/>
      <c r="BO317" s="1365"/>
      <c r="BP317" s="1365"/>
      <c r="BQ317" s="1365"/>
      <c r="BR317" s="1365"/>
      <c r="BS317" s="1365"/>
    </row>
    <row r="318" spans="1:71">
      <c r="A318" s="1802">
        <v>33810</v>
      </c>
      <c r="B318" s="622" t="s">
        <v>91</v>
      </c>
      <c r="E318" s="1"/>
      <c r="F318" s="622">
        <v>1.05</v>
      </c>
      <c r="G318" s="625" t="s">
        <v>75</v>
      </c>
      <c r="L318" s="626">
        <v>1103.3699999999999</v>
      </c>
      <c r="M318" s="626" t="s">
        <v>36</v>
      </c>
      <c r="S318" s="623">
        <v>34241</v>
      </c>
      <c r="T318" s="622" t="s">
        <v>96</v>
      </c>
      <c r="V318" s="622">
        <v>58.14</v>
      </c>
      <c r="W318" s="625" t="s">
        <v>87</v>
      </c>
      <c r="AB318" s="626">
        <v>22.01</v>
      </c>
      <c r="AC318" s="626" t="s">
        <v>26</v>
      </c>
      <c r="AE318" s="1802">
        <v>33803</v>
      </c>
      <c r="AF318" s="622" t="s">
        <v>91</v>
      </c>
      <c r="AI318" s="1376"/>
      <c r="AJ318" s="622">
        <v>20.059999999999999</v>
      </c>
      <c r="AK318" s="625" t="s">
        <v>71</v>
      </c>
      <c r="AP318" s="1837"/>
      <c r="AQ318" s="1837"/>
      <c r="AW318" s="1802">
        <v>34219</v>
      </c>
      <c r="AX318" s="622" t="s">
        <v>75</v>
      </c>
      <c r="AZ318" s="622">
        <v>44.05</v>
      </c>
      <c r="BA318" s="625" t="s">
        <v>78</v>
      </c>
      <c r="BF318" s="1837"/>
      <c r="BG318" s="1837"/>
      <c r="BI318" s="1365"/>
      <c r="BJ318" s="1365"/>
      <c r="BK318" s="1365"/>
      <c r="BL318" s="1365"/>
      <c r="BM318" s="1365"/>
      <c r="BN318" s="1365"/>
      <c r="BO318" s="1365"/>
      <c r="BP318" s="1365"/>
      <c r="BQ318" s="1365"/>
      <c r="BR318" s="1365"/>
      <c r="BS318" s="1365"/>
    </row>
    <row r="319" spans="1:71">
      <c r="A319" s="1802">
        <v>33811</v>
      </c>
      <c r="B319" s="622" t="s">
        <v>91</v>
      </c>
      <c r="E319" s="1"/>
      <c r="F319" s="622">
        <v>1.06</v>
      </c>
      <c r="G319" s="625" t="s">
        <v>75</v>
      </c>
      <c r="L319" s="626">
        <v>1103.3800000000001</v>
      </c>
      <c r="M319" s="626" t="s">
        <v>36</v>
      </c>
      <c r="S319" s="623">
        <v>34242</v>
      </c>
      <c r="T319" s="622" t="s">
        <v>96</v>
      </c>
      <c r="V319" s="622">
        <v>63.01</v>
      </c>
      <c r="W319" s="625" t="s">
        <v>78</v>
      </c>
      <c r="AB319" s="626">
        <v>22.01</v>
      </c>
      <c r="AC319" s="626" t="s">
        <v>76</v>
      </c>
      <c r="AE319" s="1802">
        <v>33805</v>
      </c>
      <c r="AF319" s="622" t="s">
        <v>91</v>
      </c>
      <c r="AI319" s="1376"/>
      <c r="AJ319" s="622">
        <v>20.07</v>
      </c>
      <c r="AK319" s="625" t="s">
        <v>71</v>
      </c>
      <c r="AP319" s="1837"/>
      <c r="AQ319" s="1837"/>
      <c r="AW319" s="1802">
        <v>34232</v>
      </c>
      <c r="AX319" s="622" t="s">
        <v>96</v>
      </c>
      <c r="AZ319" s="622">
        <v>45</v>
      </c>
      <c r="BA319" s="622" t="s">
        <v>87</v>
      </c>
      <c r="BF319" s="1837"/>
      <c r="BG319" s="1837"/>
      <c r="BI319" s="1365"/>
      <c r="BJ319" s="1365"/>
      <c r="BK319" s="1365"/>
      <c r="BL319" s="1365"/>
      <c r="BM319" s="1365"/>
      <c r="BN319" s="1365"/>
      <c r="BO319" s="1365"/>
      <c r="BP319" s="1365"/>
      <c r="BQ319" s="1365"/>
      <c r="BR319" s="1365"/>
      <c r="BS319" s="1365"/>
    </row>
    <row r="320" spans="1:71">
      <c r="A320" s="1802">
        <v>33812</v>
      </c>
      <c r="B320" s="622" t="s">
        <v>91</v>
      </c>
      <c r="E320" s="1"/>
      <c r="F320" s="622">
        <v>2.0099999999999998</v>
      </c>
      <c r="G320" s="625" t="s">
        <v>75</v>
      </c>
      <c r="L320" s="626">
        <v>1103.3900000000001</v>
      </c>
      <c r="M320" s="626" t="s">
        <v>36</v>
      </c>
      <c r="S320" s="623">
        <v>34243</v>
      </c>
      <c r="T320" s="622" t="s">
        <v>75</v>
      </c>
      <c r="V320" s="622">
        <v>64.03</v>
      </c>
      <c r="W320" s="625" t="s">
        <v>78</v>
      </c>
      <c r="AB320" s="626">
        <v>22.01</v>
      </c>
      <c r="AC320" s="626" t="s">
        <v>78</v>
      </c>
      <c r="AE320" s="1802">
        <v>33809</v>
      </c>
      <c r="AF320" s="622" t="s">
        <v>91</v>
      </c>
      <c r="AI320" s="1376"/>
      <c r="AJ320" s="622">
        <v>20.079999999999998</v>
      </c>
      <c r="AK320" s="625" t="s">
        <v>71</v>
      </c>
      <c r="AP320" s="1837"/>
      <c r="AQ320" s="1837"/>
      <c r="AW320" s="623">
        <v>34233</v>
      </c>
      <c r="AX320" s="624" t="s">
        <v>96</v>
      </c>
      <c r="AZ320" s="622">
        <v>46.02</v>
      </c>
      <c r="BA320" s="622" t="s">
        <v>87</v>
      </c>
      <c r="BF320" s="1837"/>
      <c r="BG320" s="1837"/>
      <c r="BI320" s="1365"/>
      <c r="BJ320" s="1365"/>
      <c r="BK320" s="1365"/>
      <c r="BL320" s="1365"/>
      <c r="BM320" s="1365"/>
      <c r="BN320" s="1365"/>
      <c r="BO320" s="1365"/>
      <c r="BP320" s="1365"/>
      <c r="BQ320" s="1365"/>
      <c r="BR320" s="1365"/>
      <c r="BS320" s="1365"/>
    </row>
    <row r="321" spans="1:71">
      <c r="A321" s="1802">
        <v>33813</v>
      </c>
      <c r="B321" s="622" t="s">
        <v>91</v>
      </c>
      <c r="E321" s="1"/>
      <c r="F321" s="622">
        <v>2.02</v>
      </c>
      <c r="G321" s="625" t="s">
        <v>75</v>
      </c>
      <c r="L321" s="626">
        <v>1103.4000000000001</v>
      </c>
      <c r="M321" s="626" t="s">
        <v>36</v>
      </c>
      <c r="S321" s="623">
        <v>34251</v>
      </c>
      <c r="T321" s="622" t="s">
        <v>75</v>
      </c>
      <c r="V321" s="622">
        <v>68.02</v>
      </c>
      <c r="W321" s="625" t="s">
        <v>87</v>
      </c>
      <c r="AB321" s="626">
        <v>22.02</v>
      </c>
      <c r="AC321" s="626" t="s">
        <v>26</v>
      </c>
      <c r="AE321" s="1802">
        <v>33810</v>
      </c>
      <c r="AF321" s="622" t="s">
        <v>91</v>
      </c>
      <c r="AI321" s="1376"/>
      <c r="AJ321" s="622">
        <v>21.03</v>
      </c>
      <c r="AK321" s="625" t="s">
        <v>71</v>
      </c>
      <c r="AP321" s="1837"/>
      <c r="AQ321" s="1837"/>
      <c r="AW321" s="1802">
        <v>34235</v>
      </c>
      <c r="AX321" s="622" t="s">
        <v>96</v>
      </c>
      <c r="AZ321" s="622">
        <v>47.04</v>
      </c>
      <c r="BA321" s="622" t="s">
        <v>87</v>
      </c>
      <c r="BF321" s="1837"/>
      <c r="BG321" s="1837"/>
      <c r="BI321" s="1365"/>
      <c r="BJ321" s="1365"/>
      <c r="BK321" s="1365"/>
      <c r="BL321" s="1365"/>
      <c r="BM321" s="1365"/>
      <c r="BN321" s="1365"/>
      <c r="BO321" s="1365"/>
      <c r="BP321" s="1365"/>
      <c r="BQ321" s="1365"/>
      <c r="BR321" s="1365"/>
      <c r="BS321" s="1365"/>
    </row>
    <row r="322" spans="1:71">
      <c r="A322" s="1802">
        <v>33837</v>
      </c>
      <c r="B322" s="622" t="s">
        <v>91</v>
      </c>
      <c r="E322" s="1"/>
      <c r="F322" s="622">
        <v>3.05</v>
      </c>
      <c r="G322" s="625" t="s">
        <v>75</v>
      </c>
      <c r="L322" s="626">
        <v>1103.42</v>
      </c>
      <c r="M322" s="626" t="s">
        <v>36</v>
      </c>
      <c r="S322" s="623">
        <v>34286</v>
      </c>
      <c r="T322" s="622" t="s">
        <v>96</v>
      </c>
      <c r="V322" s="622">
        <v>70.02</v>
      </c>
      <c r="W322" s="625" t="s">
        <v>63</v>
      </c>
      <c r="AB322" s="626">
        <v>22.02</v>
      </c>
      <c r="AC322" s="626" t="s">
        <v>76</v>
      </c>
      <c r="AE322" s="1802">
        <v>33811</v>
      </c>
      <c r="AF322" s="622" t="s">
        <v>91</v>
      </c>
      <c r="AI322" s="1376"/>
      <c r="AJ322" s="622">
        <v>21.05</v>
      </c>
      <c r="AK322" s="625" t="s">
        <v>71</v>
      </c>
      <c r="AP322" s="1837"/>
      <c r="AQ322" s="1837"/>
      <c r="AW322" s="1802">
        <v>34238</v>
      </c>
      <c r="AX322" s="622" t="s">
        <v>96</v>
      </c>
      <c r="AZ322" s="622">
        <v>49.01</v>
      </c>
      <c r="BA322" s="625" t="s">
        <v>78</v>
      </c>
      <c r="BF322" s="1837"/>
      <c r="BG322" s="1837"/>
      <c r="BI322" s="1365"/>
      <c r="BJ322" s="1365"/>
      <c r="BK322" s="1365"/>
      <c r="BL322" s="1365"/>
      <c r="BM322" s="1365"/>
      <c r="BN322" s="1365"/>
      <c r="BO322" s="1365"/>
      <c r="BP322" s="1365"/>
      <c r="BQ322" s="1365"/>
      <c r="BR322" s="1365"/>
      <c r="BS322" s="1365"/>
    </row>
    <row r="323" spans="1:71">
      <c r="A323" s="1802">
        <v>33851</v>
      </c>
      <c r="B323" s="622" t="s">
        <v>91</v>
      </c>
      <c r="E323" s="1"/>
      <c r="F323" s="622">
        <v>3.06</v>
      </c>
      <c r="G323" s="625" t="s">
        <v>75</v>
      </c>
      <c r="L323" s="626">
        <v>1103.43</v>
      </c>
      <c r="M323" s="626" t="s">
        <v>36</v>
      </c>
      <c r="S323" s="623">
        <v>34288</v>
      </c>
      <c r="T323" s="622" t="s">
        <v>96</v>
      </c>
      <c r="V323" s="622">
        <v>70.02</v>
      </c>
      <c r="W323" s="625" t="s">
        <v>78</v>
      </c>
      <c r="AB323" s="626">
        <v>22.02</v>
      </c>
      <c r="AC323" s="626" t="s">
        <v>96</v>
      </c>
      <c r="AE323" s="1802">
        <v>33812</v>
      </c>
      <c r="AF323" s="622" t="s">
        <v>91</v>
      </c>
      <c r="AI323" s="1376"/>
      <c r="AJ323" s="622">
        <v>21.06</v>
      </c>
      <c r="AK323" s="625" t="s">
        <v>71</v>
      </c>
      <c r="AP323" s="1837"/>
      <c r="AQ323" s="1837"/>
      <c r="AW323" s="1802">
        <v>34239</v>
      </c>
      <c r="AX323" s="622" t="s">
        <v>96</v>
      </c>
      <c r="AZ323" s="622">
        <v>49.03</v>
      </c>
      <c r="BA323" s="622" t="s">
        <v>78</v>
      </c>
      <c r="BF323" s="1837"/>
      <c r="BG323" s="1837"/>
      <c r="BI323" s="1365"/>
      <c r="BJ323" s="1365"/>
      <c r="BK323" s="1365"/>
      <c r="BL323" s="1365"/>
      <c r="BM323" s="1365"/>
      <c r="BN323" s="1365"/>
      <c r="BO323" s="1365"/>
      <c r="BP323" s="1365"/>
      <c r="BQ323" s="1365"/>
      <c r="BR323" s="1365"/>
      <c r="BS323" s="1365"/>
    </row>
    <row r="324" spans="1:71">
      <c r="A324" s="1802">
        <v>33884</v>
      </c>
      <c r="B324" s="622" t="s">
        <v>91</v>
      </c>
      <c r="E324" s="1"/>
      <c r="F324" s="622">
        <v>3.09</v>
      </c>
      <c r="G324" s="625" t="s">
        <v>75</v>
      </c>
      <c r="L324" s="626">
        <v>1104.02</v>
      </c>
      <c r="M324" s="626" t="s">
        <v>36</v>
      </c>
      <c r="S324" s="623">
        <v>34291</v>
      </c>
      <c r="T324" s="622" t="s">
        <v>96</v>
      </c>
      <c r="V324" s="622">
        <v>72</v>
      </c>
      <c r="W324" s="625" t="s">
        <v>78</v>
      </c>
      <c r="AB324" s="626">
        <v>22.03</v>
      </c>
      <c r="AC324" s="626" t="s">
        <v>76</v>
      </c>
      <c r="AE324" s="1802">
        <v>33813</v>
      </c>
      <c r="AF324" s="622" t="s">
        <v>91</v>
      </c>
      <c r="AI324" s="1376"/>
      <c r="AJ324" s="622">
        <v>1.03</v>
      </c>
      <c r="AK324" s="625" t="s">
        <v>75</v>
      </c>
      <c r="AP324" s="1837"/>
      <c r="AQ324" s="1837"/>
      <c r="AW324" s="1802">
        <v>34240</v>
      </c>
      <c r="AX324" s="622" t="s">
        <v>96</v>
      </c>
      <c r="AZ324" s="622">
        <v>49.03</v>
      </c>
      <c r="BA324" s="622" t="s">
        <v>87</v>
      </c>
      <c r="BF324" s="1837"/>
      <c r="BG324" s="1837"/>
      <c r="BI324" s="1365"/>
      <c r="BJ324" s="1365"/>
      <c r="BK324" s="1365"/>
      <c r="BL324" s="1365"/>
      <c r="BM324" s="1365"/>
      <c r="BN324" s="1365"/>
      <c r="BO324" s="1365"/>
      <c r="BP324" s="1365"/>
      <c r="BQ324" s="1365"/>
      <c r="BR324" s="1365"/>
      <c r="BS324" s="1365"/>
    </row>
    <row r="325" spans="1:71">
      <c r="A325" s="1802">
        <v>33896</v>
      </c>
      <c r="B325" s="622" t="s">
        <v>91</v>
      </c>
      <c r="E325" s="1"/>
      <c r="F325" s="622">
        <v>3.1</v>
      </c>
      <c r="G325" s="625" t="s">
        <v>75</v>
      </c>
      <c r="L325" s="626">
        <v>1104.03</v>
      </c>
      <c r="M325" s="626" t="s">
        <v>36</v>
      </c>
      <c r="S325" s="623">
        <v>34292</v>
      </c>
      <c r="T325" s="622" t="s">
        <v>96</v>
      </c>
      <c r="V325" s="622">
        <v>76.03</v>
      </c>
      <c r="W325" s="625" t="s">
        <v>78</v>
      </c>
      <c r="AB325" s="626">
        <v>22.04</v>
      </c>
      <c r="AC325" s="626" t="s">
        <v>26</v>
      </c>
      <c r="AE325" s="1802">
        <v>33827</v>
      </c>
      <c r="AF325" s="622" t="s">
        <v>91</v>
      </c>
      <c r="AI325" s="1376"/>
      <c r="AJ325" s="622">
        <v>1.05</v>
      </c>
      <c r="AK325" s="625" t="s">
        <v>75</v>
      </c>
      <c r="AP325" s="1837"/>
      <c r="AQ325" s="1837"/>
      <c r="AW325" s="1802">
        <v>34241</v>
      </c>
      <c r="AX325" s="622" t="s">
        <v>96</v>
      </c>
      <c r="AZ325" s="622">
        <v>49.04</v>
      </c>
      <c r="BA325" s="622" t="s">
        <v>78</v>
      </c>
      <c r="BF325" s="1837"/>
      <c r="BG325" s="1837"/>
      <c r="BI325" s="1365"/>
      <c r="BJ325" s="1365"/>
      <c r="BK325" s="1365"/>
      <c r="BL325" s="1365"/>
      <c r="BM325" s="1365"/>
      <c r="BN325" s="1365"/>
      <c r="BO325" s="1365"/>
      <c r="BP325" s="1365"/>
      <c r="BQ325" s="1365"/>
      <c r="BR325" s="1365"/>
      <c r="BS325" s="1365"/>
    </row>
    <row r="326" spans="1:71">
      <c r="A326" s="1802">
        <v>33897</v>
      </c>
      <c r="B326" s="622" t="s">
        <v>91</v>
      </c>
      <c r="E326" s="1"/>
      <c r="F326" s="622">
        <v>6.04</v>
      </c>
      <c r="G326" s="625" t="s">
        <v>75</v>
      </c>
      <c r="L326" s="626">
        <v>1106</v>
      </c>
      <c r="M326" s="626" t="s">
        <v>36</v>
      </c>
      <c r="S326" s="623">
        <v>34293</v>
      </c>
      <c r="T326" s="622" t="s">
        <v>96</v>
      </c>
      <c r="V326" s="622">
        <v>77.459999999999994</v>
      </c>
      <c r="W326" s="625" t="s">
        <v>87</v>
      </c>
      <c r="AB326" s="626">
        <v>22.05</v>
      </c>
      <c r="AC326" s="626" t="s">
        <v>26</v>
      </c>
      <c r="AE326" s="1802">
        <v>33837</v>
      </c>
      <c r="AF326" s="622" t="s">
        <v>91</v>
      </c>
      <c r="AI326" s="1376"/>
      <c r="AJ326" s="622">
        <v>1.06</v>
      </c>
      <c r="AK326" s="625" t="s">
        <v>75</v>
      </c>
      <c r="AP326" s="1837"/>
      <c r="AQ326" s="1837"/>
      <c r="AW326" s="1802">
        <v>34242</v>
      </c>
      <c r="AX326" s="622" t="s">
        <v>96</v>
      </c>
      <c r="AZ326" s="622">
        <v>50</v>
      </c>
      <c r="BA326" s="625" t="s">
        <v>63</v>
      </c>
      <c r="BF326" s="1837"/>
      <c r="BG326" s="1837"/>
      <c r="BI326" s="1365"/>
      <c r="BJ326" s="1365"/>
      <c r="BK326" s="1365"/>
      <c r="BL326" s="1365"/>
      <c r="BM326" s="1365"/>
      <c r="BN326" s="1365"/>
      <c r="BO326" s="1365"/>
      <c r="BP326" s="1365"/>
      <c r="BQ326" s="1365"/>
      <c r="BR326" s="1365"/>
      <c r="BS326" s="1365"/>
    </row>
    <row r="327" spans="1:71">
      <c r="A327" s="1802">
        <v>34759</v>
      </c>
      <c r="B327" s="622" t="s">
        <v>91</v>
      </c>
      <c r="E327" s="1"/>
      <c r="F327" s="622">
        <v>7.04</v>
      </c>
      <c r="G327" s="625" t="s">
        <v>75</v>
      </c>
      <c r="L327" s="626">
        <v>101</v>
      </c>
      <c r="M327" s="626" t="s">
        <v>39</v>
      </c>
      <c r="S327" s="623">
        <v>34429</v>
      </c>
      <c r="T327" s="622" t="s">
        <v>42</v>
      </c>
      <c r="V327" s="622">
        <v>78.33</v>
      </c>
      <c r="W327" s="625" t="s">
        <v>87</v>
      </c>
      <c r="AB327" s="626">
        <v>22.05</v>
      </c>
      <c r="AC327" s="626" t="s">
        <v>71</v>
      </c>
      <c r="AE327" s="1802">
        <v>33851</v>
      </c>
      <c r="AF327" s="622" t="s">
        <v>91</v>
      </c>
      <c r="AI327" s="1376"/>
      <c r="AJ327" s="622">
        <v>2.0099999999999998</v>
      </c>
      <c r="AK327" s="625" t="s">
        <v>75</v>
      </c>
      <c r="AP327" s="1837"/>
      <c r="AQ327" s="1837"/>
      <c r="AW327" s="1802">
        <v>34243</v>
      </c>
      <c r="AX327" s="622" t="s">
        <v>75</v>
      </c>
      <c r="AZ327" s="622">
        <v>50.02</v>
      </c>
      <c r="BA327" s="625" t="s">
        <v>78</v>
      </c>
      <c r="BF327" s="1837"/>
      <c r="BG327" s="1837"/>
      <c r="BI327" s="1365"/>
      <c r="BJ327" s="1365"/>
      <c r="BK327" s="1365"/>
      <c r="BL327" s="1365"/>
      <c r="BM327" s="1365"/>
      <c r="BN327" s="1365"/>
      <c r="BO327" s="1365"/>
      <c r="BP327" s="1365"/>
      <c r="BQ327" s="1365"/>
      <c r="BR327" s="1365"/>
      <c r="BS327" s="1365"/>
    </row>
    <row r="328" spans="1:71">
      <c r="A328" s="1802">
        <v>32561</v>
      </c>
      <c r="B328" s="622" t="s">
        <v>95</v>
      </c>
      <c r="E328" s="1"/>
      <c r="F328" s="622">
        <v>7.05</v>
      </c>
      <c r="G328" s="625" t="s">
        <v>75</v>
      </c>
      <c r="L328" s="626">
        <v>103.01</v>
      </c>
      <c r="M328" s="626" t="s">
        <v>41</v>
      </c>
      <c r="S328" s="623">
        <v>34434</v>
      </c>
      <c r="T328" s="622" t="s">
        <v>42</v>
      </c>
      <c r="V328" s="622">
        <v>80.010000000000005</v>
      </c>
      <c r="W328" s="625" t="s">
        <v>87</v>
      </c>
      <c r="AB328" s="626">
        <v>22.06</v>
      </c>
      <c r="AC328" s="626" t="s">
        <v>71</v>
      </c>
      <c r="AE328" s="1802">
        <v>33884</v>
      </c>
      <c r="AF328" s="622" t="s">
        <v>91</v>
      </c>
      <c r="AI328" s="1376"/>
      <c r="AJ328" s="622">
        <v>2.0299999999999998</v>
      </c>
      <c r="AK328" s="625" t="s">
        <v>75</v>
      </c>
      <c r="AP328" s="1837"/>
      <c r="AQ328" s="1837"/>
      <c r="AW328" s="1802">
        <v>34251</v>
      </c>
      <c r="AX328" s="622" t="s">
        <v>75</v>
      </c>
      <c r="AZ328" s="622">
        <v>51.01</v>
      </c>
      <c r="BA328" s="622" t="s">
        <v>87</v>
      </c>
      <c r="BF328" s="1837"/>
      <c r="BG328" s="1837"/>
      <c r="BI328" s="1365"/>
      <c r="BJ328" s="1365"/>
      <c r="BK328" s="1365"/>
      <c r="BL328" s="1365"/>
      <c r="BM328" s="1365"/>
      <c r="BN328" s="1365"/>
      <c r="BO328" s="1365"/>
      <c r="BP328" s="1365"/>
      <c r="BQ328" s="1365"/>
      <c r="BR328" s="1365"/>
      <c r="BS328" s="1365"/>
    </row>
    <row r="329" spans="1:71">
      <c r="A329" s="1802">
        <v>32566</v>
      </c>
      <c r="B329" s="622" t="s">
        <v>95</v>
      </c>
      <c r="E329" s="1"/>
      <c r="F329" s="622">
        <v>15.02</v>
      </c>
      <c r="G329" s="625" t="s">
        <v>75</v>
      </c>
      <c r="L329" s="626">
        <v>104.01</v>
      </c>
      <c r="M329" s="626" t="s">
        <v>41</v>
      </c>
      <c r="S329" s="623">
        <v>34446</v>
      </c>
      <c r="T329" s="622" t="s">
        <v>42</v>
      </c>
      <c r="V329" s="622">
        <v>80.02</v>
      </c>
      <c r="W329" s="625" t="s">
        <v>87</v>
      </c>
      <c r="AB329" s="626">
        <v>22.07</v>
      </c>
      <c r="AC329" s="626" t="s">
        <v>26</v>
      </c>
      <c r="AE329" s="1802">
        <v>33896</v>
      </c>
      <c r="AF329" s="622" t="s">
        <v>91</v>
      </c>
      <c r="AI329" s="1376"/>
      <c r="AJ329" s="622">
        <v>2.04</v>
      </c>
      <c r="AK329" s="625" t="s">
        <v>75</v>
      </c>
      <c r="AP329" s="1837"/>
      <c r="AQ329" s="1837"/>
      <c r="AW329" s="1802">
        <v>34286</v>
      </c>
      <c r="AX329" s="622" t="s">
        <v>96</v>
      </c>
      <c r="AZ329" s="622">
        <v>51.02</v>
      </c>
      <c r="BA329" s="625" t="s">
        <v>78</v>
      </c>
      <c r="BF329" s="1837"/>
      <c r="BG329" s="1837"/>
      <c r="BI329" s="1365"/>
      <c r="BJ329" s="1365"/>
      <c r="BK329" s="1365"/>
      <c r="BL329" s="1365"/>
      <c r="BM329" s="1365"/>
      <c r="BN329" s="1365"/>
      <c r="BO329" s="1365"/>
      <c r="BP329" s="1365"/>
      <c r="BQ329" s="1365"/>
      <c r="BR329" s="1365"/>
      <c r="BS329" s="1365"/>
    </row>
    <row r="330" spans="1:71">
      <c r="A330" s="1802">
        <v>34232</v>
      </c>
      <c r="B330" s="622" t="s">
        <v>96</v>
      </c>
      <c r="E330" s="1"/>
      <c r="F330" s="622">
        <v>2</v>
      </c>
      <c r="G330" s="625" t="s">
        <v>76</v>
      </c>
      <c r="L330" s="626">
        <v>104.02</v>
      </c>
      <c r="M330" s="626" t="s">
        <v>41</v>
      </c>
      <c r="S330" s="623">
        <v>34453</v>
      </c>
      <c r="T330" s="622" t="s">
        <v>42</v>
      </c>
      <c r="V330" s="622">
        <v>81.010000000000005</v>
      </c>
      <c r="W330" s="625" t="s">
        <v>87</v>
      </c>
      <c r="AB330" s="626">
        <v>22.08</v>
      </c>
      <c r="AC330" s="626" t="s">
        <v>26</v>
      </c>
      <c r="AE330" s="1802">
        <v>33897</v>
      </c>
      <c r="AF330" s="622" t="s">
        <v>91</v>
      </c>
      <c r="AI330" s="1376"/>
      <c r="AJ330" s="622">
        <v>3.05</v>
      </c>
      <c r="AK330" s="625" t="s">
        <v>75</v>
      </c>
      <c r="AP330" s="1837"/>
      <c r="AQ330" s="1837"/>
      <c r="AW330" s="1802">
        <v>34288</v>
      </c>
      <c r="AX330" s="622" t="s">
        <v>96</v>
      </c>
      <c r="AZ330" s="622">
        <v>51.02</v>
      </c>
      <c r="BA330" s="625" t="s">
        <v>87</v>
      </c>
      <c r="BF330" s="1837"/>
      <c r="BG330" s="1837"/>
      <c r="BI330" s="1365"/>
      <c r="BJ330" s="1365"/>
      <c r="BK330" s="1365"/>
      <c r="BL330" s="1365"/>
      <c r="BM330" s="1365"/>
      <c r="BN330" s="1365"/>
      <c r="BO330" s="1365"/>
      <c r="BP330" s="1365"/>
      <c r="BQ330" s="1365"/>
      <c r="BR330" s="1365"/>
      <c r="BS330" s="1365"/>
    </row>
    <row r="331" spans="1:71">
      <c r="A331" s="1802">
        <v>34233</v>
      </c>
      <c r="B331" s="622" t="s">
        <v>96</v>
      </c>
      <c r="E331" s="1"/>
      <c r="F331" s="622">
        <v>3.02</v>
      </c>
      <c r="G331" s="625" t="s">
        <v>76</v>
      </c>
      <c r="L331" s="626">
        <v>104.03</v>
      </c>
      <c r="M331" s="626" t="s">
        <v>41</v>
      </c>
      <c r="S331" s="623">
        <v>34472</v>
      </c>
      <c r="T331" s="622" t="s">
        <v>76</v>
      </c>
      <c r="V331" s="622">
        <v>82.01</v>
      </c>
      <c r="W331" s="625" t="s">
        <v>87</v>
      </c>
      <c r="AB331" s="626">
        <v>22.08</v>
      </c>
      <c r="AC331" s="626" t="s">
        <v>71</v>
      </c>
      <c r="AE331" s="1802">
        <v>34759</v>
      </c>
      <c r="AF331" s="622" t="s">
        <v>91</v>
      </c>
      <c r="AI331" s="1376"/>
      <c r="AJ331" s="622">
        <v>3.07</v>
      </c>
      <c r="AK331" s="625" t="s">
        <v>75</v>
      </c>
      <c r="AP331" s="1837"/>
      <c r="AQ331" s="1837"/>
      <c r="AW331" s="1802">
        <v>34291</v>
      </c>
      <c r="AX331" s="622" t="s">
        <v>96</v>
      </c>
      <c r="AZ331" s="622">
        <v>51.03</v>
      </c>
      <c r="BA331" s="622" t="s">
        <v>78</v>
      </c>
      <c r="BF331" s="1837"/>
      <c r="BG331" s="1837"/>
      <c r="BI331" s="1365"/>
      <c r="BJ331" s="1365"/>
      <c r="BK331" s="1365"/>
      <c r="BL331" s="1365"/>
      <c r="BM331" s="1365"/>
      <c r="BN331" s="1365"/>
      <c r="BO331" s="1365"/>
      <c r="BP331" s="1365"/>
      <c r="BQ331" s="1365"/>
      <c r="BR331" s="1365"/>
      <c r="BS331" s="1365"/>
    </row>
    <row r="332" spans="1:71">
      <c r="A332" s="1802">
        <v>34235</v>
      </c>
      <c r="B332" s="622" t="s">
        <v>96</v>
      </c>
      <c r="E332" s="1"/>
      <c r="F332" s="622">
        <v>4.01</v>
      </c>
      <c r="G332" s="625" t="s">
        <v>76</v>
      </c>
      <c r="L332" s="626">
        <v>104.04</v>
      </c>
      <c r="M332" s="626" t="s">
        <v>41</v>
      </c>
      <c r="S332" s="623">
        <v>34473</v>
      </c>
      <c r="T332" s="622" t="s">
        <v>76</v>
      </c>
      <c r="V332" s="622">
        <v>82.02</v>
      </c>
      <c r="W332" s="625" t="s">
        <v>87</v>
      </c>
      <c r="AB332" s="626">
        <v>22.09</v>
      </c>
      <c r="AC332" s="626" t="s">
        <v>26</v>
      </c>
      <c r="AE332" s="1802">
        <v>32561</v>
      </c>
      <c r="AF332" s="622" t="s">
        <v>95</v>
      </c>
      <c r="AI332" s="1376"/>
      <c r="AJ332" s="622">
        <v>3.09</v>
      </c>
      <c r="AK332" s="625" t="s">
        <v>75</v>
      </c>
      <c r="AP332" s="1837"/>
      <c r="AQ332" s="1837"/>
      <c r="AW332" s="1802">
        <v>34292</v>
      </c>
      <c r="AX332" s="622" t="s">
        <v>96</v>
      </c>
      <c r="AZ332" s="622">
        <v>51.04</v>
      </c>
      <c r="BA332" s="622" t="s">
        <v>78</v>
      </c>
      <c r="BF332" s="1837"/>
      <c r="BG332" s="1837"/>
      <c r="BI332" s="1365"/>
      <c r="BJ332" s="1365"/>
      <c r="BK332" s="1365"/>
      <c r="BL332" s="1365"/>
      <c r="BM332" s="1365"/>
      <c r="BN332" s="1365"/>
      <c r="BO332" s="1365"/>
      <c r="BP332" s="1365"/>
      <c r="BQ332" s="1365"/>
      <c r="BR332" s="1365"/>
      <c r="BS332" s="1365"/>
    </row>
    <row r="333" spans="1:71">
      <c r="A333" s="1802">
        <v>34238</v>
      </c>
      <c r="B333" s="622" t="s">
        <v>96</v>
      </c>
      <c r="E333" s="1"/>
      <c r="F333" s="622">
        <v>4.0199999999999996</v>
      </c>
      <c r="G333" s="625" t="s">
        <v>76</v>
      </c>
      <c r="L333" s="626">
        <v>201.01</v>
      </c>
      <c r="M333" s="626" t="s">
        <v>41</v>
      </c>
      <c r="S333" s="623">
        <v>34474</v>
      </c>
      <c r="T333" s="622" t="s">
        <v>76</v>
      </c>
      <c r="V333" s="622">
        <v>82.03</v>
      </c>
      <c r="W333" s="625" t="s">
        <v>87</v>
      </c>
      <c r="AB333" s="626">
        <v>22.1</v>
      </c>
      <c r="AC333" s="626" t="s">
        <v>26</v>
      </c>
      <c r="AE333" s="1802">
        <v>32566</v>
      </c>
      <c r="AF333" s="622" t="s">
        <v>95</v>
      </c>
      <c r="AI333" s="1376"/>
      <c r="AJ333" s="622">
        <v>3.1</v>
      </c>
      <c r="AK333" s="625" t="s">
        <v>75</v>
      </c>
      <c r="AP333" s="1837"/>
      <c r="AQ333" s="1837"/>
      <c r="AW333" s="1802">
        <v>34293</v>
      </c>
      <c r="AX333" s="622" t="s">
        <v>96</v>
      </c>
      <c r="AZ333" s="622">
        <v>52.01</v>
      </c>
      <c r="BA333" s="622" t="s">
        <v>78</v>
      </c>
      <c r="BF333" s="1837"/>
      <c r="BG333" s="1837"/>
      <c r="BI333" s="1365"/>
      <c r="BJ333" s="1365"/>
      <c r="BK333" s="1365"/>
      <c r="BL333" s="1365"/>
      <c r="BM333" s="1365"/>
      <c r="BN333" s="1365"/>
      <c r="BO333" s="1365"/>
      <c r="BP333" s="1365"/>
      <c r="BQ333" s="1365"/>
      <c r="BR333" s="1365"/>
      <c r="BS333" s="1365"/>
    </row>
    <row r="334" spans="1:71">
      <c r="A334" s="1802">
        <v>34240</v>
      </c>
      <c r="B334" s="622" t="s">
        <v>96</v>
      </c>
      <c r="E334" s="1"/>
      <c r="F334" s="622">
        <v>5.0199999999999996</v>
      </c>
      <c r="G334" s="625" t="s">
        <v>76</v>
      </c>
      <c r="L334" s="626">
        <v>201.03</v>
      </c>
      <c r="M334" s="626" t="s">
        <v>41</v>
      </c>
      <c r="S334" s="623">
        <v>34481</v>
      </c>
      <c r="T334" s="622" t="s">
        <v>76</v>
      </c>
      <c r="V334" s="622">
        <v>83.01</v>
      </c>
      <c r="W334" s="625" t="s">
        <v>87</v>
      </c>
      <c r="AB334" s="626">
        <v>22.19</v>
      </c>
      <c r="AC334" s="626" t="s">
        <v>26</v>
      </c>
      <c r="AE334" s="1802">
        <v>34232</v>
      </c>
      <c r="AF334" s="622" t="s">
        <v>96</v>
      </c>
      <c r="AI334" s="1376"/>
      <c r="AJ334" s="622">
        <v>3.11</v>
      </c>
      <c r="AK334" s="625" t="s">
        <v>75</v>
      </c>
      <c r="AP334" s="1837"/>
      <c r="AQ334" s="1837"/>
      <c r="AW334" s="1802">
        <v>34429</v>
      </c>
      <c r="AX334" s="622" t="s">
        <v>42</v>
      </c>
      <c r="AZ334" s="622">
        <v>52.02</v>
      </c>
      <c r="BA334" s="622" t="s">
        <v>78</v>
      </c>
      <c r="BF334" s="1837"/>
      <c r="BG334" s="1837"/>
      <c r="BI334" s="1365"/>
      <c r="BJ334" s="1365"/>
      <c r="BK334" s="1365"/>
      <c r="BL334" s="1365"/>
      <c r="BM334" s="1365"/>
      <c r="BN334" s="1365"/>
      <c r="BO334" s="1365"/>
      <c r="BP334" s="1365"/>
      <c r="BQ334" s="1365"/>
      <c r="BR334" s="1365"/>
      <c r="BS334" s="1365"/>
    </row>
    <row r="335" spans="1:71">
      <c r="A335" s="1802">
        <v>34241</v>
      </c>
      <c r="B335" s="622" t="s">
        <v>96</v>
      </c>
      <c r="E335" s="1"/>
      <c r="F335" s="622">
        <v>6.04</v>
      </c>
      <c r="G335" s="625" t="s">
        <v>76</v>
      </c>
      <c r="L335" s="626">
        <v>201.04</v>
      </c>
      <c r="M335" s="626" t="s">
        <v>41</v>
      </c>
      <c r="S335" s="623">
        <v>34491</v>
      </c>
      <c r="T335" s="622" t="s">
        <v>76</v>
      </c>
      <c r="V335" s="622">
        <v>83.02</v>
      </c>
      <c r="W335" s="625" t="s">
        <v>87</v>
      </c>
      <c r="AB335" s="626">
        <v>23</v>
      </c>
      <c r="AC335" s="626" t="s">
        <v>49</v>
      </c>
      <c r="AE335" s="1802">
        <v>34233</v>
      </c>
      <c r="AF335" s="622" t="s">
        <v>96</v>
      </c>
      <c r="AI335" s="1376"/>
      <c r="AJ335" s="622">
        <v>3.13</v>
      </c>
      <c r="AK335" s="625" t="s">
        <v>75</v>
      </c>
      <c r="AP335" s="1837"/>
      <c r="AQ335" s="1837"/>
      <c r="AW335" s="1802">
        <v>34434</v>
      </c>
      <c r="AX335" s="622" t="s">
        <v>42</v>
      </c>
      <c r="AZ335" s="622">
        <v>52.02</v>
      </c>
      <c r="BA335" s="622" t="s">
        <v>87</v>
      </c>
      <c r="BF335" s="1837"/>
      <c r="BG335" s="1837"/>
      <c r="BI335" s="1365"/>
      <c r="BJ335" s="1365"/>
      <c r="BK335" s="1365"/>
      <c r="BL335" s="1365"/>
      <c r="BM335" s="1365"/>
      <c r="BN335" s="1365"/>
      <c r="BO335" s="1365"/>
      <c r="BP335" s="1365"/>
      <c r="BQ335" s="1365"/>
      <c r="BR335" s="1365"/>
      <c r="BS335" s="1365"/>
    </row>
    <row r="336" spans="1:71">
      <c r="A336" s="1802">
        <v>34242</v>
      </c>
      <c r="B336" s="622" t="s">
        <v>96</v>
      </c>
      <c r="E336" s="1"/>
      <c r="F336" s="622">
        <v>6.05</v>
      </c>
      <c r="G336" s="625" t="s">
        <v>76</v>
      </c>
      <c r="L336" s="626">
        <v>202.01</v>
      </c>
      <c r="M336" s="626" t="s">
        <v>41</v>
      </c>
      <c r="S336" s="623">
        <v>34609</v>
      </c>
      <c r="T336" s="622" t="s">
        <v>61</v>
      </c>
      <c r="V336" s="622">
        <v>83.09</v>
      </c>
      <c r="W336" s="625" t="s">
        <v>78</v>
      </c>
      <c r="AB336" s="626">
        <v>23</v>
      </c>
      <c r="AC336" s="626" t="s">
        <v>63</v>
      </c>
      <c r="AE336" s="1802">
        <v>34235</v>
      </c>
      <c r="AF336" s="622" t="s">
        <v>96</v>
      </c>
      <c r="AI336" s="1376"/>
      <c r="AJ336" s="622">
        <v>3.14</v>
      </c>
      <c r="AK336" s="625" t="s">
        <v>75</v>
      </c>
      <c r="AP336" s="1837"/>
      <c r="AQ336" s="1837"/>
      <c r="AW336" s="1802">
        <v>34446</v>
      </c>
      <c r="AX336" s="622" t="s">
        <v>42</v>
      </c>
      <c r="AZ336" s="622">
        <v>53.02</v>
      </c>
      <c r="BA336" s="625" t="s">
        <v>63</v>
      </c>
      <c r="BF336" s="1837"/>
      <c r="BG336" s="1837"/>
      <c r="BI336" s="1365"/>
      <c r="BJ336" s="1365"/>
      <c r="BK336" s="1365"/>
      <c r="BL336" s="1365"/>
      <c r="BM336" s="1365"/>
      <c r="BN336" s="1365"/>
      <c r="BO336" s="1365"/>
      <c r="BP336" s="1365"/>
      <c r="BQ336" s="1365"/>
      <c r="BR336" s="1365"/>
      <c r="BS336" s="1365"/>
    </row>
    <row r="337" spans="1:71">
      <c r="A337" s="1802">
        <v>34286</v>
      </c>
      <c r="B337" s="622" t="s">
        <v>96</v>
      </c>
      <c r="E337" s="1"/>
      <c r="F337" s="622">
        <v>14.01</v>
      </c>
      <c r="G337" s="625" t="s">
        <v>76</v>
      </c>
      <c r="L337" s="626">
        <v>202.02</v>
      </c>
      <c r="M337" s="626" t="s">
        <v>41</v>
      </c>
      <c r="S337" s="623">
        <v>34637</v>
      </c>
      <c r="T337" s="622" t="s">
        <v>88</v>
      </c>
      <c r="V337" s="622">
        <v>88.05</v>
      </c>
      <c r="W337" s="625" t="s">
        <v>78</v>
      </c>
      <c r="AB337" s="626">
        <v>23</v>
      </c>
      <c r="AC337" s="626" t="s">
        <v>87</v>
      </c>
      <c r="AE337" s="1802">
        <v>34238</v>
      </c>
      <c r="AF337" s="622" t="s">
        <v>96</v>
      </c>
      <c r="AI337" s="1376"/>
      <c r="AJ337" s="622">
        <v>6.03</v>
      </c>
      <c r="AK337" s="625" t="s">
        <v>75</v>
      </c>
      <c r="AP337" s="1837"/>
      <c r="AQ337" s="1837"/>
      <c r="AW337" s="1802">
        <v>34472</v>
      </c>
      <c r="AX337" s="622" t="s">
        <v>76</v>
      </c>
      <c r="AZ337" s="622">
        <v>53.03</v>
      </c>
      <c r="BA337" s="622" t="s">
        <v>78</v>
      </c>
      <c r="BF337" s="1837"/>
      <c r="BG337" s="1837"/>
      <c r="BI337" s="1365"/>
      <c r="BJ337" s="1365"/>
      <c r="BK337" s="1365"/>
      <c r="BL337" s="1365"/>
      <c r="BM337" s="1365"/>
      <c r="BN337" s="1365"/>
      <c r="BO337" s="1365"/>
      <c r="BP337" s="1365"/>
      <c r="BQ337" s="1365"/>
      <c r="BR337" s="1365"/>
      <c r="BS337" s="1365"/>
    </row>
    <row r="338" spans="1:71">
      <c r="A338" s="1802">
        <v>34288</v>
      </c>
      <c r="B338" s="622" t="s">
        <v>96</v>
      </c>
      <c r="E338" s="1"/>
      <c r="F338" s="622">
        <v>15</v>
      </c>
      <c r="G338" s="625" t="s">
        <v>76</v>
      </c>
      <c r="L338" s="626">
        <v>204</v>
      </c>
      <c r="M338" s="626" t="s">
        <v>41</v>
      </c>
      <c r="S338" s="623">
        <v>34638</v>
      </c>
      <c r="T338" s="622" t="s">
        <v>88</v>
      </c>
      <c r="V338" s="622">
        <v>88.06</v>
      </c>
      <c r="W338" s="625" t="s">
        <v>78</v>
      </c>
      <c r="AB338" s="626">
        <v>23.01</v>
      </c>
      <c r="AC338" s="626" t="s">
        <v>76</v>
      </c>
      <c r="AE338" s="1802">
        <v>34239</v>
      </c>
      <c r="AF338" s="622" t="s">
        <v>96</v>
      </c>
      <c r="AI338" s="1376"/>
      <c r="AJ338" s="622">
        <v>6.04</v>
      </c>
      <c r="AK338" s="625" t="s">
        <v>75</v>
      </c>
      <c r="AP338" s="1837"/>
      <c r="AQ338" s="1837"/>
      <c r="AW338" s="1802">
        <v>34473</v>
      </c>
      <c r="AX338" s="622" t="s">
        <v>76</v>
      </c>
      <c r="AZ338" s="622">
        <v>53.04</v>
      </c>
      <c r="BA338" s="622" t="s">
        <v>78</v>
      </c>
      <c r="BF338" s="1837"/>
      <c r="BG338" s="1837"/>
      <c r="BI338" s="1365"/>
      <c r="BJ338" s="1365"/>
      <c r="BK338" s="1365"/>
      <c r="BL338" s="1365"/>
      <c r="BM338" s="1365"/>
      <c r="BN338" s="1365"/>
      <c r="BO338" s="1365"/>
      <c r="BP338" s="1365"/>
      <c r="BQ338" s="1365"/>
      <c r="BR338" s="1365"/>
      <c r="BS338" s="1365"/>
    </row>
    <row r="339" spans="1:71">
      <c r="A339" s="1802">
        <v>34291</v>
      </c>
      <c r="B339" s="622" t="s">
        <v>96</v>
      </c>
      <c r="E339" s="1"/>
      <c r="F339" s="622">
        <v>16</v>
      </c>
      <c r="G339" s="625" t="s">
        <v>76</v>
      </c>
      <c r="L339" s="626">
        <v>205.01</v>
      </c>
      <c r="M339" s="626" t="s">
        <v>41</v>
      </c>
      <c r="S339" s="623">
        <v>34639</v>
      </c>
      <c r="T339" s="622" t="s">
        <v>88</v>
      </c>
      <c r="V339" s="622">
        <v>90.2</v>
      </c>
      <c r="W339" s="625" t="s">
        <v>78</v>
      </c>
      <c r="AB339" s="626">
        <v>23.02</v>
      </c>
      <c r="AC339" s="626" t="s">
        <v>71</v>
      </c>
      <c r="AE339" s="1802">
        <v>34240</v>
      </c>
      <c r="AF339" s="622" t="s">
        <v>96</v>
      </c>
      <c r="AI339" s="1376"/>
      <c r="AJ339" s="622">
        <v>7.04</v>
      </c>
      <c r="AK339" s="625" t="s">
        <v>75</v>
      </c>
      <c r="AP339" s="1837"/>
      <c r="AQ339" s="1837"/>
      <c r="AW339" s="1802">
        <v>34474</v>
      </c>
      <c r="AX339" s="622" t="s">
        <v>76</v>
      </c>
      <c r="AZ339" s="622">
        <v>53.05</v>
      </c>
      <c r="BA339" s="622" t="s">
        <v>78</v>
      </c>
      <c r="BF339" s="1837"/>
      <c r="BG339" s="1837"/>
      <c r="BI339" s="1365"/>
      <c r="BJ339" s="1365"/>
      <c r="BK339" s="1365"/>
      <c r="BL339" s="1365"/>
      <c r="BM339" s="1365"/>
      <c r="BN339" s="1365"/>
      <c r="BO339" s="1365"/>
      <c r="BP339" s="1365"/>
      <c r="BQ339" s="1365"/>
      <c r="BR339" s="1365"/>
      <c r="BS339" s="1365"/>
    </row>
    <row r="340" spans="1:71">
      <c r="A340" s="1802">
        <v>34292</v>
      </c>
      <c r="B340" s="622" t="s">
        <v>96</v>
      </c>
      <c r="E340" s="1"/>
      <c r="F340" s="622">
        <v>17</v>
      </c>
      <c r="G340" s="625" t="s">
        <v>76</v>
      </c>
      <c r="L340" s="626">
        <v>205.02</v>
      </c>
      <c r="M340" s="626" t="s">
        <v>41</v>
      </c>
      <c r="S340" s="623">
        <v>34655</v>
      </c>
      <c r="T340" s="622" t="s">
        <v>88</v>
      </c>
      <c r="V340" s="622">
        <v>90.21</v>
      </c>
      <c r="W340" s="625" t="s">
        <v>78</v>
      </c>
      <c r="AB340" s="626">
        <v>23.02</v>
      </c>
      <c r="AC340" s="626" t="s">
        <v>76</v>
      </c>
      <c r="AE340" s="1802">
        <v>34241</v>
      </c>
      <c r="AF340" s="622" t="s">
        <v>96</v>
      </c>
      <c r="AI340" s="1376"/>
      <c r="AJ340" s="622">
        <v>7.05</v>
      </c>
      <c r="AK340" s="625" t="s">
        <v>75</v>
      </c>
      <c r="AP340" s="1837"/>
      <c r="AQ340" s="1837"/>
      <c r="AW340" s="1802">
        <v>34637</v>
      </c>
      <c r="AX340" s="622" t="s">
        <v>88</v>
      </c>
      <c r="AZ340" s="622">
        <v>53.06</v>
      </c>
      <c r="BA340" s="625" t="s">
        <v>78</v>
      </c>
      <c r="BF340" s="1837"/>
      <c r="BG340" s="1837"/>
      <c r="BI340" s="1365"/>
      <c r="BJ340" s="1365"/>
      <c r="BK340" s="1365"/>
      <c r="BL340" s="1365"/>
      <c r="BM340" s="1365"/>
      <c r="BN340" s="1365"/>
      <c r="BO340" s="1365"/>
      <c r="BP340" s="1365"/>
      <c r="BQ340" s="1365"/>
      <c r="BR340" s="1365"/>
      <c r="BS340" s="1365"/>
    </row>
    <row r="341" spans="1:71">
      <c r="A341" s="1802">
        <v>34293</v>
      </c>
      <c r="B341" s="622" t="s">
        <v>96</v>
      </c>
      <c r="E341" s="1"/>
      <c r="F341" s="622">
        <v>18</v>
      </c>
      <c r="G341" s="625" t="s">
        <v>76</v>
      </c>
      <c r="L341" s="626">
        <v>209</v>
      </c>
      <c r="M341" s="626" t="s">
        <v>41</v>
      </c>
      <c r="S341" s="623">
        <v>34677</v>
      </c>
      <c r="T341" s="622" t="s">
        <v>89</v>
      </c>
      <c r="V341" s="622">
        <v>90.26</v>
      </c>
      <c r="W341" s="625" t="s">
        <v>78</v>
      </c>
      <c r="AB341" s="626">
        <v>23.03</v>
      </c>
      <c r="AC341" s="626" t="s">
        <v>71</v>
      </c>
      <c r="AE341" s="1802">
        <v>34242</v>
      </c>
      <c r="AF341" s="622" t="s">
        <v>96</v>
      </c>
      <c r="AI341" s="1376"/>
      <c r="AJ341" s="622">
        <v>15.02</v>
      </c>
      <c r="AK341" s="625" t="s">
        <v>75</v>
      </c>
      <c r="AP341" s="1837"/>
      <c r="AQ341" s="1837"/>
      <c r="AW341" s="1802">
        <v>34638</v>
      </c>
      <c r="AX341" s="622" t="s">
        <v>88</v>
      </c>
      <c r="AZ341" s="622">
        <v>54.03</v>
      </c>
      <c r="BA341" s="625" t="s">
        <v>78</v>
      </c>
      <c r="BF341" s="1837"/>
      <c r="BG341" s="1837"/>
      <c r="BI341" s="1365"/>
      <c r="BJ341" s="1365"/>
      <c r="BK341" s="1365"/>
      <c r="BL341" s="1365"/>
      <c r="BM341" s="1365"/>
      <c r="BN341" s="1365"/>
      <c r="BO341" s="1365"/>
      <c r="BP341" s="1365"/>
      <c r="BQ341" s="1365"/>
      <c r="BR341" s="1365"/>
      <c r="BS341" s="1365"/>
    </row>
    <row r="342" spans="1:71">
      <c r="A342" s="1802">
        <v>32701</v>
      </c>
      <c r="B342" s="622" t="s">
        <v>97</v>
      </c>
      <c r="E342" s="1"/>
      <c r="F342" s="622">
        <v>19</v>
      </c>
      <c r="G342" s="625" t="s">
        <v>76</v>
      </c>
      <c r="L342" s="626">
        <v>210.01</v>
      </c>
      <c r="M342" s="626" t="s">
        <v>41</v>
      </c>
      <c r="S342" s="623">
        <v>34681</v>
      </c>
      <c r="T342" s="622" t="s">
        <v>89</v>
      </c>
      <c r="V342" s="622">
        <v>93.06</v>
      </c>
      <c r="W342" s="625" t="s">
        <v>78</v>
      </c>
      <c r="AB342" s="626">
        <v>23.03</v>
      </c>
      <c r="AC342" s="626" t="s">
        <v>96</v>
      </c>
      <c r="AE342" s="1802">
        <v>34286</v>
      </c>
      <c r="AF342" s="622" t="s">
        <v>96</v>
      </c>
      <c r="AI342" s="1376"/>
      <c r="AJ342" s="622">
        <v>2.0099999999999998</v>
      </c>
      <c r="AK342" s="625" t="s">
        <v>76</v>
      </c>
      <c r="AP342" s="1837"/>
      <c r="AQ342" s="1837"/>
      <c r="AW342" s="1802">
        <v>34639</v>
      </c>
      <c r="AX342" s="622" t="s">
        <v>88</v>
      </c>
      <c r="AZ342" s="622">
        <v>54.05</v>
      </c>
      <c r="BA342" s="625" t="s">
        <v>78</v>
      </c>
      <c r="BF342" s="1837"/>
      <c r="BG342" s="1837"/>
      <c r="BI342" s="1365"/>
      <c r="BJ342" s="1365"/>
      <c r="BK342" s="1365"/>
      <c r="BL342" s="1365"/>
      <c r="BM342" s="1365"/>
      <c r="BN342" s="1365"/>
      <c r="BO342" s="1365"/>
      <c r="BP342" s="1365"/>
      <c r="BQ342" s="1365"/>
      <c r="BR342" s="1365"/>
      <c r="BS342" s="1365"/>
    </row>
    <row r="343" spans="1:71">
      <c r="A343" s="1802">
        <v>32707</v>
      </c>
      <c r="B343" s="622" t="s">
        <v>97</v>
      </c>
      <c r="E343" s="1"/>
      <c r="F343" s="622">
        <v>20.010000000000002</v>
      </c>
      <c r="G343" s="625" t="s">
        <v>76</v>
      </c>
      <c r="L343" s="626">
        <v>210.03</v>
      </c>
      <c r="M343" s="626" t="s">
        <v>41</v>
      </c>
      <c r="S343" s="623">
        <v>34683</v>
      </c>
      <c r="T343" s="622" t="s">
        <v>89</v>
      </c>
      <c r="V343" s="622">
        <v>93.07</v>
      </c>
      <c r="W343" s="625" t="s">
        <v>78</v>
      </c>
      <c r="AB343" s="626">
        <v>23.04</v>
      </c>
      <c r="AC343" s="626" t="s">
        <v>96</v>
      </c>
      <c r="AE343" s="1802">
        <v>34288</v>
      </c>
      <c r="AF343" s="622" t="s">
        <v>96</v>
      </c>
      <c r="AI343" s="1376"/>
      <c r="AJ343" s="622">
        <v>2.02</v>
      </c>
      <c r="AK343" s="625" t="s">
        <v>76</v>
      </c>
      <c r="AP343" s="1837"/>
      <c r="AQ343" s="1837"/>
      <c r="AW343" s="1802">
        <v>34655</v>
      </c>
      <c r="AX343" s="622" t="s">
        <v>88</v>
      </c>
      <c r="AZ343" s="622">
        <v>54.06</v>
      </c>
      <c r="BA343" s="625" t="s">
        <v>78</v>
      </c>
      <c r="BF343" s="1837"/>
      <c r="BG343" s="1837"/>
      <c r="BI343" s="1365"/>
      <c r="BJ343" s="1365"/>
      <c r="BK343" s="1365"/>
      <c r="BL343" s="1365"/>
      <c r="BM343" s="1365"/>
      <c r="BN343" s="1365"/>
      <c r="BO343" s="1365"/>
      <c r="BP343" s="1365"/>
      <c r="BQ343" s="1365"/>
      <c r="BR343" s="1365"/>
      <c r="BS343" s="1365"/>
    </row>
    <row r="344" spans="1:71">
      <c r="A344" s="1802">
        <v>32708</v>
      </c>
      <c r="B344" s="622" t="s">
        <v>97</v>
      </c>
      <c r="E344" s="1"/>
      <c r="F344" s="622">
        <v>25.04</v>
      </c>
      <c r="G344" s="625" t="s">
        <v>76</v>
      </c>
      <c r="L344" s="626">
        <v>304.01</v>
      </c>
      <c r="M344" s="626" t="s">
        <v>41</v>
      </c>
      <c r="S344" s="623">
        <v>34684</v>
      </c>
      <c r="T344" s="622" t="s">
        <v>89</v>
      </c>
      <c r="V344" s="622">
        <v>93.08</v>
      </c>
      <c r="W344" s="625" t="s">
        <v>78</v>
      </c>
      <c r="AB344" s="626">
        <v>23.05</v>
      </c>
      <c r="AC344" s="626" t="s">
        <v>96</v>
      </c>
      <c r="AE344" s="1802">
        <v>34291</v>
      </c>
      <c r="AF344" s="622" t="s">
        <v>96</v>
      </c>
      <c r="AI344" s="1376"/>
      <c r="AJ344" s="622">
        <v>2.0299999999999998</v>
      </c>
      <c r="AK344" s="625" t="s">
        <v>76</v>
      </c>
      <c r="AP344" s="1837"/>
      <c r="AQ344" s="1837"/>
      <c r="AW344" s="1802">
        <v>34677</v>
      </c>
      <c r="AX344" s="622" t="s">
        <v>89</v>
      </c>
      <c r="AZ344" s="622">
        <v>54.09</v>
      </c>
      <c r="BA344" s="622" t="s">
        <v>78</v>
      </c>
      <c r="BF344" s="1837"/>
      <c r="BG344" s="1837"/>
      <c r="BI344" s="1365"/>
      <c r="BJ344" s="1365"/>
      <c r="BK344" s="1365"/>
      <c r="BL344" s="1365"/>
      <c r="BM344" s="1365"/>
      <c r="BN344" s="1365"/>
      <c r="BO344" s="1365"/>
      <c r="BP344" s="1365"/>
      <c r="BQ344" s="1365"/>
      <c r="BR344" s="1365"/>
      <c r="BS344" s="1365"/>
    </row>
    <row r="345" spans="1:71">
      <c r="A345" s="1802">
        <v>32714</v>
      </c>
      <c r="B345" s="622" t="s">
        <v>97</v>
      </c>
      <c r="E345" s="1"/>
      <c r="F345" s="622">
        <v>8</v>
      </c>
      <c r="G345" s="625" t="s">
        <v>77</v>
      </c>
      <c r="L345" s="626">
        <v>304.02</v>
      </c>
      <c r="M345" s="626" t="s">
        <v>41</v>
      </c>
      <c r="S345" s="623">
        <v>34685</v>
      </c>
      <c r="T345" s="622" t="s">
        <v>89</v>
      </c>
      <c r="V345" s="622">
        <v>93.09</v>
      </c>
      <c r="W345" s="625" t="s">
        <v>78</v>
      </c>
      <c r="AB345" s="626">
        <v>24</v>
      </c>
      <c r="AC345" s="626" t="s">
        <v>49</v>
      </c>
      <c r="AE345" s="1802">
        <v>34292</v>
      </c>
      <c r="AF345" s="622" t="s">
        <v>96</v>
      </c>
      <c r="AI345" s="1376"/>
      <c r="AJ345" s="622">
        <v>3.02</v>
      </c>
      <c r="AK345" s="625" t="s">
        <v>76</v>
      </c>
      <c r="AP345" s="1837"/>
      <c r="AQ345" s="1837"/>
      <c r="AW345" s="1802">
        <v>34681</v>
      </c>
      <c r="AX345" s="622" t="s">
        <v>89</v>
      </c>
      <c r="AZ345" s="622">
        <v>54.1</v>
      </c>
      <c r="BA345" s="622" t="s">
        <v>78</v>
      </c>
      <c r="BF345" s="1837"/>
      <c r="BG345" s="1837"/>
      <c r="BI345" s="1365"/>
      <c r="BJ345" s="1365"/>
      <c r="BK345" s="1365"/>
      <c r="BL345" s="1365"/>
      <c r="BM345" s="1365"/>
      <c r="BN345" s="1365"/>
      <c r="BO345" s="1365"/>
      <c r="BP345" s="1365"/>
      <c r="BQ345" s="1365"/>
      <c r="BR345" s="1365"/>
      <c r="BS345" s="1365"/>
    </row>
    <row r="346" spans="1:71">
      <c r="A346" s="1802">
        <v>32732</v>
      </c>
      <c r="B346" s="622" t="s">
        <v>97</v>
      </c>
      <c r="E346" s="1"/>
      <c r="F346" s="622">
        <v>12</v>
      </c>
      <c r="G346" s="625" t="s">
        <v>77</v>
      </c>
      <c r="L346" s="626">
        <v>305.01</v>
      </c>
      <c r="M346" s="626" t="s">
        <v>41</v>
      </c>
      <c r="S346" s="623">
        <v>34688</v>
      </c>
      <c r="T346" s="622" t="s">
        <v>89</v>
      </c>
      <c r="V346" s="622">
        <v>93.11</v>
      </c>
      <c r="W346" s="625" t="s">
        <v>78</v>
      </c>
      <c r="AB346" s="626">
        <v>24.01</v>
      </c>
      <c r="AC346" s="626" t="s">
        <v>76</v>
      </c>
      <c r="AE346" s="1802">
        <v>34293</v>
      </c>
      <c r="AF346" s="622" t="s">
        <v>96</v>
      </c>
      <c r="AI346" s="1376"/>
      <c r="AJ346" s="622">
        <v>4.01</v>
      </c>
      <c r="AK346" s="625" t="s">
        <v>76</v>
      </c>
      <c r="AP346" s="1837"/>
      <c r="AQ346" s="1837"/>
      <c r="AW346" s="1802">
        <v>34683</v>
      </c>
      <c r="AX346" s="622" t="s">
        <v>89</v>
      </c>
      <c r="AZ346" s="622">
        <v>55.03</v>
      </c>
      <c r="BA346" s="622" t="s">
        <v>78</v>
      </c>
      <c r="BF346" s="1837"/>
      <c r="BG346" s="1837"/>
      <c r="BI346" s="1365"/>
      <c r="BJ346" s="1365"/>
      <c r="BK346" s="1365"/>
      <c r="BL346" s="1365"/>
      <c r="BM346" s="1365"/>
      <c r="BN346" s="1365"/>
      <c r="BO346" s="1365"/>
      <c r="BP346" s="1365"/>
      <c r="BQ346" s="1365"/>
      <c r="BR346" s="1365"/>
      <c r="BS346" s="1365"/>
    </row>
    <row r="347" spans="1:71">
      <c r="A347" s="1802">
        <v>32746</v>
      </c>
      <c r="B347" s="622" t="s">
        <v>97</v>
      </c>
      <c r="E347" s="1"/>
      <c r="F347" s="622">
        <v>14.07</v>
      </c>
      <c r="G347" s="625" t="s">
        <v>77</v>
      </c>
      <c r="L347" s="626">
        <v>305.02999999999997</v>
      </c>
      <c r="M347" s="626" t="s">
        <v>41</v>
      </c>
      <c r="S347" s="623">
        <v>34695</v>
      </c>
      <c r="T347" s="622" t="s">
        <v>89</v>
      </c>
      <c r="V347" s="622">
        <v>93.14</v>
      </c>
      <c r="W347" s="625" t="s">
        <v>78</v>
      </c>
      <c r="AB347" s="626">
        <v>24.01</v>
      </c>
      <c r="AC347" s="626" t="s">
        <v>96</v>
      </c>
      <c r="AE347" s="1802">
        <v>32701</v>
      </c>
      <c r="AF347" s="622" t="s">
        <v>97</v>
      </c>
      <c r="AI347" s="1376"/>
      <c r="AJ347" s="622">
        <v>4.0199999999999996</v>
      </c>
      <c r="AK347" s="625" t="s">
        <v>76</v>
      </c>
      <c r="AP347" s="1837"/>
      <c r="AQ347" s="1837"/>
      <c r="AW347" s="1802">
        <v>34684</v>
      </c>
      <c r="AX347" s="622" t="s">
        <v>89</v>
      </c>
      <c r="AZ347" s="622">
        <v>55.04</v>
      </c>
      <c r="BA347" s="625" t="s">
        <v>78</v>
      </c>
      <c r="BF347" s="1837"/>
      <c r="BG347" s="1837"/>
      <c r="BI347" s="1365"/>
      <c r="BJ347" s="1365"/>
      <c r="BK347" s="1365"/>
      <c r="BL347" s="1365"/>
      <c r="BM347" s="1365"/>
      <c r="BN347" s="1365"/>
      <c r="BO347" s="1365"/>
      <c r="BP347" s="1365"/>
      <c r="BQ347" s="1365"/>
      <c r="BR347" s="1365"/>
      <c r="BS347" s="1365"/>
    </row>
    <row r="348" spans="1:71">
      <c r="A348" s="1802">
        <v>32750</v>
      </c>
      <c r="B348" s="622" t="s">
        <v>97</v>
      </c>
      <c r="E348" s="1"/>
      <c r="F348" s="622">
        <v>18.010000000000002</v>
      </c>
      <c r="G348" s="625" t="s">
        <v>77</v>
      </c>
      <c r="L348" s="626">
        <v>4501.01</v>
      </c>
      <c r="M348" s="626" t="s">
        <v>42</v>
      </c>
      <c r="S348" s="623">
        <v>34698</v>
      </c>
      <c r="T348" s="622" t="s">
        <v>89</v>
      </c>
      <c r="V348" s="622">
        <v>93.15</v>
      </c>
      <c r="W348" s="625" t="s">
        <v>78</v>
      </c>
      <c r="AB348" s="626">
        <v>24.02</v>
      </c>
      <c r="AC348" s="626" t="s">
        <v>76</v>
      </c>
      <c r="AE348" s="1802">
        <v>32707</v>
      </c>
      <c r="AF348" s="622" t="s">
        <v>97</v>
      </c>
      <c r="AI348" s="1376"/>
      <c r="AJ348" s="622">
        <v>6.04</v>
      </c>
      <c r="AK348" s="625" t="s">
        <v>76</v>
      </c>
      <c r="AP348" s="1837"/>
      <c r="AQ348" s="1837"/>
      <c r="AW348" s="1802">
        <v>34685</v>
      </c>
      <c r="AX348" s="622" t="s">
        <v>89</v>
      </c>
      <c r="AZ348" s="622">
        <v>55.05</v>
      </c>
      <c r="BA348" s="622" t="s">
        <v>78</v>
      </c>
      <c r="BF348" s="1837"/>
      <c r="BG348" s="1837"/>
      <c r="BI348" s="1365"/>
      <c r="BJ348" s="1365"/>
      <c r="BK348" s="1365"/>
      <c r="BL348" s="1365"/>
      <c r="BM348" s="1365"/>
      <c r="BN348" s="1365"/>
      <c r="BO348" s="1365"/>
      <c r="BP348" s="1365"/>
      <c r="BQ348" s="1365"/>
      <c r="BR348" s="1365"/>
      <c r="BS348" s="1365"/>
    </row>
    <row r="349" spans="1:71">
      <c r="A349" s="1802">
        <v>32765</v>
      </c>
      <c r="B349" s="622" t="s">
        <v>97</v>
      </c>
      <c r="E349" s="1"/>
      <c r="F349" s="622">
        <v>1.0900000000000001</v>
      </c>
      <c r="G349" s="625" t="s">
        <v>78</v>
      </c>
      <c r="L349" s="626">
        <v>4503.0200000000004</v>
      </c>
      <c r="M349" s="626" t="s">
        <v>42</v>
      </c>
      <c r="S349" s="623">
        <v>34711</v>
      </c>
      <c r="T349" s="622" t="s">
        <v>69</v>
      </c>
      <c r="V349" s="622">
        <v>95.01</v>
      </c>
      <c r="W349" s="625" t="s">
        <v>78</v>
      </c>
      <c r="AB349" s="626">
        <v>24.03</v>
      </c>
      <c r="AC349" s="626" t="s">
        <v>71</v>
      </c>
      <c r="AE349" s="1802">
        <v>32708</v>
      </c>
      <c r="AF349" s="622" t="s">
        <v>97</v>
      </c>
      <c r="AI349" s="1376"/>
      <c r="AJ349" s="622">
        <v>14.01</v>
      </c>
      <c r="AK349" s="625" t="s">
        <v>76</v>
      </c>
      <c r="AP349" s="1837"/>
      <c r="AQ349" s="1837"/>
      <c r="AW349" s="1802">
        <v>34688</v>
      </c>
      <c r="AX349" s="622" t="s">
        <v>89</v>
      </c>
      <c r="AZ349" s="622">
        <v>57.01</v>
      </c>
      <c r="BA349" s="625" t="s">
        <v>78</v>
      </c>
      <c r="BF349" s="1837"/>
      <c r="BG349" s="1837"/>
      <c r="BI349" s="1365"/>
      <c r="BJ349" s="1365"/>
      <c r="BK349" s="1365"/>
      <c r="BL349" s="1365"/>
      <c r="BM349" s="1365"/>
      <c r="BN349" s="1365"/>
      <c r="BO349" s="1365"/>
      <c r="BP349" s="1365"/>
      <c r="BQ349" s="1365"/>
      <c r="BR349" s="1365"/>
      <c r="BS349" s="1365"/>
    </row>
    <row r="350" spans="1:71">
      <c r="A350" s="1802">
        <v>32766</v>
      </c>
      <c r="B350" s="622" t="s">
        <v>97</v>
      </c>
      <c r="E350" s="1"/>
      <c r="F350" s="622">
        <v>1.26</v>
      </c>
      <c r="G350" s="625" t="s">
        <v>78</v>
      </c>
      <c r="L350" s="626">
        <v>4503.04</v>
      </c>
      <c r="M350" s="626" t="s">
        <v>42</v>
      </c>
      <c r="S350" s="623">
        <v>34714</v>
      </c>
      <c r="T350" s="622" t="s">
        <v>69</v>
      </c>
      <c r="V350" s="622">
        <v>96</v>
      </c>
      <c r="W350" s="625" t="s">
        <v>78</v>
      </c>
      <c r="AB350" s="626">
        <v>24.08</v>
      </c>
      <c r="AC350" s="626" t="s">
        <v>71</v>
      </c>
      <c r="AE350" s="1802">
        <v>32714</v>
      </c>
      <c r="AF350" s="622" t="s">
        <v>97</v>
      </c>
      <c r="AI350" s="1376"/>
      <c r="AJ350" s="622">
        <v>15</v>
      </c>
      <c r="AK350" s="625" t="s">
        <v>76</v>
      </c>
      <c r="AP350" s="1837"/>
      <c r="AQ350" s="1837"/>
      <c r="AW350" s="1802">
        <v>34695</v>
      </c>
      <c r="AX350" s="622" t="s">
        <v>89</v>
      </c>
      <c r="AZ350" s="622">
        <v>57.03</v>
      </c>
      <c r="BA350" s="622" t="s">
        <v>87</v>
      </c>
      <c r="BF350" s="1837"/>
      <c r="BG350" s="1837"/>
      <c r="BI350" s="1365"/>
      <c r="BJ350" s="1365"/>
      <c r="BK350" s="1365"/>
      <c r="BL350" s="1365"/>
      <c r="BM350" s="1365"/>
      <c r="BN350" s="1365"/>
      <c r="BO350" s="1365"/>
      <c r="BP350" s="1365"/>
      <c r="BQ350" s="1365"/>
      <c r="BR350" s="1365"/>
      <c r="BS350" s="1365"/>
    </row>
    <row r="351" spans="1:71">
      <c r="A351" s="1802">
        <v>32779</v>
      </c>
      <c r="B351" s="622" t="s">
        <v>97</v>
      </c>
      <c r="E351" s="1"/>
      <c r="F351" s="622">
        <v>2.06</v>
      </c>
      <c r="G351" s="625" t="s">
        <v>78</v>
      </c>
      <c r="L351" s="626">
        <v>4504</v>
      </c>
      <c r="M351" s="626" t="s">
        <v>42</v>
      </c>
      <c r="S351" s="623">
        <v>34715</v>
      </c>
      <c r="T351" s="622" t="s">
        <v>69</v>
      </c>
      <c r="V351" s="622">
        <v>97.05</v>
      </c>
      <c r="W351" s="625" t="s">
        <v>78</v>
      </c>
      <c r="AB351" s="626">
        <v>24.1</v>
      </c>
      <c r="AC351" s="626" t="s">
        <v>71</v>
      </c>
      <c r="AE351" s="1802">
        <v>32732</v>
      </c>
      <c r="AF351" s="622" t="s">
        <v>97</v>
      </c>
      <c r="AI351" s="1376"/>
      <c r="AJ351" s="622">
        <v>17</v>
      </c>
      <c r="AK351" s="625" t="s">
        <v>76</v>
      </c>
      <c r="AP351" s="1837"/>
      <c r="AQ351" s="1837"/>
      <c r="AW351" s="1802">
        <v>34698</v>
      </c>
      <c r="AX351" s="622" t="s">
        <v>89</v>
      </c>
      <c r="AZ351" s="622">
        <v>57.04</v>
      </c>
      <c r="BA351" s="625" t="s">
        <v>87</v>
      </c>
      <c r="BF351" s="1837"/>
      <c r="BG351" s="1837"/>
      <c r="BI351" s="1365"/>
      <c r="BJ351" s="1365"/>
      <c r="BK351" s="1365"/>
      <c r="BL351" s="1365"/>
      <c r="BM351" s="1365"/>
      <c r="BN351" s="1365"/>
      <c r="BO351" s="1365"/>
      <c r="BP351" s="1365"/>
      <c r="BQ351" s="1365"/>
      <c r="BR351" s="1365"/>
      <c r="BS351" s="1365"/>
    </row>
    <row r="352" spans="1:71">
      <c r="A352" s="1802">
        <v>32081</v>
      </c>
      <c r="B352" s="622" t="s">
        <v>93</v>
      </c>
      <c r="E352" s="1"/>
      <c r="F352" s="622">
        <v>2.09</v>
      </c>
      <c r="G352" s="625" t="s">
        <v>78</v>
      </c>
      <c r="L352" s="626">
        <v>4505</v>
      </c>
      <c r="M352" s="626" t="s">
        <v>42</v>
      </c>
      <c r="S352" s="623">
        <v>34734</v>
      </c>
      <c r="T352" s="622" t="s">
        <v>85</v>
      </c>
      <c r="V352" s="622">
        <v>100.01</v>
      </c>
      <c r="W352" s="625" t="s">
        <v>78</v>
      </c>
      <c r="AB352" s="626">
        <v>24.12</v>
      </c>
      <c r="AC352" s="626" t="s">
        <v>71</v>
      </c>
      <c r="AE352" s="1802">
        <v>32746</v>
      </c>
      <c r="AF352" s="622" t="s">
        <v>97</v>
      </c>
      <c r="AI352" s="1376"/>
      <c r="AJ352" s="622">
        <v>18</v>
      </c>
      <c r="AK352" s="625" t="s">
        <v>76</v>
      </c>
      <c r="AP352" s="1837"/>
      <c r="AQ352" s="1837"/>
      <c r="AW352" s="1802">
        <v>34711</v>
      </c>
      <c r="AX352" s="622" t="s">
        <v>69</v>
      </c>
      <c r="AZ352" s="622">
        <v>57.05</v>
      </c>
      <c r="BA352" s="625" t="s">
        <v>78</v>
      </c>
      <c r="BF352" s="1837"/>
      <c r="BG352" s="1837"/>
      <c r="BI352" s="1365"/>
      <c r="BJ352" s="1365"/>
      <c r="BK352" s="1365"/>
      <c r="BL352" s="1365"/>
      <c r="BM352" s="1365"/>
      <c r="BN352" s="1365"/>
      <c r="BO352" s="1365"/>
      <c r="BP352" s="1365"/>
      <c r="BQ352" s="1365"/>
      <c r="BR352" s="1365"/>
      <c r="BS352" s="1365"/>
    </row>
    <row r="353" spans="1:71">
      <c r="A353" s="1802">
        <v>32082</v>
      </c>
      <c r="B353" s="622" t="s">
        <v>93</v>
      </c>
      <c r="E353" s="1"/>
      <c r="F353" s="622">
        <v>2.12</v>
      </c>
      <c r="G353" s="625" t="s">
        <v>78</v>
      </c>
      <c r="L353" s="626">
        <v>4506.01</v>
      </c>
      <c r="M353" s="626" t="s">
        <v>42</v>
      </c>
      <c r="S353" s="623">
        <v>34736</v>
      </c>
      <c r="T353" s="622" t="s">
        <v>69</v>
      </c>
      <c r="V353" s="622">
        <v>100.1</v>
      </c>
      <c r="W353" s="625" t="s">
        <v>78</v>
      </c>
      <c r="AB353" s="626">
        <v>24.13</v>
      </c>
      <c r="AC353" s="626" t="s">
        <v>71</v>
      </c>
      <c r="AE353" s="1802">
        <v>32750</v>
      </c>
      <c r="AF353" s="622" t="s">
        <v>97</v>
      </c>
      <c r="AI353" s="1376"/>
      <c r="AJ353" s="622">
        <v>19</v>
      </c>
      <c r="AK353" s="625" t="s">
        <v>76</v>
      </c>
      <c r="AP353" s="1837"/>
      <c r="AQ353" s="1837"/>
      <c r="AW353" s="1802">
        <v>34714</v>
      </c>
      <c r="AX353" s="622" t="s">
        <v>69</v>
      </c>
      <c r="AZ353" s="622">
        <v>57.06</v>
      </c>
      <c r="BA353" s="625" t="s">
        <v>78</v>
      </c>
      <c r="BF353" s="1837"/>
      <c r="BG353" s="1837"/>
      <c r="BI353" s="1365"/>
      <c r="BJ353" s="1365"/>
      <c r="BK353" s="1365"/>
      <c r="BL353" s="1365"/>
      <c r="BM353" s="1365"/>
      <c r="BN353" s="1365"/>
      <c r="BO353" s="1365"/>
      <c r="BP353" s="1365"/>
      <c r="BQ353" s="1365"/>
      <c r="BR353" s="1365"/>
      <c r="BS353" s="1365"/>
    </row>
    <row r="354" spans="1:71">
      <c r="A354" s="1802">
        <v>32092</v>
      </c>
      <c r="B354" s="622" t="s">
        <v>93</v>
      </c>
      <c r="E354" s="1"/>
      <c r="F354" s="622">
        <v>2.17</v>
      </c>
      <c r="G354" s="625" t="s">
        <v>78</v>
      </c>
      <c r="L354" s="626">
        <v>4507.01</v>
      </c>
      <c r="M354" s="626" t="s">
        <v>42</v>
      </c>
      <c r="S354" s="623">
        <v>34743</v>
      </c>
      <c r="T354" s="622" t="s">
        <v>86</v>
      </c>
      <c r="V354" s="622">
        <v>100.11</v>
      </c>
      <c r="W354" s="625" t="s">
        <v>78</v>
      </c>
      <c r="AB354" s="626">
        <v>24.14</v>
      </c>
      <c r="AC354" s="626" t="s">
        <v>71</v>
      </c>
      <c r="AE354" s="1802">
        <v>32765</v>
      </c>
      <c r="AF354" s="622" t="s">
        <v>97</v>
      </c>
      <c r="AI354" s="1376"/>
      <c r="AJ354" s="622">
        <v>20.010000000000002</v>
      </c>
      <c r="AK354" s="625" t="s">
        <v>76</v>
      </c>
      <c r="AP354" s="1837"/>
      <c r="AQ354" s="1837"/>
      <c r="AW354" s="1802">
        <v>34715</v>
      </c>
      <c r="AX354" s="622" t="s">
        <v>69</v>
      </c>
      <c r="AZ354" s="622">
        <v>57.07</v>
      </c>
      <c r="BA354" s="625" t="s">
        <v>78</v>
      </c>
      <c r="BF354" s="1837"/>
      <c r="BG354" s="1837"/>
      <c r="BI354" s="1365"/>
      <c r="BJ354" s="1365"/>
      <c r="BK354" s="1365"/>
      <c r="BL354" s="1365"/>
      <c r="BM354" s="1365"/>
      <c r="BN354" s="1365"/>
      <c r="BO354" s="1365"/>
      <c r="BP354" s="1365"/>
      <c r="BQ354" s="1365"/>
      <c r="BR354" s="1365"/>
      <c r="BS354" s="1365"/>
    </row>
    <row r="355" spans="1:71">
      <c r="A355" s="1802">
        <v>32259</v>
      </c>
      <c r="B355" s="622" t="s">
        <v>93</v>
      </c>
      <c r="E355" s="1"/>
      <c r="F355" s="622">
        <v>2.1800000000000002</v>
      </c>
      <c r="G355" s="625" t="s">
        <v>78</v>
      </c>
      <c r="L355" s="626">
        <v>4509.01</v>
      </c>
      <c r="M355" s="626" t="s">
        <v>42</v>
      </c>
      <c r="S355" s="623">
        <v>34744</v>
      </c>
      <c r="T355" s="622" t="s">
        <v>86</v>
      </c>
      <c r="V355" s="622">
        <v>100.15</v>
      </c>
      <c r="W355" s="625" t="s">
        <v>78</v>
      </c>
      <c r="AB355" s="626">
        <v>24.15</v>
      </c>
      <c r="AC355" s="626" t="s">
        <v>71</v>
      </c>
      <c r="AE355" s="1802">
        <v>32766</v>
      </c>
      <c r="AF355" s="622" t="s">
        <v>97</v>
      </c>
      <c r="AI355" s="1376"/>
      <c r="AJ355" s="622">
        <v>25.04</v>
      </c>
      <c r="AK355" s="625" t="s">
        <v>76</v>
      </c>
      <c r="AP355" s="1837"/>
      <c r="AQ355" s="1837"/>
      <c r="AW355" s="1802">
        <v>34734</v>
      </c>
      <c r="AX355" s="622" t="s">
        <v>85</v>
      </c>
      <c r="AZ355" s="622">
        <v>57.08</v>
      </c>
      <c r="BA355" s="625" t="s">
        <v>78</v>
      </c>
      <c r="BF355" s="1837"/>
      <c r="BG355" s="1837"/>
      <c r="BI355" s="1365"/>
      <c r="BJ355" s="1365"/>
      <c r="BK355" s="1365"/>
      <c r="BL355" s="1365"/>
      <c r="BM355" s="1365"/>
      <c r="BN355" s="1365"/>
      <c r="BO355" s="1365"/>
      <c r="BP355" s="1365"/>
      <c r="BQ355" s="1365"/>
      <c r="BR355" s="1365"/>
      <c r="BS355" s="1365"/>
    </row>
    <row r="356" spans="1:71">
      <c r="A356" s="1802">
        <v>34952</v>
      </c>
      <c r="B356" s="622" t="s">
        <v>94</v>
      </c>
      <c r="F356" s="622">
        <v>2.19</v>
      </c>
      <c r="G356" s="625" t="s">
        <v>78</v>
      </c>
      <c r="L356" s="626">
        <v>4509.0200000000004</v>
      </c>
      <c r="M356" s="626" t="s">
        <v>42</v>
      </c>
      <c r="S356" s="623">
        <v>34746</v>
      </c>
      <c r="T356" s="622" t="s">
        <v>86</v>
      </c>
      <c r="V356" s="622">
        <v>102.03</v>
      </c>
      <c r="W356" s="625" t="s">
        <v>63</v>
      </c>
      <c r="AB356" s="626">
        <v>24.16</v>
      </c>
      <c r="AC356" s="626" t="s">
        <v>71</v>
      </c>
      <c r="AE356" s="1802">
        <v>32779</v>
      </c>
      <c r="AF356" s="622" t="s">
        <v>97</v>
      </c>
      <c r="AJ356" s="622">
        <v>12</v>
      </c>
      <c r="AK356" s="625" t="s">
        <v>77</v>
      </c>
      <c r="AP356" s="1837"/>
      <c r="AQ356" s="1837"/>
      <c r="AW356" s="1802">
        <v>34736</v>
      </c>
      <c r="AX356" s="622" t="s">
        <v>69</v>
      </c>
      <c r="AZ356" s="622">
        <v>58.14</v>
      </c>
      <c r="BA356" s="625" t="s">
        <v>87</v>
      </c>
      <c r="BF356" s="1837"/>
      <c r="BG356" s="1837"/>
      <c r="BI356" s="1365"/>
      <c r="BJ356" s="1365"/>
      <c r="BK356" s="1365"/>
      <c r="BL356" s="1365"/>
      <c r="BM356" s="1365"/>
      <c r="BN356" s="1365"/>
      <c r="BO356" s="1365"/>
      <c r="BP356" s="1365"/>
      <c r="BQ356" s="1365"/>
      <c r="BR356" s="1365"/>
      <c r="BS356" s="1365"/>
    </row>
    <row r="357" spans="1:71">
      <c r="A357" s="1802">
        <v>34953</v>
      </c>
      <c r="B357" s="622" t="s">
        <v>94</v>
      </c>
      <c r="F357" s="622">
        <v>2.2000000000000002</v>
      </c>
      <c r="G357" s="625" t="s">
        <v>78</v>
      </c>
      <c r="L357" s="626">
        <v>4510</v>
      </c>
      <c r="M357" s="626" t="s">
        <v>42</v>
      </c>
      <c r="S357" s="623">
        <v>34747</v>
      </c>
      <c r="T357" s="622" t="s">
        <v>86</v>
      </c>
      <c r="V357" s="622">
        <v>102.07</v>
      </c>
      <c r="W357" s="625" t="s">
        <v>78</v>
      </c>
      <c r="AB357" s="626">
        <v>24.17</v>
      </c>
      <c r="AC357" s="626" t="s">
        <v>71</v>
      </c>
      <c r="AE357" s="1802">
        <v>32081</v>
      </c>
      <c r="AF357" s="622" t="s">
        <v>93</v>
      </c>
      <c r="AJ357" s="622">
        <v>14.07</v>
      </c>
      <c r="AK357" s="625" t="s">
        <v>77</v>
      </c>
      <c r="AP357" s="1837"/>
      <c r="AQ357" s="1837"/>
      <c r="AW357" s="1802">
        <v>34737</v>
      </c>
      <c r="AX357" s="622" t="s">
        <v>69</v>
      </c>
      <c r="AZ357" s="622">
        <v>63.03</v>
      </c>
      <c r="BA357" s="622" t="s">
        <v>78</v>
      </c>
      <c r="BF357" s="1837"/>
      <c r="BG357" s="1837"/>
      <c r="BI357" s="1365"/>
      <c r="BJ357" s="1365"/>
      <c r="BK357" s="1365"/>
      <c r="BL357" s="1365"/>
      <c r="BM357" s="1365"/>
      <c r="BN357" s="1365"/>
      <c r="BO357" s="1365"/>
      <c r="BP357" s="1365"/>
      <c r="BQ357" s="1365"/>
      <c r="BR357" s="1365"/>
      <c r="BS357" s="1365"/>
    </row>
    <row r="358" spans="1:71">
      <c r="A358" s="1802">
        <v>34983</v>
      </c>
      <c r="B358" s="622" t="s">
        <v>94</v>
      </c>
      <c r="F358" s="622">
        <v>3.05</v>
      </c>
      <c r="G358" s="625" t="s">
        <v>78</v>
      </c>
      <c r="L358" s="626">
        <v>4511.01</v>
      </c>
      <c r="M358" s="626" t="s">
        <v>42</v>
      </c>
      <c r="S358" s="623">
        <v>34758</v>
      </c>
      <c r="T358" s="622" t="s">
        <v>86</v>
      </c>
      <c r="V358" s="622">
        <v>102.08</v>
      </c>
      <c r="W358" s="625" t="s">
        <v>78</v>
      </c>
      <c r="AB358" s="626">
        <v>25</v>
      </c>
      <c r="AC358" s="626" t="s">
        <v>32</v>
      </c>
      <c r="AE358" s="1802">
        <v>32082</v>
      </c>
      <c r="AF358" s="622" t="s">
        <v>93</v>
      </c>
      <c r="AJ358" s="622">
        <v>18.03</v>
      </c>
      <c r="AK358" s="625" t="s">
        <v>77</v>
      </c>
      <c r="AP358" s="1837"/>
      <c r="AQ358" s="1837"/>
      <c r="AW358" s="1802">
        <v>34743</v>
      </c>
      <c r="AX358" s="622" t="s">
        <v>86</v>
      </c>
      <c r="AZ358" s="622">
        <v>63.04</v>
      </c>
      <c r="BA358" s="622" t="s">
        <v>78</v>
      </c>
      <c r="BF358" s="1837"/>
      <c r="BG358" s="1837"/>
      <c r="BI358" s="1365"/>
      <c r="BJ358" s="1365"/>
      <c r="BK358" s="1365"/>
      <c r="BL358" s="1365"/>
      <c r="BM358" s="1365"/>
      <c r="BN358" s="1365"/>
      <c r="BO358" s="1365"/>
      <c r="BP358" s="1365"/>
      <c r="BQ358" s="1365"/>
      <c r="BR358" s="1365"/>
      <c r="BS358" s="1365"/>
    </row>
    <row r="359" spans="1:71">
      <c r="A359" s="1802">
        <v>34984</v>
      </c>
      <c r="B359" s="622" t="s">
        <v>94</v>
      </c>
      <c r="F359" s="622">
        <v>3.06</v>
      </c>
      <c r="G359" s="625" t="s">
        <v>78</v>
      </c>
      <c r="L359" s="626">
        <v>4516.01</v>
      </c>
      <c r="M359" s="626" t="s">
        <v>42</v>
      </c>
      <c r="S359" s="623">
        <v>34759</v>
      </c>
      <c r="T359" s="622" t="s">
        <v>91</v>
      </c>
      <c r="V359" s="622">
        <v>102.13</v>
      </c>
      <c r="W359" s="625" t="s">
        <v>63</v>
      </c>
      <c r="AB359" s="626">
        <v>25</v>
      </c>
      <c r="AC359" s="626" t="s">
        <v>51</v>
      </c>
      <c r="AE359" s="1802">
        <v>32092</v>
      </c>
      <c r="AF359" s="622" t="s">
        <v>93</v>
      </c>
      <c r="AJ359" s="622">
        <v>18.04</v>
      </c>
      <c r="AK359" s="625" t="s">
        <v>77</v>
      </c>
      <c r="AP359" s="1837"/>
      <c r="AQ359" s="1837"/>
      <c r="AW359" s="1802">
        <v>34744</v>
      </c>
      <c r="AX359" s="622" t="s">
        <v>86</v>
      </c>
      <c r="AZ359" s="622">
        <v>64.02</v>
      </c>
      <c r="BA359" s="622" t="s">
        <v>78</v>
      </c>
      <c r="BF359" s="1837"/>
      <c r="BG359" s="1837"/>
      <c r="BI359" s="1365"/>
      <c r="BJ359" s="1365"/>
      <c r="BK359" s="1365"/>
      <c r="BL359" s="1365"/>
      <c r="BM359" s="1365"/>
      <c r="BN359" s="1365"/>
      <c r="BO359" s="1365"/>
      <c r="BP359" s="1365"/>
      <c r="BQ359" s="1365"/>
      <c r="BR359" s="1365"/>
      <c r="BS359" s="1365"/>
    </row>
    <row r="360" spans="1:71">
      <c r="A360" s="1802">
        <v>34986</v>
      </c>
      <c r="B360" s="622" t="s">
        <v>94</v>
      </c>
      <c r="F360" s="622">
        <v>4.0199999999999996</v>
      </c>
      <c r="G360" s="625" t="s">
        <v>78</v>
      </c>
      <c r="L360" s="626">
        <v>4516.0200000000004</v>
      </c>
      <c r="M360" s="626" t="s">
        <v>42</v>
      </c>
      <c r="S360" s="623">
        <v>34761</v>
      </c>
      <c r="T360" s="622" t="s">
        <v>85</v>
      </c>
      <c r="V360" s="622">
        <v>103</v>
      </c>
      <c r="W360" s="622" t="s">
        <v>91</v>
      </c>
      <c r="AB360" s="626">
        <v>25.02</v>
      </c>
      <c r="AC360" s="626" t="s">
        <v>49</v>
      </c>
      <c r="AE360" s="1802">
        <v>32259</v>
      </c>
      <c r="AF360" s="622" t="s">
        <v>93</v>
      </c>
      <c r="AJ360" s="622">
        <v>1.0900000000000001</v>
      </c>
      <c r="AK360" s="625" t="s">
        <v>78</v>
      </c>
      <c r="AP360" s="1837"/>
      <c r="AQ360" s="1837"/>
      <c r="AW360" s="1802">
        <v>34746</v>
      </c>
      <c r="AX360" s="622" t="s">
        <v>86</v>
      </c>
      <c r="AZ360" s="622">
        <v>64.03</v>
      </c>
      <c r="BA360" s="622" t="s">
        <v>78</v>
      </c>
      <c r="BF360" s="1837"/>
      <c r="BG360" s="1837"/>
      <c r="BI360" s="1365"/>
      <c r="BJ360" s="1365"/>
      <c r="BK360" s="1365"/>
      <c r="BL360" s="1365"/>
      <c r="BM360" s="1365"/>
      <c r="BN360" s="1365"/>
      <c r="BO360" s="1365"/>
      <c r="BP360" s="1365"/>
      <c r="BQ360" s="1365"/>
      <c r="BR360" s="1365"/>
      <c r="BS360" s="1365"/>
    </row>
    <row r="361" spans="1:71">
      <c r="A361" s="1802">
        <v>34987</v>
      </c>
      <c r="B361" s="622" t="s">
        <v>94</v>
      </c>
      <c r="F361" s="622">
        <v>4.03</v>
      </c>
      <c r="G361" s="625" t="s">
        <v>78</v>
      </c>
      <c r="L361" s="626">
        <v>4517</v>
      </c>
      <c r="M361" s="626" t="s">
        <v>42</v>
      </c>
      <c r="S361" s="623">
        <v>34771</v>
      </c>
      <c r="T361" s="622" t="s">
        <v>86</v>
      </c>
      <c r="V361" s="622">
        <v>103.02</v>
      </c>
      <c r="W361" s="625" t="s">
        <v>41</v>
      </c>
      <c r="AB361" s="626">
        <v>25.02</v>
      </c>
      <c r="AC361" s="626" t="s">
        <v>76</v>
      </c>
      <c r="AE361" s="1802">
        <v>34952</v>
      </c>
      <c r="AF361" s="622" t="s">
        <v>94</v>
      </c>
      <c r="AJ361" s="622">
        <v>1.24</v>
      </c>
      <c r="AK361" s="625" t="s">
        <v>78</v>
      </c>
      <c r="AP361" s="1837"/>
      <c r="AQ361" s="1837"/>
      <c r="AW361" s="1802">
        <v>34747</v>
      </c>
      <c r="AX361" s="622" t="s">
        <v>86</v>
      </c>
      <c r="AZ361" s="622">
        <v>68.02</v>
      </c>
      <c r="BA361" s="622" t="s">
        <v>87</v>
      </c>
      <c r="BF361" s="1837"/>
      <c r="BG361" s="1837"/>
      <c r="BI361" s="1365"/>
      <c r="BJ361" s="1365"/>
      <c r="BK361" s="1365"/>
      <c r="BL361" s="1365"/>
      <c r="BM361" s="1365"/>
      <c r="BN361" s="1365"/>
      <c r="BO361" s="1365"/>
      <c r="BP361" s="1365"/>
      <c r="BQ361" s="1365"/>
      <c r="BR361" s="1365"/>
      <c r="BS361" s="1365"/>
    </row>
    <row r="362" spans="1:71">
      <c r="A362" s="1802">
        <v>32162</v>
      </c>
      <c r="B362" s="622" t="s">
        <v>98</v>
      </c>
      <c r="F362" s="622">
        <v>4.08</v>
      </c>
      <c r="G362" s="625" t="s">
        <v>78</v>
      </c>
      <c r="L362" s="626">
        <v>302.01</v>
      </c>
      <c r="M362" s="626" t="s">
        <v>43</v>
      </c>
      <c r="S362" s="623">
        <v>34772</v>
      </c>
      <c r="T362" s="622" t="s">
        <v>86</v>
      </c>
      <c r="V362" s="622">
        <v>103.03</v>
      </c>
      <c r="W362" s="625" t="s">
        <v>63</v>
      </c>
      <c r="AB362" s="626">
        <v>25.03</v>
      </c>
      <c r="AC362" s="626" t="s">
        <v>76</v>
      </c>
      <c r="AE362" s="1802">
        <v>34953</v>
      </c>
      <c r="AF362" s="622" t="s">
        <v>94</v>
      </c>
      <c r="AJ362" s="622">
        <v>1.26</v>
      </c>
      <c r="AK362" s="625" t="s">
        <v>78</v>
      </c>
      <c r="AP362" s="1837"/>
      <c r="AQ362" s="1837"/>
      <c r="AW362" s="1802">
        <v>34758</v>
      </c>
      <c r="AX362" s="622" t="s">
        <v>86</v>
      </c>
      <c r="AZ362" s="622">
        <v>70.02</v>
      </c>
      <c r="BA362" s="625" t="s">
        <v>63</v>
      </c>
      <c r="BF362" s="1837"/>
      <c r="BG362" s="1837"/>
      <c r="BI362" s="1365"/>
      <c r="BJ362" s="1365"/>
      <c r="BK362" s="1365"/>
      <c r="BL362" s="1365"/>
      <c r="BM362" s="1365"/>
      <c r="BN362" s="1365"/>
      <c r="BO362" s="1365"/>
      <c r="BP362" s="1365"/>
      <c r="BQ362" s="1365"/>
      <c r="BR362" s="1365"/>
      <c r="BS362" s="1365"/>
    </row>
    <row r="363" spans="1:71">
      <c r="A363" s="1802">
        <v>32124</v>
      </c>
      <c r="B363" s="622" t="s">
        <v>102</v>
      </c>
      <c r="F363" s="622">
        <v>4.1100000000000003</v>
      </c>
      <c r="G363" s="625" t="s">
        <v>78</v>
      </c>
      <c r="L363" s="626">
        <v>302.02</v>
      </c>
      <c r="M363" s="626" t="s">
        <v>43</v>
      </c>
      <c r="S363" s="623">
        <v>34786</v>
      </c>
      <c r="T363" s="622" t="s">
        <v>85</v>
      </c>
      <c r="V363" s="622">
        <v>103.07</v>
      </c>
      <c r="W363" s="622" t="s">
        <v>36</v>
      </c>
      <c r="AB363" s="626">
        <v>25.05</v>
      </c>
      <c r="AC363" s="626" t="s">
        <v>71</v>
      </c>
      <c r="AE363" s="1802">
        <v>34983</v>
      </c>
      <c r="AF363" s="622" t="s">
        <v>94</v>
      </c>
      <c r="AJ363" s="622">
        <v>2.06</v>
      </c>
      <c r="AK363" s="625" t="s">
        <v>78</v>
      </c>
      <c r="AP363" s="1837"/>
      <c r="AQ363" s="1837"/>
      <c r="AW363" s="1802">
        <v>34759</v>
      </c>
      <c r="AX363" s="622" t="s">
        <v>91</v>
      </c>
      <c r="AZ363" s="622">
        <v>70.05</v>
      </c>
      <c r="BA363" s="622" t="s">
        <v>78</v>
      </c>
      <c r="BF363" s="1837"/>
      <c r="BG363" s="1837"/>
      <c r="BI363" s="1365"/>
      <c r="BJ363" s="1365"/>
      <c r="BK363" s="1365"/>
      <c r="BL363" s="1365"/>
      <c r="BM363" s="1365"/>
      <c r="BN363" s="1365"/>
      <c r="BO363" s="1365"/>
      <c r="BP363" s="1365"/>
      <c r="BQ363" s="1365"/>
      <c r="BR363" s="1365"/>
      <c r="BS363" s="1365"/>
    </row>
    <row r="364" spans="1:71">
      <c r="A364" s="1802">
        <v>32128</v>
      </c>
      <c r="B364" s="622" t="s">
        <v>102</v>
      </c>
      <c r="F364" s="622">
        <v>4.12</v>
      </c>
      <c r="G364" s="625" t="s">
        <v>78</v>
      </c>
      <c r="L364" s="626">
        <v>302.02999999999997</v>
      </c>
      <c r="M364" s="626" t="s">
        <v>43</v>
      </c>
      <c r="S364" s="623">
        <v>34952</v>
      </c>
      <c r="T364" s="622" t="s">
        <v>94</v>
      </c>
      <c r="V364" s="622">
        <v>104</v>
      </c>
      <c r="W364" s="625" t="s">
        <v>85</v>
      </c>
      <c r="AB364" s="626">
        <v>25.05</v>
      </c>
      <c r="AC364" s="626" t="s">
        <v>96</v>
      </c>
      <c r="AE364" s="1802">
        <v>34984</v>
      </c>
      <c r="AF364" s="622" t="s">
        <v>94</v>
      </c>
      <c r="AJ364" s="622">
        <v>2.12</v>
      </c>
      <c r="AK364" s="625" t="s">
        <v>78</v>
      </c>
      <c r="AP364" s="1837"/>
      <c r="AQ364" s="1837"/>
      <c r="AW364" s="1802">
        <v>34760</v>
      </c>
      <c r="AX364" s="622" t="s">
        <v>85</v>
      </c>
      <c r="AZ364" s="622">
        <v>70.06</v>
      </c>
      <c r="BA364" s="625" t="s">
        <v>78</v>
      </c>
      <c r="BF364" s="1837"/>
      <c r="BG364" s="1837"/>
      <c r="BI364" s="1365"/>
      <c r="BJ364" s="1365"/>
      <c r="BK364" s="1365"/>
      <c r="BL364" s="1365"/>
      <c r="BM364" s="1365"/>
      <c r="BN364" s="1365"/>
      <c r="BO364" s="1365"/>
      <c r="BP364" s="1365"/>
      <c r="BQ364" s="1365"/>
      <c r="BR364" s="1365"/>
      <c r="BS364" s="1365"/>
    </row>
    <row r="365" spans="1:71">
      <c r="A365" s="1802">
        <v>32129</v>
      </c>
      <c r="B365" s="622" t="s">
        <v>102</v>
      </c>
      <c r="F365" s="622">
        <v>4.1399999999999997</v>
      </c>
      <c r="G365" s="625" t="s">
        <v>78</v>
      </c>
      <c r="L365" s="626">
        <v>303.01</v>
      </c>
      <c r="M365" s="626" t="s">
        <v>43</v>
      </c>
      <c r="S365" s="623">
        <v>34953</v>
      </c>
      <c r="T365" s="622" t="s">
        <v>94</v>
      </c>
      <c r="V365" s="622">
        <v>104.02</v>
      </c>
      <c r="W365" s="622" t="s">
        <v>49</v>
      </c>
      <c r="AB365" s="626">
        <v>25.07</v>
      </c>
      <c r="AC365" s="626" t="s">
        <v>71</v>
      </c>
      <c r="AE365" s="1802">
        <v>34986</v>
      </c>
      <c r="AF365" s="622" t="s">
        <v>94</v>
      </c>
      <c r="AJ365" s="622">
        <v>2.1800000000000002</v>
      </c>
      <c r="AK365" s="625" t="s">
        <v>78</v>
      </c>
      <c r="AP365" s="1837"/>
      <c r="AQ365" s="1837"/>
      <c r="AW365" s="1802">
        <v>34761</v>
      </c>
      <c r="AX365" s="622" t="s">
        <v>85</v>
      </c>
      <c r="AZ365" s="622">
        <v>70.069999999999993</v>
      </c>
      <c r="BA365" s="625" t="s">
        <v>78</v>
      </c>
      <c r="BF365" s="1837"/>
      <c r="BG365" s="1837"/>
      <c r="BI365" s="1365"/>
      <c r="BJ365" s="1365"/>
      <c r="BK365" s="1365"/>
      <c r="BL365" s="1365"/>
      <c r="BM365" s="1365"/>
      <c r="BN365" s="1365"/>
      <c r="BO365" s="1365"/>
      <c r="BP365" s="1365"/>
      <c r="BQ365" s="1365"/>
      <c r="BR365" s="1365"/>
      <c r="BS365" s="1365"/>
    </row>
    <row r="366" spans="1:71">
      <c r="A366" s="1802">
        <v>32169</v>
      </c>
      <c r="B366" s="622" t="s">
        <v>102</v>
      </c>
      <c r="F366" s="622">
        <v>5.01</v>
      </c>
      <c r="G366" s="625" t="s">
        <v>78</v>
      </c>
      <c r="L366" s="626">
        <v>303.02999999999997</v>
      </c>
      <c r="M366" s="626" t="s">
        <v>43</v>
      </c>
      <c r="S366" s="623">
        <v>34983</v>
      </c>
      <c r="T366" s="622" t="s">
        <v>94</v>
      </c>
      <c r="V366" s="622">
        <v>104.1</v>
      </c>
      <c r="W366" s="625" t="s">
        <v>44</v>
      </c>
      <c r="AB366" s="626">
        <v>25.07</v>
      </c>
      <c r="AC366" s="626" t="s">
        <v>96</v>
      </c>
      <c r="AE366" s="1802">
        <v>34987</v>
      </c>
      <c r="AF366" s="622" t="s">
        <v>94</v>
      </c>
      <c r="AJ366" s="622">
        <v>2.19</v>
      </c>
      <c r="AK366" s="625" t="s">
        <v>78</v>
      </c>
      <c r="AP366" s="1837"/>
      <c r="AQ366" s="1837"/>
      <c r="AW366" s="1802">
        <v>34772</v>
      </c>
      <c r="AX366" s="622" t="s">
        <v>86</v>
      </c>
      <c r="AZ366" s="622">
        <v>72</v>
      </c>
      <c r="BA366" s="625" t="s">
        <v>78</v>
      </c>
      <c r="BF366" s="1837"/>
      <c r="BG366" s="1837"/>
      <c r="BI366" s="1365"/>
      <c r="BJ366" s="1365"/>
      <c r="BK366" s="1365"/>
      <c r="BL366" s="1365"/>
      <c r="BM366" s="1365"/>
      <c r="BN366" s="1365"/>
      <c r="BO366" s="1365"/>
      <c r="BP366" s="1365"/>
      <c r="BQ366" s="1365"/>
      <c r="BR366" s="1365"/>
      <c r="BS366" s="1365"/>
    </row>
    <row r="367" spans="1:71">
      <c r="A367" s="1802">
        <v>32176</v>
      </c>
      <c r="B367" s="622" t="s">
        <v>102</v>
      </c>
      <c r="F367" s="622">
        <v>5.03</v>
      </c>
      <c r="G367" s="625" t="s">
        <v>78</v>
      </c>
      <c r="L367" s="626">
        <v>307.01</v>
      </c>
      <c r="M367" s="626" t="s">
        <v>43</v>
      </c>
      <c r="S367" s="623">
        <v>34984</v>
      </c>
      <c r="T367" s="622" t="s">
        <v>94</v>
      </c>
      <c r="V367" s="622">
        <v>104.2</v>
      </c>
      <c r="W367" s="625" t="s">
        <v>44</v>
      </c>
      <c r="AB367" s="626">
        <v>25.08</v>
      </c>
      <c r="AC367" s="626" t="s">
        <v>71</v>
      </c>
      <c r="AE367" s="1802">
        <v>32162</v>
      </c>
      <c r="AF367" s="622" t="s">
        <v>98</v>
      </c>
      <c r="AJ367" s="622">
        <v>2.2000000000000002</v>
      </c>
      <c r="AK367" s="625" t="s">
        <v>78</v>
      </c>
      <c r="AP367" s="1837"/>
      <c r="AQ367" s="1837"/>
      <c r="AW367" s="1802">
        <v>34773</v>
      </c>
      <c r="AX367" s="622" t="s">
        <v>86</v>
      </c>
      <c r="AZ367" s="622">
        <v>76.03</v>
      </c>
      <c r="BA367" s="625" t="s">
        <v>78</v>
      </c>
      <c r="BF367" s="1837"/>
      <c r="BG367" s="1837"/>
      <c r="BI367" s="1365"/>
      <c r="BJ367" s="1365"/>
      <c r="BK367" s="1365"/>
      <c r="BL367" s="1365"/>
      <c r="BM367" s="1365"/>
      <c r="BN367" s="1365"/>
      <c r="BO367" s="1365"/>
      <c r="BP367" s="1365"/>
      <c r="BQ367" s="1365"/>
      <c r="BR367" s="1365"/>
      <c r="BS367" s="1365"/>
    </row>
    <row r="368" spans="1:71">
      <c r="A368" s="1802">
        <v>32725</v>
      </c>
      <c r="B368" s="622" t="s">
        <v>102</v>
      </c>
      <c r="F368" s="622">
        <v>5.04</v>
      </c>
      <c r="G368" s="625" t="s">
        <v>78</v>
      </c>
      <c r="L368" s="626">
        <v>307.02</v>
      </c>
      <c r="M368" s="626" t="s">
        <v>43</v>
      </c>
      <c r="S368" s="623">
        <v>34986</v>
      </c>
      <c r="T368" s="622" t="s">
        <v>94</v>
      </c>
      <c r="V368" s="622">
        <v>105</v>
      </c>
      <c r="W368" s="625" t="s">
        <v>85</v>
      </c>
      <c r="AB368" s="626">
        <v>25.09</v>
      </c>
      <c r="AC368" s="626" t="s">
        <v>71</v>
      </c>
      <c r="AE368" s="1802">
        <v>32124</v>
      </c>
      <c r="AF368" s="622" t="s">
        <v>102</v>
      </c>
      <c r="AJ368" s="622">
        <v>2.2200000000000002</v>
      </c>
      <c r="AK368" s="625" t="s">
        <v>78</v>
      </c>
      <c r="AP368" s="1837"/>
      <c r="AQ368" s="1837"/>
      <c r="AW368" s="1802">
        <v>34786</v>
      </c>
      <c r="AX368" s="622" t="s">
        <v>85</v>
      </c>
      <c r="AZ368" s="622">
        <v>76.19</v>
      </c>
      <c r="BA368" s="622" t="s">
        <v>87</v>
      </c>
      <c r="BF368" s="1837"/>
      <c r="BG368" s="1837"/>
      <c r="BI368" s="1365"/>
      <c r="BJ368" s="1365"/>
      <c r="BK368" s="1365"/>
      <c r="BL368" s="1365"/>
      <c r="BM368" s="1365"/>
      <c r="BN368" s="1365"/>
      <c r="BO368" s="1365"/>
      <c r="BP368" s="1365"/>
      <c r="BQ368" s="1365"/>
      <c r="BR368" s="1365"/>
      <c r="BS368" s="1365"/>
    </row>
    <row r="369" spans="1:71">
      <c r="A369" s="1802">
        <v>32459</v>
      </c>
      <c r="B369" s="622" t="s">
        <v>104</v>
      </c>
      <c r="F369" s="622">
        <v>5.05</v>
      </c>
      <c r="G369" s="625" t="s">
        <v>78</v>
      </c>
      <c r="L369" s="626">
        <v>307.02999999999997</v>
      </c>
      <c r="M369" s="626" t="s">
        <v>43</v>
      </c>
      <c r="S369" s="623">
        <v>34987</v>
      </c>
      <c r="T369" s="622" t="s">
        <v>94</v>
      </c>
      <c r="V369" s="622">
        <v>105.01</v>
      </c>
      <c r="W369" s="625" t="s">
        <v>63</v>
      </c>
      <c r="AB369" s="626">
        <v>25.1</v>
      </c>
      <c r="AC369" s="626" t="s">
        <v>71</v>
      </c>
      <c r="AE369" s="1802">
        <v>32128</v>
      </c>
      <c r="AF369" s="622" t="s">
        <v>102</v>
      </c>
      <c r="AJ369" s="622">
        <v>2.23</v>
      </c>
      <c r="AK369" s="625" t="s">
        <v>78</v>
      </c>
      <c r="AP369" s="1837"/>
      <c r="AQ369" s="1837"/>
      <c r="AW369" s="1802">
        <v>34952</v>
      </c>
      <c r="AX369" s="622" t="s">
        <v>94</v>
      </c>
      <c r="AZ369" s="622">
        <v>76.2</v>
      </c>
      <c r="BA369" s="625" t="s">
        <v>87</v>
      </c>
      <c r="BF369" s="1837"/>
      <c r="BG369" s="1837"/>
      <c r="BI369" s="1365"/>
      <c r="BJ369" s="1365"/>
      <c r="BK369" s="1365"/>
      <c r="BL369" s="1365"/>
      <c r="BM369" s="1365"/>
      <c r="BN369" s="1365"/>
      <c r="BO369" s="1365"/>
      <c r="BP369" s="1365"/>
      <c r="BQ369" s="1365"/>
      <c r="BR369" s="1365"/>
      <c r="BS369" s="1365"/>
    </row>
    <row r="370" spans="1:71">
      <c r="A370" s="1802">
        <v>32550</v>
      </c>
      <c r="B370" s="622" t="s">
        <v>104</v>
      </c>
      <c r="F370" s="622">
        <v>6.01</v>
      </c>
      <c r="G370" s="625" t="s">
        <v>78</v>
      </c>
      <c r="L370" s="626">
        <v>308.01</v>
      </c>
      <c r="M370" s="626" t="s">
        <v>43</v>
      </c>
      <c r="S370" s="623">
        <v>34990</v>
      </c>
      <c r="T370" s="622" t="s">
        <v>77</v>
      </c>
      <c r="V370" s="622">
        <v>106.01</v>
      </c>
      <c r="W370" s="625" t="s">
        <v>44</v>
      </c>
      <c r="AB370" s="626">
        <v>25.11</v>
      </c>
      <c r="AC370" s="626" t="s">
        <v>71</v>
      </c>
      <c r="AE370" s="1802">
        <v>32129</v>
      </c>
      <c r="AF370" s="622" t="s">
        <v>102</v>
      </c>
      <c r="AJ370" s="622">
        <v>2.2400000000000002</v>
      </c>
      <c r="AK370" s="625" t="s">
        <v>78</v>
      </c>
      <c r="AP370" s="1837"/>
      <c r="AQ370" s="1837"/>
      <c r="AW370" s="1802">
        <v>34953</v>
      </c>
      <c r="AX370" s="622" t="s">
        <v>94</v>
      </c>
      <c r="AZ370" s="622">
        <v>77.459999999999994</v>
      </c>
      <c r="BA370" s="622" t="s">
        <v>87</v>
      </c>
      <c r="BF370" s="1837"/>
      <c r="BG370" s="1837"/>
      <c r="BI370" s="1365"/>
      <c r="BJ370" s="1365"/>
      <c r="BK370" s="1365"/>
      <c r="BL370" s="1365"/>
      <c r="BM370" s="1365"/>
      <c r="BN370" s="1365"/>
      <c r="BO370" s="1365"/>
      <c r="BP370" s="1365"/>
      <c r="BQ370" s="1365"/>
      <c r="BR370" s="1365"/>
      <c r="BS370" s="1365"/>
    </row>
    <row r="371" spans="1:71">
      <c r="F371" s="622">
        <v>6.02</v>
      </c>
      <c r="G371" s="625" t="s">
        <v>78</v>
      </c>
      <c r="L371" s="626">
        <v>308.02</v>
      </c>
      <c r="M371" s="626" t="s">
        <v>43</v>
      </c>
      <c r="V371" s="622">
        <v>106.09</v>
      </c>
      <c r="W371" s="625" t="s">
        <v>78</v>
      </c>
      <c r="AB371" s="626">
        <v>25.11</v>
      </c>
      <c r="AC371" s="626" t="s">
        <v>96</v>
      </c>
      <c r="AE371" s="1836">
        <v>32169</v>
      </c>
      <c r="AF371" s="622" t="s">
        <v>102</v>
      </c>
      <c r="AJ371" s="622">
        <v>2.27</v>
      </c>
      <c r="AK371" s="625" t="s">
        <v>78</v>
      </c>
      <c r="AP371" s="1837"/>
      <c r="AQ371" s="1837"/>
      <c r="AW371" s="1802">
        <v>34983</v>
      </c>
      <c r="AX371" s="622" t="s">
        <v>94</v>
      </c>
      <c r="AZ371" s="622">
        <v>78.33</v>
      </c>
      <c r="BA371" s="622" t="s">
        <v>87</v>
      </c>
      <c r="BF371" s="1837"/>
      <c r="BG371" s="1837"/>
      <c r="BI371" s="1365"/>
      <c r="BJ371" s="1365"/>
      <c r="BK371" s="1365"/>
      <c r="BL371" s="1365"/>
      <c r="BM371" s="1365"/>
      <c r="BN371" s="1365"/>
      <c r="BO371" s="1365"/>
      <c r="BP371" s="1365"/>
      <c r="BQ371" s="1365"/>
      <c r="BR371" s="1365"/>
      <c r="BS371" s="1365"/>
    </row>
    <row r="372" spans="1:71">
      <c r="F372" s="622">
        <v>6.03</v>
      </c>
      <c r="G372" s="625" t="s">
        <v>78</v>
      </c>
      <c r="L372" s="626">
        <v>309.02</v>
      </c>
      <c r="M372" s="626" t="s">
        <v>43</v>
      </c>
      <c r="V372" s="622">
        <v>107.01</v>
      </c>
      <c r="W372" s="625" t="s">
        <v>44</v>
      </c>
      <c r="AB372" s="626">
        <v>25.12</v>
      </c>
      <c r="AC372" s="626" t="s">
        <v>71</v>
      </c>
      <c r="AE372" s="1836">
        <v>32176</v>
      </c>
      <c r="AF372" s="622" t="s">
        <v>102</v>
      </c>
      <c r="AJ372" s="622">
        <v>2.2799999999999998</v>
      </c>
      <c r="AK372" s="625" t="s">
        <v>78</v>
      </c>
      <c r="AP372" s="1837"/>
      <c r="AQ372" s="1837"/>
      <c r="AW372" s="1802">
        <v>34984</v>
      </c>
      <c r="AX372" s="622" t="s">
        <v>94</v>
      </c>
      <c r="AZ372" s="622">
        <v>80.010000000000005</v>
      </c>
      <c r="BA372" s="622" t="s">
        <v>87</v>
      </c>
      <c r="BF372" s="1837"/>
      <c r="BG372" s="1837"/>
      <c r="BI372" s="1365"/>
      <c r="BJ372" s="1365"/>
      <c r="BK372" s="1365"/>
      <c r="BL372" s="1365"/>
      <c r="BM372" s="1365"/>
      <c r="BN372" s="1365"/>
      <c r="BO372" s="1365"/>
      <c r="BP372" s="1365"/>
      <c r="BQ372" s="1365"/>
      <c r="BR372" s="1365"/>
      <c r="BS372" s="1365"/>
    </row>
    <row r="373" spans="1:71">
      <c r="F373" s="622">
        <v>6.05</v>
      </c>
      <c r="G373" s="625" t="s">
        <v>78</v>
      </c>
      <c r="L373" s="626">
        <v>309.04000000000002</v>
      </c>
      <c r="M373" s="626" t="s">
        <v>43</v>
      </c>
      <c r="V373" s="622">
        <v>107.05</v>
      </c>
      <c r="W373" s="625" t="s">
        <v>95</v>
      </c>
      <c r="AB373" s="626">
        <v>25.13</v>
      </c>
      <c r="AC373" s="626" t="s">
        <v>71</v>
      </c>
      <c r="AE373" s="1836">
        <v>32725</v>
      </c>
      <c r="AF373" s="622" t="s">
        <v>102</v>
      </c>
      <c r="AJ373" s="622">
        <v>3.06</v>
      </c>
      <c r="AK373" s="625" t="s">
        <v>78</v>
      </c>
      <c r="AP373" s="1837"/>
      <c r="AQ373" s="1837"/>
      <c r="AW373" s="1802">
        <v>34986</v>
      </c>
      <c r="AX373" s="622" t="s">
        <v>94</v>
      </c>
      <c r="AZ373" s="622">
        <v>80.02</v>
      </c>
      <c r="BA373" s="622" t="s">
        <v>87</v>
      </c>
      <c r="BF373" s="1837"/>
      <c r="BG373" s="1837"/>
      <c r="BI373" s="1365"/>
      <c r="BJ373" s="1365"/>
      <c r="BK373" s="1365"/>
      <c r="BL373" s="1365"/>
      <c r="BM373" s="1365"/>
      <c r="BN373" s="1365"/>
      <c r="BO373" s="1365"/>
      <c r="BP373" s="1365"/>
      <c r="BQ373" s="1365"/>
      <c r="BR373" s="1365"/>
      <c r="BS373" s="1365"/>
    </row>
    <row r="374" spans="1:71">
      <c r="F374" s="622">
        <v>6.08</v>
      </c>
      <c r="G374" s="625" t="s">
        <v>78</v>
      </c>
      <c r="L374" s="626">
        <v>311.07</v>
      </c>
      <c r="M374" s="626" t="s">
        <v>43</v>
      </c>
      <c r="V374" s="622">
        <v>108</v>
      </c>
      <c r="W374" s="622" t="s">
        <v>49</v>
      </c>
      <c r="AB374" s="626">
        <v>26</v>
      </c>
      <c r="AC374" s="626" t="s">
        <v>87</v>
      </c>
      <c r="AE374" s="1836">
        <v>32346</v>
      </c>
      <c r="AF374" s="622" t="s">
        <v>103</v>
      </c>
      <c r="AJ374" s="622">
        <v>3.09</v>
      </c>
      <c r="AK374" s="625" t="s">
        <v>78</v>
      </c>
      <c r="AP374" s="1837"/>
      <c r="AQ374" s="1837"/>
      <c r="AW374" s="1802">
        <v>34987</v>
      </c>
      <c r="AX374" s="622" t="s">
        <v>94</v>
      </c>
      <c r="AZ374" s="622">
        <v>81.010000000000005</v>
      </c>
      <c r="BA374" s="622" t="s">
        <v>87</v>
      </c>
      <c r="BF374" s="1837"/>
      <c r="BG374" s="1837"/>
      <c r="BI374" s="1365"/>
      <c r="BJ374" s="1365"/>
      <c r="BK374" s="1365"/>
      <c r="BL374" s="1365"/>
      <c r="BM374" s="1365"/>
      <c r="BN374" s="1365"/>
      <c r="BO374" s="1365"/>
      <c r="BP374" s="1365"/>
      <c r="BQ374" s="1365"/>
      <c r="BR374" s="1365"/>
      <c r="BS374" s="1365"/>
    </row>
    <row r="375" spans="1:71">
      <c r="F375" s="622">
        <v>7.05</v>
      </c>
      <c r="G375" s="625" t="s">
        <v>78</v>
      </c>
      <c r="L375" s="626">
        <v>312</v>
      </c>
      <c r="M375" s="626" t="s">
        <v>43</v>
      </c>
      <c r="V375" s="622">
        <v>108.01</v>
      </c>
      <c r="W375" s="625" t="s">
        <v>78</v>
      </c>
      <c r="AB375" s="626">
        <v>26.01</v>
      </c>
      <c r="AC375" s="626" t="s">
        <v>32</v>
      </c>
      <c r="AE375" s="1836">
        <v>32459</v>
      </c>
      <c r="AF375" s="622" t="s">
        <v>104</v>
      </c>
      <c r="AJ375" s="622">
        <v>3.1</v>
      </c>
      <c r="AK375" s="625" t="s">
        <v>78</v>
      </c>
      <c r="AP375" s="1837"/>
      <c r="AQ375" s="1837"/>
      <c r="AW375" s="1802">
        <v>34990</v>
      </c>
      <c r="AX375" s="622" t="s">
        <v>77</v>
      </c>
      <c r="AZ375" s="622">
        <v>82.01</v>
      </c>
      <c r="BA375" s="622" t="s">
        <v>87</v>
      </c>
      <c r="BF375" s="1837"/>
      <c r="BG375" s="1837"/>
      <c r="BI375" s="1365"/>
      <c r="BJ375" s="1365"/>
      <c r="BK375" s="1365"/>
      <c r="BL375" s="1365"/>
      <c r="BM375" s="1365"/>
      <c r="BN375" s="1365"/>
      <c r="BO375" s="1365"/>
      <c r="BP375" s="1365"/>
      <c r="BQ375" s="1365"/>
      <c r="BR375" s="1365"/>
      <c r="BS375" s="1365"/>
    </row>
    <row r="376" spans="1:71">
      <c r="F376" s="622">
        <v>7.06</v>
      </c>
      <c r="G376" s="625" t="s">
        <v>78</v>
      </c>
      <c r="L376" s="626">
        <v>1.01</v>
      </c>
      <c r="M376" s="626" t="s">
        <v>44</v>
      </c>
      <c r="V376" s="622">
        <v>108.02</v>
      </c>
      <c r="W376" s="625" t="s">
        <v>70</v>
      </c>
      <c r="AB376" s="626">
        <v>26.01</v>
      </c>
      <c r="AC376" s="626" t="s">
        <v>51</v>
      </c>
      <c r="AJ376" s="622">
        <v>4.0199999999999996</v>
      </c>
      <c r="AK376" s="625" t="s">
        <v>78</v>
      </c>
      <c r="AP376" s="1837"/>
      <c r="AQ376" s="1837"/>
      <c r="AZ376" s="622">
        <v>82.02</v>
      </c>
      <c r="BA376" s="622" t="s">
        <v>87</v>
      </c>
      <c r="BF376" s="1837"/>
      <c r="BG376" s="1837"/>
      <c r="BI376" s="1365"/>
      <c r="BJ376" s="1365"/>
      <c r="BK376" s="1365"/>
      <c r="BL376" s="1365"/>
      <c r="BM376" s="1365"/>
      <c r="BN376" s="1365"/>
      <c r="BO376" s="1365"/>
      <c r="BP376" s="1365"/>
      <c r="BQ376" s="1365"/>
      <c r="BR376" s="1365"/>
      <c r="BS376" s="1365"/>
    </row>
    <row r="377" spans="1:71">
      <c r="F377" s="622">
        <v>7.08</v>
      </c>
      <c r="G377" s="625" t="s">
        <v>78</v>
      </c>
      <c r="L377" s="626">
        <v>1.02</v>
      </c>
      <c r="M377" s="626" t="s">
        <v>44</v>
      </c>
      <c r="V377" s="622">
        <v>108.02</v>
      </c>
      <c r="W377" s="625" t="s">
        <v>78</v>
      </c>
      <c r="AB377" s="626">
        <v>26.01</v>
      </c>
      <c r="AC377" s="626" t="s">
        <v>96</v>
      </c>
      <c r="AJ377" s="622">
        <v>4.08</v>
      </c>
      <c r="AK377" s="625" t="s">
        <v>78</v>
      </c>
      <c r="AP377" s="1837"/>
      <c r="AQ377" s="1837"/>
      <c r="AZ377" s="622">
        <v>82.03</v>
      </c>
      <c r="BA377" s="622" t="s">
        <v>87</v>
      </c>
      <c r="BF377" s="1837"/>
      <c r="BG377" s="1837"/>
      <c r="BI377" s="1365"/>
      <c r="BJ377" s="1365"/>
      <c r="BK377" s="1365"/>
      <c r="BL377" s="1365"/>
      <c r="BM377" s="1365"/>
      <c r="BN377" s="1365"/>
      <c r="BO377" s="1365"/>
      <c r="BP377" s="1365"/>
      <c r="BQ377" s="1365"/>
      <c r="BR377" s="1365"/>
      <c r="BS377" s="1365"/>
    </row>
    <row r="378" spans="1:71">
      <c r="F378" s="622">
        <v>7.09</v>
      </c>
      <c r="G378" s="625" t="s">
        <v>78</v>
      </c>
      <c r="L378" s="626">
        <v>2</v>
      </c>
      <c r="M378" s="626" t="s">
        <v>44</v>
      </c>
      <c r="V378" s="622">
        <v>108.05</v>
      </c>
      <c r="W378" s="625" t="s">
        <v>63</v>
      </c>
      <c r="AB378" s="626">
        <v>26.02</v>
      </c>
      <c r="AC378" s="626" t="s">
        <v>51</v>
      </c>
      <c r="AJ378" s="622">
        <v>4.1100000000000003</v>
      </c>
      <c r="AK378" s="625" t="s">
        <v>78</v>
      </c>
      <c r="AP378" s="1837"/>
      <c r="AQ378" s="1837"/>
      <c r="AZ378" s="622">
        <v>83.01</v>
      </c>
      <c r="BA378" s="625" t="s">
        <v>87</v>
      </c>
      <c r="BF378" s="1837"/>
      <c r="BG378" s="1837"/>
      <c r="BI378" s="1365"/>
      <c r="BJ378" s="1365"/>
      <c r="BK378" s="1365"/>
      <c r="BL378" s="1365"/>
      <c r="BM378" s="1365"/>
      <c r="BN378" s="1365"/>
      <c r="BO378" s="1365"/>
      <c r="BP378" s="1365"/>
      <c r="BQ378" s="1365"/>
      <c r="BR378" s="1365"/>
      <c r="BS378" s="1365"/>
    </row>
    <row r="379" spans="1:71">
      <c r="F379" s="622">
        <v>7.1</v>
      </c>
      <c r="G379" s="625" t="s">
        <v>78</v>
      </c>
      <c r="L379" s="626">
        <v>3.01</v>
      </c>
      <c r="M379" s="626" t="s">
        <v>44</v>
      </c>
      <c r="V379" s="622">
        <v>108.08</v>
      </c>
      <c r="W379" s="625" t="s">
        <v>63</v>
      </c>
      <c r="AB379" s="626">
        <v>26.03</v>
      </c>
      <c r="AC379" s="626" t="s">
        <v>51</v>
      </c>
      <c r="AJ379" s="622">
        <v>4.1399999999999997</v>
      </c>
      <c r="AK379" s="625" t="s">
        <v>78</v>
      </c>
      <c r="AP379" s="1837"/>
      <c r="AQ379" s="1837"/>
      <c r="AZ379" s="622">
        <v>83.02</v>
      </c>
      <c r="BA379" s="625" t="s">
        <v>87</v>
      </c>
      <c r="BF379" s="1837"/>
      <c r="BG379" s="1837"/>
      <c r="BI379" s="1365"/>
      <c r="BJ379" s="1365"/>
      <c r="BK379" s="1365"/>
      <c r="BL379" s="1365"/>
      <c r="BM379" s="1365"/>
      <c r="BN379" s="1365"/>
      <c r="BO379" s="1365"/>
      <c r="BP379" s="1365"/>
      <c r="BQ379" s="1365"/>
      <c r="BR379" s="1365"/>
      <c r="BS379" s="1365"/>
    </row>
    <row r="380" spans="1:71">
      <c r="F380" s="622">
        <v>7.11</v>
      </c>
      <c r="G380" s="625" t="s">
        <v>78</v>
      </c>
      <c r="L380" s="626">
        <v>3.02</v>
      </c>
      <c r="M380" s="626" t="s">
        <v>44</v>
      </c>
      <c r="V380" s="622">
        <v>108.09</v>
      </c>
      <c r="W380" s="625" t="s">
        <v>63</v>
      </c>
      <c r="AB380" s="626">
        <v>26.04</v>
      </c>
      <c r="AC380" s="626" t="s">
        <v>32</v>
      </c>
      <c r="AJ380" s="622">
        <v>4.1500000000000004</v>
      </c>
      <c r="AK380" s="625" t="s">
        <v>78</v>
      </c>
      <c r="AP380" s="1837"/>
      <c r="AQ380" s="1837"/>
      <c r="AZ380" s="622">
        <v>83.09</v>
      </c>
      <c r="BA380" s="625" t="s">
        <v>78</v>
      </c>
      <c r="BF380" s="1837"/>
      <c r="BG380" s="1837"/>
      <c r="BI380" s="1365"/>
      <c r="BJ380" s="1365"/>
      <c r="BK380" s="1365"/>
      <c r="BL380" s="1365"/>
      <c r="BM380" s="1365"/>
      <c r="BN380" s="1365"/>
      <c r="BO380" s="1365"/>
      <c r="BP380" s="1365"/>
      <c r="BQ380" s="1365"/>
      <c r="BR380" s="1365"/>
      <c r="BS380" s="1365"/>
    </row>
    <row r="381" spans="1:71">
      <c r="F381" s="622">
        <v>7.12</v>
      </c>
      <c r="G381" s="625" t="s">
        <v>78</v>
      </c>
      <c r="L381" s="626">
        <v>4.01</v>
      </c>
      <c r="M381" s="626" t="s">
        <v>44</v>
      </c>
      <c r="V381" s="622">
        <v>108.11</v>
      </c>
      <c r="W381" s="625" t="s">
        <v>63</v>
      </c>
      <c r="AB381" s="626">
        <v>26.04</v>
      </c>
      <c r="AC381" s="626" t="s">
        <v>51</v>
      </c>
      <c r="AJ381" s="622">
        <v>4.16</v>
      </c>
      <c r="AK381" s="625" t="s">
        <v>78</v>
      </c>
      <c r="AP381" s="1837"/>
      <c r="AQ381" s="1837"/>
      <c r="AZ381" s="622">
        <v>88.05</v>
      </c>
      <c r="BA381" s="622" t="s">
        <v>78</v>
      </c>
      <c r="BF381" s="1837"/>
      <c r="BG381" s="1837"/>
      <c r="BI381" s="1365"/>
      <c r="BJ381" s="1365"/>
      <c r="BK381" s="1365"/>
      <c r="BL381" s="1365"/>
      <c r="BM381" s="1365"/>
      <c r="BN381" s="1365"/>
      <c r="BO381" s="1365"/>
      <c r="BP381" s="1365"/>
      <c r="BQ381" s="1365"/>
      <c r="BR381" s="1365"/>
      <c r="BS381" s="1365"/>
    </row>
    <row r="382" spans="1:71">
      <c r="F382" s="622">
        <v>8.0399999999999991</v>
      </c>
      <c r="G382" s="625" t="s">
        <v>78</v>
      </c>
      <c r="L382" s="626">
        <v>4.0199999999999996</v>
      </c>
      <c r="M382" s="626" t="s">
        <v>44</v>
      </c>
      <c r="V382" s="622">
        <v>108.12</v>
      </c>
      <c r="W382" s="625" t="s">
        <v>63</v>
      </c>
      <c r="AB382" s="626">
        <v>26.04</v>
      </c>
      <c r="AC382" s="626" t="s">
        <v>76</v>
      </c>
      <c r="AJ382" s="622">
        <v>4.17</v>
      </c>
      <c r="AK382" s="625" t="s">
        <v>78</v>
      </c>
      <c r="AP382" s="1837"/>
      <c r="AQ382" s="1837"/>
      <c r="AZ382" s="622">
        <v>90.2</v>
      </c>
      <c r="BA382" s="625" t="s">
        <v>78</v>
      </c>
      <c r="BF382" s="1837"/>
      <c r="BG382" s="1837"/>
      <c r="BI382" s="1365"/>
      <c r="BJ382" s="1365"/>
      <c r="BK382" s="1365"/>
      <c r="BL382" s="1365"/>
      <c r="BM382" s="1365"/>
      <c r="BN382" s="1365"/>
      <c r="BO382" s="1365"/>
      <c r="BP382" s="1365"/>
      <c r="BQ382" s="1365"/>
      <c r="BR382" s="1365"/>
      <c r="BS382" s="1365"/>
    </row>
    <row r="383" spans="1:71">
      <c r="F383" s="622">
        <v>8.0500000000000007</v>
      </c>
      <c r="G383" s="625" t="s">
        <v>78</v>
      </c>
      <c r="L383" s="626">
        <v>5</v>
      </c>
      <c r="M383" s="626" t="s">
        <v>44</v>
      </c>
      <c r="V383" s="622">
        <v>108.13</v>
      </c>
      <c r="W383" s="625" t="s">
        <v>63</v>
      </c>
      <c r="AB383" s="626">
        <v>26.05</v>
      </c>
      <c r="AC383" s="626" t="s">
        <v>51</v>
      </c>
      <c r="AJ383" s="622">
        <v>4.18</v>
      </c>
      <c r="AK383" s="625" t="s">
        <v>78</v>
      </c>
      <c r="AP383" s="1837"/>
      <c r="AQ383" s="1837"/>
      <c r="AZ383" s="622">
        <v>90.21</v>
      </c>
      <c r="BA383" s="622" t="s">
        <v>78</v>
      </c>
      <c r="BF383" s="1837"/>
      <c r="BG383" s="1837"/>
      <c r="BI383" s="1365"/>
      <c r="BJ383" s="1365"/>
      <c r="BK383" s="1365"/>
      <c r="BL383" s="1365"/>
      <c r="BM383" s="1365"/>
      <c r="BN383" s="1365"/>
      <c r="BO383" s="1365"/>
      <c r="BP383" s="1365"/>
      <c r="BQ383" s="1365"/>
      <c r="BR383" s="1365"/>
      <c r="BS383" s="1365"/>
    </row>
    <row r="384" spans="1:71">
      <c r="F384" s="622">
        <v>8.06</v>
      </c>
      <c r="G384" s="625" t="s">
        <v>78</v>
      </c>
      <c r="L384" s="626">
        <v>6</v>
      </c>
      <c r="M384" s="626" t="s">
        <v>44</v>
      </c>
      <c r="V384" s="622">
        <v>108.14</v>
      </c>
      <c r="W384" s="625" t="s">
        <v>63</v>
      </c>
      <c r="AB384" s="626">
        <v>26.05</v>
      </c>
      <c r="AC384" s="626" t="s">
        <v>71</v>
      </c>
      <c r="AJ384" s="622">
        <v>5.04</v>
      </c>
      <c r="AK384" s="625" t="s">
        <v>78</v>
      </c>
      <c r="AP384" s="1837"/>
      <c r="AQ384" s="1837"/>
      <c r="AZ384" s="622">
        <v>90.26</v>
      </c>
      <c r="BA384" s="625" t="s">
        <v>78</v>
      </c>
      <c r="BF384" s="1837"/>
      <c r="BG384" s="1837"/>
      <c r="BI384" s="1365"/>
      <c r="BJ384" s="1365"/>
      <c r="BK384" s="1365"/>
      <c r="BL384" s="1365"/>
      <c r="BM384" s="1365"/>
      <c r="BN384" s="1365"/>
      <c r="BO384" s="1365"/>
      <c r="BP384" s="1365"/>
      <c r="BQ384" s="1365"/>
      <c r="BR384" s="1365"/>
      <c r="BS384" s="1365"/>
    </row>
    <row r="385" spans="6:71">
      <c r="F385" s="622">
        <v>8.07</v>
      </c>
      <c r="G385" s="625" t="s">
        <v>78</v>
      </c>
      <c r="L385" s="626">
        <v>101.02</v>
      </c>
      <c r="M385" s="626" t="s">
        <v>44</v>
      </c>
      <c r="V385" s="622">
        <v>108.15</v>
      </c>
      <c r="W385" s="625" t="s">
        <v>63</v>
      </c>
      <c r="AB385" s="626">
        <v>26.05</v>
      </c>
      <c r="AC385" s="626" t="s">
        <v>76</v>
      </c>
      <c r="AJ385" s="622">
        <v>5.05</v>
      </c>
      <c r="AK385" s="625" t="s">
        <v>78</v>
      </c>
      <c r="AP385" s="1837"/>
      <c r="AQ385" s="1837"/>
      <c r="AZ385" s="622">
        <v>91.02</v>
      </c>
      <c r="BA385" s="625" t="s">
        <v>78</v>
      </c>
      <c r="BF385" s="1837"/>
      <c r="BG385" s="1837"/>
      <c r="BI385" s="1365"/>
      <c r="BJ385" s="1365"/>
      <c r="BK385" s="1365"/>
      <c r="BL385" s="1365"/>
      <c r="BM385" s="1365"/>
      <c r="BN385" s="1365"/>
      <c r="BO385" s="1365"/>
      <c r="BP385" s="1365"/>
      <c r="BQ385" s="1365"/>
      <c r="BR385" s="1365"/>
      <c r="BS385" s="1365"/>
    </row>
    <row r="386" spans="6:71">
      <c r="F386" s="622">
        <v>8.08</v>
      </c>
      <c r="G386" s="625" t="s">
        <v>78</v>
      </c>
      <c r="L386" s="626">
        <v>101.05</v>
      </c>
      <c r="M386" s="626" t="s">
        <v>44</v>
      </c>
      <c r="V386" s="622">
        <v>108.16</v>
      </c>
      <c r="W386" s="625" t="s">
        <v>63</v>
      </c>
      <c r="AB386" s="626">
        <v>26.06</v>
      </c>
      <c r="AC386" s="626" t="s">
        <v>32</v>
      </c>
      <c r="AJ386" s="622">
        <v>5.0599999999999996</v>
      </c>
      <c r="AK386" s="625" t="s">
        <v>78</v>
      </c>
      <c r="AP386" s="1837"/>
      <c r="AQ386" s="1837"/>
      <c r="AZ386" s="622">
        <v>93.14</v>
      </c>
      <c r="BA386" s="625" t="s">
        <v>78</v>
      </c>
      <c r="BF386" s="1837"/>
      <c r="BG386" s="1837"/>
      <c r="BI386" s="1365"/>
      <c r="BJ386" s="1365"/>
      <c r="BK386" s="1365"/>
      <c r="BL386" s="1365"/>
      <c r="BM386" s="1365"/>
      <c r="BN386" s="1365"/>
      <c r="BO386" s="1365"/>
      <c r="BP386" s="1365"/>
      <c r="BQ386" s="1365"/>
      <c r="BR386" s="1365"/>
      <c r="BS386" s="1365"/>
    </row>
    <row r="387" spans="6:71">
      <c r="F387" s="622">
        <v>9.02</v>
      </c>
      <c r="G387" s="625" t="s">
        <v>78</v>
      </c>
      <c r="L387" s="626">
        <v>101.06</v>
      </c>
      <c r="M387" s="626" t="s">
        <v>44</v>
      </c>
      <c r="V387" s="622">
        <v>108.17</v>
      </c>
      <c r="W387" s="625" t="s">
        <v>63</v>
      </c>
      <c r="AB387" s="626">
        <v>26.06</v>
      </c>
      <c r="AC387" s="626" t="s">
        <v>71</v>
      </c>
      <c r="AJ387" s="622">
        <v>5.07</v>
      </c>
      <c r="AK387" s="625" t="s">
        <v>78</v>
      </c>
      <c r="AP387" s="1837"/>
      <c r="AQ387" s="1837"/>
      <c r="AZ387" s="622">
        <v>93.15</v>
      </c>
      <c r="BA387" s="625" t="s">
        <v>78</v>
      </c>
      <c r="BF387" s="1837"/>
      <c r="BG387" s="1837"/>
      <c r="BI387" s="1365"/>
      <c r="BJ387" s="1365"/>
      <c r="BK387" s="1365"/>
      <c r="BL387" s="1365"/>
      <c r="BM387" s="1365"/>
      <c r="BN387" s="1365"/>
      <c r="BO387" s="1365"/>
      <c r="BP387" s="1365"/>
      <c r="BQ387" s="1365"/>
      <c r="BR387" s="1365"/>
      <c r="BS387" s="1365"/>
    </row>
    <row r="388" spans="6:71">
      <c r="F388" s="622">
        <v>9.0299999999999994</v>
      </c>
      <c r="G388" s="625" t="s">
        <v>78</v>
      </c>
      <c r="L388" s="626">
        <v>101.07</v>
      </c>
      <c r="M388" s="626" t="s">
        <v>44</v>
      </c>
      <c r="V388" s="622">
        <v>108.18</v>
      </c>
      <c r="W388" s="625" t="s">
        <v>63</v>
      </c>
      <c r="AB388" s="626">
        <v>26.06</v>
      </c>
      <c r="AC388" s="626" t="s">
        <v>76</v>
      </c>
      <c r="AJ388" s="622">
        <v>5.08</v>
      </c>
      <c r="AK388" s="625" t="s">
        <v>78</v>
      </c>
      <c r="AP388" s="1837"/>
      <c r="AQ388" s="1837"/>
      <c r="AZ388" s="622">
        <v>93.16</v>
      </c>
      <c r="BA388" s="625" t="s">
        <v>78</v>
      </c>
      <c r="BF388" s="1837"/>
      <c r="BG388" s="1837"/>
      <c r="BI388" s="1365"/>
      <c r="BJ388" s="1365"/>
      <c r="BK388" s="1365"/>
      <c r="BL388" s="1365"/>
      <c r="BM388" s="1365"/>
      <c r="BN388" s="1365"/>
      <c r="BO388" s="1365"/>
      <c r="BP388" s="1365"/>
      <c r="BQ388" s="1365"/>
      <c r="BR388" s="1365"/>
      <c r="BS388" s="1365"/>
    </row>
    <row r="389" spans="6:71">
      <c r="F389" s="622">
        <v>10.02</v>
      </c>
      <c r="G389" s="625" t="s">
        <v>78</v>
      </c>
      <c r="L389" s="626">
        <v>101.08</v>
      </c>
      <c r="M389" s="626" t="s">
        <v>44</v>
      </c>
      <c r="V389" s="622">
        <v>109</v>
      </c>
      <c r="W389" s="625" t="s">
        <v>78</v>
      </c>
      <c r="AB389" s="626">
        <v>26.07</v>
      </c>
      <c r="AC389" s="626" t="s">
        <v>32</v>
      </c>
      <c r="AJ389" s="622">
        <v>5.09</v>
      </c>
      <c r="AK389" s="625" t="s">
        <v>78</v>
      </c>
      <c r="AP389" s="1837"/>
      <c r="AQ389" s="1837"/>
      <c r="AZ389" s="622">
        <v>93.17</v>
      </c>
      <c r="BA389" s="622" t="s">
        <v>78</v>
      </c>
      <c r="BF389" s="1837"/>
      <c r="BG389" s="1837"/>
      <c r="BI389" s="1365"/>
      <c r="BJ389" s="1365"/>
      <c r="BK389" s="1365"/>
      <c r="BL389" s="1365"/>
      <c r="BM389" s="1365"/>
      <c r="BN389" s="1365"/>
      <c r="BO389" s="1365"/>
      <c r="BP389" s="1365"/>
      <c r="BQ389" s="1365"/>
      <c r="BR389" s="1365"/>
      <c r="BS389" s="1365"/>
    </row>
    <row r="390" spans="6:71">
      <c r="F390" s="622">
        <v>10.029999999999999</v>
      </c>
      <c r="G390" s="625" t="s">
        <v>78</v>
      </c>
      <c r="L390" s="626">
        <v>101.09</v>
      </c>
      <c r="M390" s="626" t="s">
        <v>44</v>
      </c>
      <c r="V390" s="622">
        <v>110</v>
      </c>
      <c r="W390" s="622" t="s">
        <v>49</v>
      </c>
      <c r="AB390" s="626">
        <v>26.08</v>
      </c>
      <c r="AC390" s="626" t="s">
        <v>32</v>
      </c>
      <c r="AJ390" s="622">
        <v>6.01</v>
      </c>
      <c r="AK390" s="625" t="s">
        <v>78</v>
      </c>
      <c r="AP390" s="1837"/>
      <c r="AQ390" s="1837"/>
      <c r="AZ390" s="622">
        <v>93.2</v>
      </c>
      <c r="BA390" s="625" t="s">
        <v>78</v>
      </c>
      <c r="BF390" s="1837"/>
      <c r="BG390" s="1837"/>
      <c r="BI390" s="1365"/>
      <c r="BJ390" s="1365"/>
      <c r="BK390" s="1365"/>
      <c r="BL390" s="1365"/>
      <c r="BM390" s="1365"/>
      <c r="BN390" s="1365"/>
      <c r="BO390" s="1365"/>
      <c r="BP390" s="1365"/>
      <c r="BQ390" s="1365"/>
      <c r="BR390" s="1365"/>
      <c r="BS390" s="1365"/>
    </row>
    <row r="391" spans="6:71">
      <c r="F391" s="622">
        <v>10.039999999999999</v>
      </c>
      <c r="G391" s="625" t="s">
        <v>78</v>
      </c>
      <c r="L391" s="626">
        <v>102.05</v>
      </c>
      <c r="M391" s="626" t="s">
        <v>44</v>
      </c>
      <c r="V391" s="622">
        <v>110</v>
      </c>
      <c r="W391" s="625" t="s">
        <v>85</v>
      </c>
      <c r="AB391" s="626">
        <v>27</v>
      </c>
      <c r="AC391" s="626" t="s">
        <v>87</v>
      </c>
      <c r="AJ391" s="622">
        <v>6.03</v>
      </c>
      <c r="AK391" s="625" t="s">
        <v>78</v>
      </c>
      <c r="AP391" s="1837"/>
      <c r="AQ391" s="1837"/>
      <c r="AZ391" s="622">
        <v>93.21</v>
      </c>
      <c r="BA391" s="625" t="s">
        <v>78</v>
      </c>
      <c r="BF391" s="1837"/>
      <c r="BG391" s="1837"/>
      <c r="BI391" s="1365"/>
      <c r="BJ391" s="1365"/>
      <c r="BK391" s="1365"/>
      <c r="BL391" s="1365"/>
      <c r="BM391" s="1365"/>
      <c r="BN391" s="1365"/>
      <c r="BO391" s="1365"/>
      <c r="BP391" s="1365"/>
      <c r="BQ391" s="1365"/>
      <c r="BR391" s="1365"/>
      <c r="BS391" s="1365"/>
    </row>
    <row r="392" spans="6:71">
      <c r="F392" s="622">
        <v>10.050000000000001</v>
      </c>
      <c r="G392" s="625" t="s">
        <v>78</v>
      </c>
      <c r="L392" s="626">
        <v>102.08</v>
      </c>
      <c r="M392" s="626" t="s">
        <v>44</v>
      </c>
      <c r="V392" s="622">
        <v>110</v>
      </c>
      <c r="W392" s="622" t="s">
        <v>91</v>
      </c>
      <c r="AB392" s="626">
        <v>27.01</v>
      </c>
      <c r="AC392" s="626" t="s">
        <v>32</v>
      </c>
      <c r="AJ392" s="622">
        <v>6.07</v>
      </c>
      <c r="AK392" s="625" t="s">
        <v>78</v>
      </c>
      <c r="AP392" s="1837"/>
      <c r="AQ392" s="1837"/>
      <c r="AZ392" s="622">
        <v>93.22</v>
      </c>
      <c r="BA392" s="625" t="s">
        <v>78</v>
      </c>
      <c r="BF392" s="1837"/>
      <c r="BG392" s="1837"/>
      <c r="BI392" s="1365"/>
      <c r="BJ392" s="1365"/>
      <c r="BK392" s="1365"/>
      <c r="BL392" s="1365"/>
      <c r="BM392" s="1365"/>
      <c r="BN392" s="1365"/>
      <c r="BO392" s="1365"/>
      <c r="BP392" s="1365"/>
      <c r="BQ392" s="1365"/>
      <c r="BR392" s="1365"/>
      <c r="BS392" s="1365"/>
    </row>
    <row r="393" spans="6:71">
      <c r="F393" s="622">
        <v>10.06</v>
      </c>
      <c r="G393" s="625" t="s">
        <v>78</v>
      </c>
      <c r="L393" s="626">
        <v>102.09</v>
      </c>
      <c r="M393" s="626" t="s">
        <v>44</v>
      </c>
      <c r="V393" s="622">
        <v>110.01</v>
      </c>
      <c r="W393" s="625" t="s">
        <v>78</v>
      </c>
      <c r="AB393" s="626">
        <v>27.01</v>
      </c>
      <c r="AC393" s="626" t="s">
        <v>51</v>
      </c>
      <c r="AJ393" s="622">
        <v>6.09</v>
      </c>
      <c r="AK393" s="625" t="s">
        <v>78</v>
      </c>
      <c r="AP393" s="1837"/>
      <c r="AQ393" s="1837"/>
      <c r="AZ393" s="622">
        <v>93.23</v>
      </c>
      <c r="BA393" s="625" t="s">
        <v>78</v>
      </c>
      <c r="BF393" s="1837"/>
      <c r="BG393" s="1837"/>
      <c r="BI393" s="1365"/>
      <c r="BJ393" s="1365"/>
      <c r="BK393" s="1365"/>
      <c r="BL393" s="1365"/>
      <c r="BM393" s="1365"/>
      <c r="BN393" s="1365"/>
      <c r="BO393" s="1365"/>
      <c r="BP393" s="1365"/>
      <c r="BQ393" s="1365"/>
      <c r="BR393" s="1365"/>
      <c r="BS393" s="1365"/>
    </row>
    <row r="394" spans="6:71">
      <c r="F394" s="622">
        <v>11.03</v>
      </c>
      <c r="G394" s="625" t="s">
        <v>78</v>
      </c>
      <c r="L394" s="626">
        <v>102.1</v>
      </c>
      <c r="M394" s="626" t="s">
        <v>44</v>
      </c>
      <c r="V394" s="622">
        <v>110.03</v>
      </c>
      <c r="W394" s="625" t="s">
        <v>78</v>
      </c>
      <c r="AB394" s="626">
        <v>27.02</v>
      </c>
      <c r="AC394" s="626" t="s">
        <v>32</v>
      </c>
      <c r="AJ394" s="622">
        <v>6.1</v>
      </c>
      <c r="AK394" s="625" t="s">
        <v>78</v>
      </c>
      <c r="AP394" s="1837"/>
      <c r="AQ394" s="1837"/>
      <c r="AZ394" s="622">
        <v>93.24</v>
      </c>
      <c r="BA394" s="625" t="s">
        <v>78</v>
      </c>
      <c r="BF394" s="1837"/>
      <c r="BG394" s="1837"/>
      <c r="BI394" s="1365"/>
      <c r="BJ394" s="1365"/>
      <c r="BK394" s="1365"/>
      <c r="BL394" s="1365"/>
      <c r="BM394" s="1365"/>
      <c r="BN394" s="1365"/>
      <c r="BO394" s="1365"/>
      <c r="BP394" s="1365"/>
      <c r="BQ394" s="1365"/>
      <c r="BR394" s="1365"/>
      <c r="BS394" s="1365"/>
    </row>
    <row r="395" spans="6:71">
      <c r="F395" s="622">
        <v>12.03</v>
      </c>
      <c r="G395" s="625" t="s">
        <v>78</v>
      </c>
      <c r="L395" s="626">
        <v>102.11</v>
      </c>
      <c r="M395" s="626" t="s">
        <v>44</v>
      </c>
      <c r="V395" s="622">
        <v>110.1</v>
      </c>
      <c r="W395" s="625" t="s">
        <v>63</v>
      </c>
      <c r="AB395" s="626">
        <v>27.02</v>
      </c>
      <c r="AC395" s="626" t="s">
        <v>71</v>
      </c>
      <c r="AJ395" s="622">
        <v>6.11</v>
      </c>
      <c r="AK395" s="625" t="s">
        <v>78</v>
      </c>
      <c r="AP395" s="1837"/>
      <c r="AQ395" s="1837"/>
      <c r="AZ395" s="622">
        <v>93.25</v>
      </c>
      <c r="BA395" s="622" t="s">
        <v>78</v>
      </c>
      <c r="BF395" s="1837"/>
      <c r="BG395" s="1837"/>
      <c r="BI395" s="1365"/>
      <c r="BJ395" s="1365"/>
      <c r="BK395" s="1365"/>
      <c r="BL395" s="1365"/>
      <c r="BM395" s="1365"/>
      <c r="BN395" s="1365"/>
      <c r="BO395" s="1365"/>
      <c r="BP395" s="1365"/>
      <c r="BQ395" s="1365"/>
      <c r="BR395" s="1365"/>
      <c r="BS395" s="1365"/>
    </row>
    <row r="396" spans="6:71">
      <c r="F396" s="622">
        <v>13.01</v>
      </c>
      <c r="G396" s="625" t="s">
        <v>78</v>
      </c>
      <c r="L396" s="626">
        <v>102.12</v>
      </c>
      <c r="M396" s="626" t="s">
        <v>44</v>
      </c>
      <c r="V396" s="622">
        <v>111</v>
      </c>
      <c r="W396" s="622" t="s">
        <v>49</v>
      </c>
      <c r="AB396" s="626">
        <v>27.02</v>
      </c>
      <c r="AC396" s="626" t="s">
        <v>76</v>
      </c>
      <c r="AJ396" s="622">
        <v>7.05</v>
      </c>
      <c r="AK396" s="625" t="s">
        <v>78</v>
      </c>
      <c r="AP396" s="1837"/>
      <c r="AQ396" s="1837"/>
      <c r="AZ396" s="622">
        <v>93.26</v>
      </c>
      <c r="BA396" s="622" t="s">
        <v>78</v>
      </c>
      <c r="BF396" s="1837"/>
      <c r="BG396" s="1837"/>
      <c r="BI396" s="1365"/>
      <c r="BJ396" s="1365"/>
      <c r="BK396" s="1365"/>
      <c r="BL396" s="1365"/>
      <c r="BM396" s="1365"/>
      <c r="BN396" s="1365"/>
      <c r="BO396" s="1365"/>
      <c r="BP396" s="1365"/>
      <c r="BQ396" s="1365"/>
      <c r="BR396" s="1365"/>
      <c r="BS396" s="1365"/>
    </row>
    <row r="397" spans="6:71">
      <c r="F397" s="622">
        <v>14.01</v>
      </c>
      <c r="G397" s="625" t="s">
        <v>78</v>
      </c>
      <c r="L397" s="626">
        <v>102.13</v>
      </c>
      <c r="M397" s="626" t="s">
        <v>44</v>
      </c>
      <c r="V397" s="622">
        <v>111</v>
      </c>
      <c r="W397" s="622" t="s">
        <v>91</v>
      </c>
      <c r="AB397" s="626">
        <v>27.02</v>
      </c>
      <c r="AC397" s="626" t="s">
        <v>78</v>
      </c>
      <c r="AJ397" s="622">
        <v>7.1</v>
      </c>
      <c r="AK397" s="625" t="s">
        <v>78</v>
      </c>
      <c r="AP397" s="1837"/>
      <c r="AQ397" s="1837"/>
      <c r="AZ397" s="622">
        <v>93.27</v>
      </c>
      <c r="BA397" s="625" t="s">
        <v>78</v>
      </c>
      <c r="BF397" s="1837"/>
      <c r="BG397" s="1837"/>
      <c r="BI397" s="1365"/>
      <c r="BJ397" s="1365"/>
      <c r="BK397" s="1365"/>
      <c r="BL397" s="1365"/>
      <c r="BM397" s="1365"/>
      <c r="BN397" s="1365"/>
      <c r="BO397" s="1365"/>
      <c r="BP397" s="1365"/>
      <c r="BQ397" s="1365"/>
      <c r="BR397" s="1365"/>
      <c r="BS397" s="1365"/>
    </row>
    <row r="398" spans="6:71">
      <c r="F398" s="622">
        <v>14.02</v>
      </c>
      <c r="G398" s="625" t="s">
        <v>78</v>
      </c>
      <c r="L398" s="626">
        <v>102.15</v>
      </c>
      <c r="M398" s="626" t="s">
        <v>44</v>
      </c>
      <c r="V398" s="622">
        <v>111.01</v>
      </c>
      <c r="W398" s="625" t="s">
        <v>78</v>
      </c>
      <c r="AB398" s="626">
        <v>27.03</v>
      </c>
      <c r="AC398" s="626" t="s">
        <v>32</v>
      </c>
      <c r="AJ398" s="622">
        <v>7.11</v>
      </c>
      <c r="AK398" s="625" t="s">
        <v>78</v>
      </c>
      <c r="AP398" s="1837"/>
      <c r="AQ398" s="1837"/>
      <c r="AZ398" s="622">
        <v>95.05</v>
      </c>
      <c r="BA398" s="622" t="s">
        <v>78</v>
      </c>
      <c r="BF398" s="1837"/>
      <c r="BG398" s="1837"/>
      <c r="BI398" s="1365"/>
      <c r="BJ398" s="1365"/>
      <c r="BK398" s="1365"/>
      <c r="BL398" s="1365"/>
      <c r="BM398" s="1365"/>
      <c r="BN398" s="1365"/>
      <c r="BO398" s="1365"/>
      <c r="BP398" s="1365"/>
      <c r="BQ398" s="1365"/>
      <c r="BR398" s="1365"/>
      <c r="BS398" s="1365"/>
    </row>
    <row r="399" spans="6:71">
      <c r="F399" s="622">
        <v>15.01</v>
      </c>
      <c r="G399" s="625" t="s">
        <v>78</v>
      </c>
      <c r="L399" s="626">
        <v>104.01</v>
      </c>
      <c r="M399" s="626" t="s">
        <v>44</v>
      </c>
      <c r="V399" s="622">
        <v>111.03</v>
      </c>
      <c r="W399" s="625" t="s">
        <v>44</v>
      </c>
      <c r="AB399" s="626">
        <v>27.03</v>
      </c>
      <c r="AC399" s="626" t="s">
        <v>78</v>
      </c>
      <c r="AJ399" s="622">
        <v>7.12</v>
      </c>
      <c r="AK399" s="625" t="s">
        <v>78</v>
      </c>
      <c r="AP399" s="1837"/>
      <c r="AQ399" s="1837"/>
      <c r="AZ399" s="622">
        <v>95.06</v>
      </c>
      <c r="BA399" s="622" t="s">
        <v>78</v>
      </c>
      <c r="BF399" s="1837"/>
      <c r="BG399" s="1837"/>
      <c r="BI399" s="1365"/>
      <c r="BJ399" s="1365"/>
      <c r="BK399" s="1365"/>
      <c r="BL399" s="1365"/>
      <c r="BM399" s="1365"/>
      <c r="BN399" s="1365"/>
      <c r="BO399" s="1365"/>
      <c r="BP399" s="1365"/>
      <c r="BQ399" s="1365"/>
      <c r="BR399" s="1365"/>
      <c r="BS399" s="1365"/>
    </row>
    <row r="400" spans="6:71">
      <c r="F400" s="622">
        <v>15.02</v>
      </c>
      <c r="G400" s="625" t="s">
        <v>78</v>
      </c>
      <c r="L400" s="626">
        <v>104.05</v>
      </c>
      <c r="M400" s="626" t="s">
        <v>44</v>
      </c>
      <c r="V400" s="622">
        <v>112</v>
      </c>
      <c r="W400" s="622" t="s">
        <v>49</v>
      </c>
      <c r="AB400" s="626">
        <v>27.04</v>
      </c>
      <c r="AC400" s="626" t="s">
        <v>32</v>
      </c>
      <c r="AJ400" s="622">
        <v>7.13</v>
      </c>
      <c r="AK400" s="625" t="s">
        <v>78</v>
      </c>
      <c r="AP400" s="1837"/>
      <c r="AQ400" s="1837"/>
      <c r="AZ400" s="622">
        <v>96.01</v>
      </c>
      <c r="BA400" s="622" t="s">
        <v>78</v>
      </c>
      <c r="BF400" s="1837"/>
      <c r="BG400" s="1837"/>
      <c r="BI400" s="1365"/>
      <c r="BJ400" s="1365"/>
      <c r="BK400" s="1365"/>
      <c r="BL400" s="1365"/>
      <c r="BM400" s="1365"/>
      <c r="BN400" s="1365"/>
      <c r="BO400" s="1365"/>
      <c r="BP400" s="1365"/>
      <c r="BQ400" s="1365"/>
      <c r="BR400" s="1365"/>
      <c r="BS400" s="1365"/>
    </row>
    <row r="401" spans="6:71">
      <c r="F401" s="622">
        <v>16.05</v>
      </c>
      <c r="G401" s="625" t="s">
        <v>78</v>
      </c>
      <c r="L401" s="626">
        <v>104.08</v>
      </c>
      <c r="M401" s="626" t="s">
        <v>44</v>
      </c>
      <c r="V401" s="622">
        <v>112.01</v>
      </c>
      <c r="W401" s="625" t="s">
        <v>78</v>
      </c>
      <c r="AB401" s="626">
        <v>27.05</v>
      </c>
      <c r="AC401" s="626" t="s">
        <v>32</v>
      </c>
      <c r="AJ401" s="622">
        <v>7.14</v>
      </c>
      <c r="AK401" s="625" t="s">
        <v>78</v>
      </c>
      <c r="AP401" s="1837"/>
      <c r="AQ401" s="1837"/>
      <c r="AZ401" s="622">
        <v>96.02</v>
      </c>
      <c r="BA401" s="622" t="s">
        <v>78</v>
      </c>
      <c r="BF401" s="1837"/>
      <c r="BG401" s="1837"/>
      <c r="BI401" s="1365"/>
      <c r="BJ401" s="1365"/>
      <c r="BK401" s="1365"/>
      <c r="BL401" s="1365"/>
      <c r="BM401" s="1365"/>
      <c r="BN401" s="1365"/>
      <c r="BO401" s="1365"/>
      <c r="BP401" s="1365"/>
      <c r="BQ401" s="1365"/>
      <c r="BR401" s="1365"/>
      <c r="BS401" s="1365"/>
    </row>
    <row r="402" spans="6:71">
      <c r="F402" s="622">
        <v>16.059999999999999</v>
      </c>
      <c r="G402" s="625" t="s">
        <v>78</v>
      </c>
      <c r="L402" s="626">
        <v>104.12</v>
      </c>
      <c r="M402" s="626" t="s">
        <v>44</v>
      </c>
      <c r="V402" s="622">
        <v>112.02</v>
      </c>
      <c r="W402" s="625" t="s">
        <v>78</v>
      </c>
      <c r="AB402" s="626">
        <v>27.05</v>
      </c>
      <c r="AC402" s="626" t="s">
        <v>78</v>
      </c>
      <c r="AJ402" s="622">
        <v>7.15</v>
      </c>
      <c r="AK402" s="625" t="s">
        <v>78</v>
      </c>
      <c r="AP402" s="1837"/>
      <c r="AQ402" s="1837"/>
      <c r="AZ402" s="622">
        <v>97.05</v>
      </c>
      <c r="BA402" s="622" t="s">
        <v>78</v>
      </c>
      <c r="BF402" s="1837"/>
      <c r="BG402" s="1837"/>
      <c r="BI402" s="1365"/>
      <c r="BJ402" s="1365"/>
      <c r="BK402" s="1365"/>
      <c r="BL402" s="1365"/>
      <c r="BM402" s="1365"/>
      <c r="BN402" s="1365"/>
      <c r="BO402" s="1365"/>
      <c r="BP402" s="1365"/>
      <c r="BQ402" s="1365"/>
      <c r="BR402" s="1365"/>
      <c r="BS402" s="1365"/>
    </row>
    <row r="403" spans="6:71">
      <c r="F403" s="622">
        <v>17.010000000000002</v>
      </c>
      <c r="G403" s="625" t="s">
        <v>78</v>
      </c>
      <c r="L403" s="626">
        <v>104.13</v>
      </c>
      <c r="M403" s="626" t="s">
        <v>44</v>
      </c>
      <c r="V403" s="622">
        <v>112.02</v>
      </c>
      <c r="W403" s="622" t="s">
        <v>91</v>
      </c>
      <c r="AB403" s="626">
        <v>27.06</v>
      </c>
      <c r="AC403" s="626" t="s">
        <v>78</v>
      </c>
      <c r="AJ403" s="622">
        <v>7.17</v>
      </c>
      <c r="AK403" s="625" t="s">
        <v>78</v>
      </c>
      <c r="AP403" s="1837"/>
      <c r="AQ403" s="1837"/>
      <c r="AZ403" s="622">
        <v>100.1</v>
      </c>
      <c r="BA403" s="625" t="s">
        <v>78</v>
      </c>
      <c r="BF403" s="1837"/>
      <c r="BG403" s="1837"/>
      <c r="BI403" s="1365"/>
      <c r="BJ403" s="1365"/>
      <c r="BK403" s="1365"/>
      <c r="BL403" s="1365"/>
      <c r="BM403" s="1365"/>
      <c r="BN403" s="1365"/>
      <c r="BO403" s="1365"/>
      <c r="BP403" s="1365"/>
      <c r="BQ403" s="1365"/>
      <c r="BR403" s="1365"/>
      <c r="BS403" s="1365"/>
    </row>
    <row r="404" spans="6:71">
      <c r="F404" s="622">
        <v>17.02</v>
      </c>
      <c r="G404" s="625" t="s">
        <v>78</v>
      </c>
      <c r="L404" s="626">
        <v>104.14</v>
      </c>
      <c r="M404" s="626" t="s">
        <v>44</v>
      </c>
      <c r="V404" s="622">
        <v>112.03</v>
      </c>
      <c r="W404" s="622" t="s">
        <v>91</v>
      </c>
      <c r="AB404" s="626">
        <v>27.11</v>
      </c>
      <c r="AC404" s="626" t="s">
        <v>96</v>
      </c>
      <c r="AJ404" s="622">
        <v>7.18</v>
      </c>
      <c r="AK404" s="625" t="s">
        <v>78</v>
      </c>
      <c r="AP404" s="1837"/>
      <c r="AQ404" s="1837"/>
      <c r="AZ404" s="622">
        <v>100.15</v>
      </c>
      <c r="BA404" s="625" t="s">
        <v>78</v>
      </c>
      <c r="BF404" s="1837"/>
      <c r="BG404" s="1837"/>
      <c r="BI404" s="1365"/>
      <c r="BJ404" s="1365"/>
      <c r="BK404" s="1365"/>
      <c r="BL404" s="1365"/>
      <c r="BM404" s="1365"/>
      <c r="BN404" s="1365"/>
      <c r="BO404" s="1365"/>
      <c r="BP404" s="1365"/>
      <c r="BQ404" s="1365"/>
      <c r="BR404" s="1365"/>
      <c r="BS404" s="1365"/>
    </row>
    <row r="405" spans="6:71">
      <c r="F405" s="622">
        <v>17.03</v>
      </c>
      <c r="G405" s="625" t="s">
        <v>78</v>
      </c>
      <c r="L405" s="626">
        <v>104.15</v>
      </c>
      <c r="M405" s="626" t="s">
        <v>44</v>
      </c>
      <c r="V405" s="622">
        <v>112.04</v>
      </c>
      <c r="W405" s="625" t="s">
        <v>44</v>
      </c>
      <c r="AB405" s="626">
        <v>27.12</v>
      </c>
      <c r="AC405" s="626" t="s">
        <v>96</v>
      </c>
      <c r="AJ405" s="622">
        <v>7.19</v>
      </c>
      <c r="AK405" s="625" t="s">
        <v>78</v>
      </c>
      <c r="AP405" s="1837"/>
      <c r="AQ405" s="1837"/>
      <c r="AZ405" s="622">
        <v>100.21</v>
      </c>
      <c r="BA405" s="622" t="s">
        <v>78</v>
      </c>
      <c r="BF405" s="1837"/>
      <c r="BG405" s="1837"/>
      <c r="BI405" s="1365"/>
      <c r="BJ405" s="1365"/>
      <c r="BK405" s="1365"/>
      <c r="BL405" s="1365"/>
      <c r="BM405" s="1365"/>
      <c r="BN405" s="1365"/>
      <c r="BO405" s="1365"/>
      <c r="BP405" s="1365"/>
      <c r="BQ405" s="1365"/>
      <c r="BR405" s="1365"/>
      <c r="BS405" s="1365"/>
    </row>
    <row r="406" spans="6:71">
      <c r="F406" s="622">
        <v>18.010000000000002</v>
      </c>
      <c r="G406" s="625" t="s">
        <v>78</v>
      </c>
      <c r="L406" s="626">
        <v>104.16</v>
      </c>
      <c r="M406" s="626" t="s">
        <v>44</v>
      </c>
      <c r="V406" s="622">
        <v>112.04</v>
      </c>
      <c r="W406" s="622" t="s">
        <v>91</v>
      </c>
      <c r="AB406" s="626">
        <v>27.13</v>
      </c>
      <c r="AC406" s="626" t="s">
        <v>96</v>
      </c>
      <c r="AJ406" s="622">
        <v>7.2</v>
      </c>
      <c r="AK406" s="625" t="s">
        <v>78</v>
      </c>
      <c r="AP406" s="1837"/>
      <c r="AQ406" s="1837"/>
      <c r="AZ406" s="622">
        <v>100.22</v>
      </c>
      <c r="BA406" s="625" t="s">
        <v>78</v>
      </c>
      <c r="BF406" s="1837"/>
      <c r="BG406" s="1837"/>
      <c r="BI406" s="1365"/>
      <c r="BJ406" s="1365"/>
      <c r="BK406" s="1365"/>
      <c r="BL406" s="1365"/>
      <c r="BM406" s="1365"/>
      <c r="BN406" s="1365"/>
      <c r="BO406" s="1365"/>
      <c r="BP406" s="1365"/>
      <c r="BQ406" s="1365"/>
      <c r="BR406" s="1365"/>
      <c r="BS406" s="1365"/>
    </row>
    <row r="407" spans="6:71">
      <c r="F407" s="622">
        <v>18.02</v>
      </c>
      <c r="G407" s="625" t="s">
        <v>78</v>
      </c>
      <c r="L407" s="626">
        <v>104.17</v>
      </c>
      <c r="M407" s="626" t="s">
        <v>44</v>
      </c>
      <c r="V407" s="622">
        <v>112.05</v>
      </c>
      <c r="W407" s="625" t="s">
        <v>44</v>
      </c>
      <c r="AB407" s="626">
        <v>27.14</v>
      </c>
      <c r="AC407" s="626" t="s">
        <v>96</v>
      </c>
      <c r="AJ407" s="622">
        <v>8.0399999999999991</v>
      </c>
      <c r="AK407" s="625" t="s">
        <v>78</v>
      </c>
      <c r="AP407" s="1837"/>
      <c r="AQ407" s="1837"/>
      <c r="AZ407" s="622">
        <v>100.23</v>
      </c>
      <c r="BA407" s="625" t="s">
        <v>78</v>
      </c>
      <c r="BF407" s="1837"/>
      <c r="BG407" s="1837"/>
      <c r="BI407" s="1365"/>
      <c r="BJ407" s="1365"/>
      <c r="BK407" s="1365"/>
      <c r="BL407" s="1365"/>
      <c r="BM407" s="1365"/>
      <c r="BN407" s="1365"/>
      <c r="BO407" s="1365"/>
      <c r="BP407" s="1365"/>
      <c r="BQ407" s="1365"/>
      <c r="BR407" s="1365"/>
      <c r="BS407" s="1365"/>
    </row>
    <row r="408" spans="6:71">
      <c r="F408" s="622">
        <v>18.03</v>
      </c>
      <c r="G408" s="625" t="s">
        <v>78</v>
      </c>
      <c r="L408" s="626">
        <v>104.18</v>
      </c>
      <c r="M408" s="626" t="s">
        <v>44</v>
      </c>
      <c r="V408" s="622">
        <v>112.06</v>
      </c>
      <c r="W408" s="625" t="s">
        <v>63</v>
      </c>
      <c r="AB408" s="626">
        <v>27.16</v>
      </c>
      <c r="AC408" s="626" t="s">
        <v>96</v>
      </c>
      <c r="AJ408" s="622">
        <v>8.0500000000000007</v>
      </c>
      <c r="AK408" s="625" t="s">
        <v>78</v>
      </c>
      <c r="AP408" s="1837"/>
      <c r="AQ408" s="1837"/>
      <c r="AZ408" s="622">
        <v>100.24</v>
      </c>
      <c r="BA408" s="625" t="s">
        <v>78</v>
      </c>
      <c r="BF408" s="1837"/>
      <c r="BG408" s="1837"/>
      <c r="BI408" s="1365"/>
      <c r="BJ408" s="1365"/>
      <c r="BK408" s="1365"/>
      <c r="BL408" s="1365"/>
      <c r="BM408" s="1365"/>
      <c r="BN408" s="1365"/>
      <c r="BO408" s="1365"/>
      <c r="BP408" s="1365"/>
      <c r="BQ408" s="1365"/>
      <c r="BR408" s="1365"/>
      <c r="BS408" s="1365"/>
    </row>
    <row r="409" spans="6:71">
      <c r="F409" s="622">
        <v>19.010000000000002</v>
      </c>
      <c r="G409" s="625" t="s">
        <v>78</v>
      </c>
      <c r="L409" s="626">
        <v>105.09</v>
      </c>
      <c r="M409" s="626" t="s">
        <v>44</v>
      </c>
      <c r="V409" s="622">
        <v>113</v>
      </c>
      <c r="W409" s="622" t="s">
        <v>49</v>
      </c>
      <c r="AB409" s="626">
        <v>27.18</v>
      </c>
      <c r="AC409" s="626" t="s">
        <v>96</v>
      </c>
      <c r="AJ409" s="622">
        <v>8.06</v>
      </c>
      <c r="AK409" s="625" t="s">
        <v>78</v>
      </c>
      <c r="AP409" s="1837"/>
      <c r="AQ409" s="1837"/>
      <c r="AZ409" s="622">
        <v>100.25</v>
      </c>
      <c r="BA409" s="625" t="s">
        <v>78</v>
      </c>
      <c r="BF409" s="1837"/>
      <c r="BG409" s="1837"/>
      <c r="BI409" s="1365"/>
      <c r="BJ409" s="1365"/>
      <c r="BK409" s="1365"/>
      <c r="BL409" s="1365"/>
      <c r="BM409" s="1365"/>
      <c r="BN409" s="1365"/>
      <c r="BO409" s="1365"/>
      <c r="BP409" s="1365"/>
      <c r="BQ409" s="1365"/>
      <c r="BR409" s="1365"/>
      <c r="BS409" s="1365"/>
    </row>
    <row r="410" spans="6:71">
      <c r="F410" s="622">
        <v>19.03</v>
      </c>
      <c r="G410" s="625" t="s">
        <v>78</v>
      </c>
      <c r="L410" s="626">
        <v>106.06</v>
      </c>
      <c r="M410" s="626" t="s">
        <v>44</v>
      </c>
      <c r="V410" s="622">
        <v>113</v>
      </c>
      <c r="W410" s="625" t="s">
        <v>78</v>
      </c>
      <c r="AB410" s="626">
        <v>27.19</v>
      </c>
      <c r="AC410" s="626" t="s">
        <v>96</v>
      </c>
      <c r="AJ410" s="622">
        <v>8.07</v>
      </c>
      <c r="AK410" s="625" t="s">
        <v>78</v>
      </c>
      <c r="AP410" s="1837"/>
      <c r="AQ410" s="1837"/>
      <c r="AZ410" s="622">
        <v>100.26</v>
      </c>
      <c r="BA410" s="625" t="s">
        <v>78</v>
      </c>
      <c r="BF410" s="1837"/>
      <c r="BG410" s="1837"/>
      <c r="BI410" s="1365"/>
      <c r="BJ410" s="1365"/>
      <c r="BK410" s="1365"/>
      <c r="BL410" s="1365"/>
      <c r="BM410" s="1365"/>
      <c r="BN410" s="1365"/>
      <c r="BO410" s="1365"/>
      <c r="BP410" s="1365"/>
      <c r="BQ410" s="1365"/>
      <c r="BR410" s="1365"/>
      <c r="BS410" s="1365"/>
    </row>
    <row r="411" spans="6:71">
      <c r="F411" s="622">
        <v>19.04</v>
      </c>
      <c r="G411" s="625" t="s">
        <v>78</v>
      </c>
      <c r="L411" s="626">
        <v>107.02</v>
      </c>
      <c r="M411" s="626" t="s">
        <v>44</v>
      </c>
      <c r="V411" s="622">
        <v>113</v>
      </c>
      <c r="W411" s="622" t="s">
        <v>91</v>
      </c>
      <c r="AB411" s="626">
        <v>27.2</v>
      </c>
      <c r="AC411" s="626" t="s">
        <v>96</v>
      </c>
      <c r="AJ411" s="622">
        <v>8.08</v>
      </c>
      <c r="AK411" s="625" t="s">
        <v>78</v>
      </c>
      <c r="AP411" s="1837"/>
      <c r="AQ411" s="1837"/>
      <c r="AZ411" s="622">
        <v>102.03</v>
      </c>
      <c r="BA411" s="625" t="s">
        <v>63</v>
      </c>
      <c r="BF411" s="1837"/>
      <c r="BG411" s="1837"/>
      <c r="BI411" s="1365"/>
      <c r="BJ411" s="1365"/>
      <c r="BK411" s="1365"/>
      <c r="BL411" s="1365"/>
      <c r="BM411" s="1365"/>
      <c r="BN411" s="1365"/>
      <c r="BO411" s="1365"/>
      <c r="BP411" s="1365"/>
      <c r="BQ411" s="1365"/>
      <c r="BR411" s="1365"/>
      <c r="BS411" s="1365"/>
    </row>
    <row r="412" spans="6:71">
      <c r="F412" s="622">
        <v>20.010000000000002</v>
      </c>
      <c r="G412" s="625" t="s">
        <v>78</v>
      </c>
      <c r="L412" s="626">
        <v>108.01</v>
      </c>
      <c r="M412" s="626" t="s">
        <v>44</v>
      </c>
      <c r="V412" s="622">
        <v>113.01</v>
      </c>
      <c r="W412" s="625" t="s">
        <v>44</v>
      </c>
      <c r="AB412" s="626">
        <v>28</v>
      </c>
      <c r="AC412" s="626" t="s">
        <v>63</v>
      </c>
      <c r="AJ412" s="622">
        <v>9.0299999999999994</v>
      </c>
      <c r="AK412" s="625" t="s">
        <v>78</v>
      </c>
      <c r="AP412" s="1837"/>
      <c r="AQ412" s="1837"/>
      <c r="AZ412" s="622">
        <v>102.07</v>
      </c>
      <c r="BA412" s="625" t="s">
        <v>78</v>
      </c>
      <c r="BF412" s="1837"/>
      <c r="BG412" s="1837"/>
      <c r="BI412" s="1365"/>
      <c r="BJ412" s="1365"/>
      <c r="BK412" s="1365"/>
      <c r="BL412" s="1365"/>
      <c r="BM412" s="1365"/>
      <c r="BN412" s="1365"/>
      <c r="BO412" s="1365"/>
      <c r="BP412" s="1365"/>
      <c r="BQ412" s="1365"/>
      <c r="BR412" s="1365"/>
      <c r="BS412" s="1365"/>
    </row>
    <row r="413" spans="6:71">
      <c r="F413" s="622">
        <v>20.03</v>
      </c>
      <c r="G413" s="625" t="s">
        <v>78</v>
      </c>
      <c r="L413" s="626">
        <v>109.02</v>
      </c>
      <c r="M413" s="626" t="s">
        <v>44</v>
      </c>
      <c r="V413" s="622">
        <v>113.02</v>
      </c>
      <c r="W413" s="625" t="s">
        <v>44</v>
      </c>
      <c r="AB413" s="626">
        <v>28.02</v>
      </c>
      <c r="AC413" s="626" t="s">
        <v>51</v>
      </c>
      <c r="AJ413" s="622">
        <v>9.0399999999999991</v>
      </c>
      <c r="AK413" s="625" t="s">
        <v>78</v>
      </c>
      <c r="AP413" s="1837"/>
      <c r="AQ413" s="1837"/>
      <c r="AZ413" s="622">
        <v>102.08</v>
      </c>
      <c r="BA413" s="625" t="s">
        <v>78</v>
      </c>
      <c r="BF413" s="1837"/>
      <c r="BG413" s="1837"/>
      <c r="BI413" s="1365"/>
      <c r="BJ413" s="1365"/>
      <c r="BK413" s="1365"/>
      <c r="BL413" s="1365"/>
      <c r="BM413" s="1365"/>
      <c r="BN413" s="1365"/>
      <c r="BO413" s="1365"/>
      <c r="BP413" s="1365"/>
      <c r="BQ413" s="1365"/>
      <c r="BR413" s="1365"/>
      <c r="BS413" s="1365"/>
    </row>
    <row r="414" spans="6:71">
      <c r="F414" s="622">
        <v>20.04</v>
      </c>
      <c r="G414" s="625" t="s">
        <v>78</v>
      </c>
      <c r="L414" s="626">
        <v>109.03</v>
      </c>
      <c r="M414" s="626" t="s">
        <v>44</v>
      </c>
      <c r="V414" s="622">
        <v>114</v>
      </c>
      <c r="W414" s="625" t="s">
        <v>44</v>
      </c>
      <c r="AB414" s="626">
        <v>28.04</v>
      </c>
      <c r="AC414" s="626" t="s">
        <v>51</v>
      </c>
      <c r="AJ414" s="622">
        <v>9.06</v>
      </c>
      <c r="AK414" s="625" t="s">
        <v>78</v>
      </c>
      <c r="AP414" s="1837"/>
      <c r="AQ414" s="1837"/>
      <c r="AZ414" s="622">
        <v>102.13</v>
      </c>
      <c r="BA414" s="625" t="s">
        <v>63</v>
      </c>
      <c r="BF414" s="1837"/>
      <c r="BG414" s="1837"/>
      <c r="BI414" s="1365"/>
      <c r="BJ414" s="1365"/>
      <c r="BK414" s="1365"/>
      <c r="BL414" s="1365"/>
      <c r="BM414" s="1365"/>
      <c r="BN414" s="1365"/>
      <c r="BO414" s="1365"/>
      <c r="BP414" s="1365"/>
      <c r="BQ414" s="1365"/>
      <c r="BR414" s="1365"/>
      <c r="BS414" s="1365"/>
    </row>
    <row r="415" spans="6:71">
      <c r="F415" s="622">
        <v>22.02</v>
      </c>
      <c r="G415" s="625" t="s">
        <v>78</v>
      </c>
      <c r="L415" s="626">
        <v>109.04</v>
      </c>
      <c r="M415" s="626" t="s">
        <v>44</v>
      </c>
      <c r="V415" s="622">
        <v>114</v>
      </c>
      <c r="W415" s="622" t="s">
        <v>49</v>
      </c>
      <c r="AB415" s="626">
        <v>32.020000000000003</v>
      </c>
      <c r="AC415" s="626" t="s">
        <v>87</v>
      </c>
      <c r="AJ415" s="622">
        <v>9.07</v>
      </c>
      <c r="AK415" s="625" t="s">
        <v>78</v>
      </c>
      <c r="AP415" s="1837"/>
      <c r="AQ415" s="1837"/>
      <c r="AZ415" s="622">
        <v>102.13</v>
      </c>
      <c r="BA415" s="625" t="s">
        <v>78</v>
      </c>
      <c r="BF415" s="1837"/>
      <c r="BG415" s="1837"/>
      <c r="BI415" s="1365"/>
      <c r="BJ415" s="1365"/>
      <c r="BK415" s="1365"/>
      <c r="BL415" s="1365"/>
      <c r="BM415" s="1365"/>
      <c r="BN415" s="1365"/>
      <c r="BO415" s="1365"/>
      <c r="BP415" s="1365"/>
      <c r="BQ415" s="1365"/>
      <c r="BR415" s="1365"/>
      <c r="BS415" s="1365"/>
    </row>
    <row r="416" spans="6:71">
      <c r="F416" s="622">
        <v>23</v>
      </c>
      <c r="G416" s="625" t="s">
        <v>78</v>
      </c>
      <c r="L416" s="626">
        <v>109.05</v>
      </c>
      <c r="M416" s="626" t="s">
        <v>44</v>
      </c>
      <c r="V416" s="622">
        <v>114</v>
      </c>
      <c r="W416" s="622" t="s">
        <v>91</v>
      </c>
      <c r="AB416" s="626">
        <v>32.04</v>
      </c>
      <c r="AC416" s="626" t="s">
        <v>51</v>
      </c>
      <c r="AJ416" s="622">
        <v>9.08</v>
      </c>
      <c r="AK416" s="625" t="s">
        <v>78</v>
      </c>
      <c r="AP416" s="1837"/>
      <c r="AQ416" s="1837"/>
      <c r="AZ416" s="622">
        <v>103</v>
      </c>
      <c r="BA416" s="625" t="s">
        <v>91</v>
      </c>
      <c r="BF416" s="1837"/>
      <c r="BG416" s="1837"/>
      <c r="BI416" s="1365"/>
      <c r="BJ416" s="1365"/>
      <c r="BK416" s="1365"/>
      <c r="BL416" s="1365"/>
      <c r="BM416" s="1365"/>
      <c r="BN416" s="1365"/>
      <c r="BO416" s="1365"/>
      <c r="BP416" s="1365"/>
      <c r="BQ416" s="1365"/>
      <c r="BR416" s="1365"/>
      <c r="BS416" s="1365"/>
    </row>
    <row r="417" spans="6:71">
      <c r="F417" s="622">
        <v>24.02</v>
      </c>
      <c r="G417" s="625" t="s">
        <v>78</v>
      </c>
      <c r="L417" s="626">
        <v>110.01</v>
      </c>
      <c r="M417" s="626" t="s">
        <v>44</v>
      </c>
      <c r="V417" s="622">
        <v>114.03</v>
      </c>
      <c r="W417" s="625" t="s">
        <v>78</v>
      </c>
      <c r="AB417" s="626">
        <v>33.01</v>
      </c>
      <c r="AC417" s="626" t="s">
        <v>51</v>
      </c>
      <c r="AJ417" s="622">
        <v>10.029999999999999</v>
      </c>
      <c r="AK417" s="625" t="s">
        <v>78</v>
      </c>
      <c r="AP417" s="1837"/>
      <c r="AQ417" s="1837"/>
      <c r="AZ417" s="622">
        <v>103.07</v>
      </c>
      <c r="BA417" s="625" t="s">
        <v>36</v>
      </c>
      <c r="BF417" s="1837"/>
      <c r="BG417" s="1837"/>
      <c r="BI417" s="1365"/>
      <c r="BJ417" s="1365"/>
      <c r="BK417" s="1365"/>
      <c r="BL417" s="1365"/>
      <c r="BM417" s="1365"/>
      <c r="BN417" s="1365"/>
      <c r="BO417" s="1365"/>
      <c r="BP417" s="1365"/>
      <c r="BQ417" s="1365"/>
      <c r="BR417" s="1365"/>
      <c r="BS417" s="1365"/>
    </row>
    <row r="418" spans="6:71">
      <c r="F418" s="622">
        <v>24.03</v>
      </c>
      <c r="G418" s="625" t="s">
        <v>78</v>
      </c>
      <c r="L418" s="626">
        <v>110.02</v>
      </c>
      <c r="M418" s="626" t="s">
        <v>44</v>
      </c>
      <c r="V418" s="622">
        <v>114.04</v>
      </c>
      <c r="W418" s="625" t="s">
        <v>78</v>
      </c>
      <c r="AB418" s="626">
        <v>33.049999999999997</v>
      </c>
      <c r="AC418" s="626" t="s">
        <v>51</v>
      </c>
      <c r="AJ418" s="622">
        <v>10.039999999999999</v>
      </c>
      <c r="AK418" s="625" t="s">
        <v>78</v>
      </c>
      <c r="AP418" s="1837"/>
      <c r="AQ418" s="1837"/>
      <c r="AZ418" s="622">
        <v>104</v>
      </c>
      <c r="BA418" s="625" t="s">
        <v>85</v>
      </c>
      <c r="BF418" s="1837"/>
      <c r="BG418" s="1837"/>
      <c r="BI418" s="1365"/>
      <c r="BJ418" s="1365"/>
      <c r="BK418" s="1365"/>
      <c r="BL418" s="1365"/>
      <c r="BM418" s="1365"/>
      <c r="BN418" s="1365"/>
      <c r="BO418" s="1365"/>
      <c r="BP418" s="1365"/>
      <c r="BQ418" s="1365"/>
      <c r="BR418" s="1365"/>
      <c r="BS418" s="1365"/>
    </row>
    <row r="419" spans="6:71">
      <c r="F419" s="622">
        <v>24.04</v>
      </c>
      <c r="G419" s="625" t="s">
        <v>78</v>
      </c>
      <c r="L419" s="626">
        <v>111.02</v>
      </c>
      <c r="M419" s="626" t="s">
        <v>44</v>
      </c>
      <c r="V419" s="622">
        <v>115</v>
      </c>
      <c r="W419" s="622" t="s">
        <v>49</v>
      </c>
      <c r="AB419" s="626">
        <v>33.08</v>
      </c>
      <c r="AC419" s="626" t="s">
        <v>51</v>
      </c>
      <c r="AJ419" s="622">
        <v>10.050000000000001</v>
      </c>
      <c r="AK419" s="625" t="s">
        <v>78</v>
      </c>
      <c r="AP419" s="1837"/>
      <c r="AQ419" s="1837"/>
      <c r="AZ419" s="622">
        <v>104.02</v>
      </c>
      <c r="BA419" s="622" t="s">
        <v>49</v>
      </c>
      <c r="BF419" s="1837"/>
      <c r="BG419" s="1837"/>
      <c r="BI419" s="1365"/>
      <c r="BJ419" s="1365"/>
      <c r="BK419" s="1365"/>
      <c r="BL419" s="1365"/>
      <c r="BM419" s="1365"/>
      <c r="BN419" s="1365"/>
      <c r="BO419" s="1365"/>
      <c r="BP419" s="1365"/>
      <c r="BQ419" s="1365"/>
      <c r="BR419" s="1365"/>
      <c r="BS419" s="1365"/>
    </row>
    <row r="420" spans="6:71">
      <c r="F420" s="622">
        <v>25.01</v>
      </c>
      <c r="G420" s="625" t="s">
        <v>78</v>
      </c>
      <c r="L420" s="626">
        <v>111.06</v>
      </c>
      <c r="M420" s="626" t="s">
        <v>44</v>
      </c>
      <c r="V420" s="622">
        <v>115.01</v>
      </c>
      <c r="W420" s="622" t="s">
        <v>91</v>
      </c>
      <c r="AB420" s="626">
        <v>33.090000000000003</v>
      </c>
      <c r="AC420" s="626" t="s">
        <v>51</v>
      </c>
      <c r="AJ420" s="622">
        <v>10.06</v>
      </c>
      <c r="AK420" s="625" t="s">
        <v>78</v>
      </c>
      <c r="AP420" s="1837"/>
      <c r="AQ420" s="1837"/>
      <c r="AZ420" s="622">
        <v>104.2</v>
      </c>
      <c r="BA420" s="625" t="s">
        <v>44</v>
      </c>
      <c r="BF420" s="1837"/>
      <c r="BG420" s="1837"/>
      <c r="BI420" s="1365"/>
      <c r="BJ420" s="1365"/>
      <c r="BK420" s="1365"/>
      <c r="BL420" s="1365"/>
      <c r="BM420" s="1365"/>
      <c r="BN420" s="1365"/>
      <c r="BO420" s="1365"/>
      <c r="BP420" s="1365"/>
      <c r="BQ420" s="1365"/>
      <c r="BR420" s="1365"/>
      <c r="BS420" s="1365"/>
    </row>
    <row r="421" spans="6:71">
      <c r="F421" s="622">
        <v>25.02</v>
      </c>
      <c r="G421" s="625" t="s">
        <v>78</v>
      </c>
      <c r="L421" s="626">
        <v>112.01</v>
      </c>
      <c r="M421" s="626" t="s">
        <v>44</v>
      </c>
      <c r="V421" s="622">
        <v>116</v>
      </c>
      <c r="W421" s="622" t="s">
        <v>49</v>
      </c>
      <c r="AB421" s="626">
        <v>34</v>
      </c>
      <c r="AC421" s="626" t="s">
        <v>87</v>
      </c>
      <c r="AJ421" s="622">
        <v>10.07</v>
      </c>
      <c r="AK421" s="625" t="s">
        <v>78</v>
      </c>
      <c r="AP421" s="1837"/>
      <c r="AQ421" s="1837"/>
      <c r="AZ421" s="622">
        <v>105</v>
      </c>
      <c r="BA421" s="622" t="s">
        <v>85</v>
      </c>
      <c r="BF421" s="1837"/>
      <c r="BG421" s="1837"/>
      <c r="BI421" s="1365"/>
      <c r="BJ421" s="1365"/>
      <c r="BK421" s="1365"/>
      <c r="BL421" s="1365"/>
      <c r="BM421" s="1365"/>
      <c r="BN421" s="1365"/>
      <c r="BO421" s="1365"/>
      <c r="BP421" s="1365"/>
      <c r="BQ421" s="1365"/>
      <c r="BR421" s="1365"/>
      <c r="BS421" s="1365"/>
    </row>
    <row r="422" spans="6:71">
      <c r="F422" s="622">
        <v>26</v>
      </c>
      <c r="G422" s="625" t="s">
        <v>78</v>
      </c>
      <c r="L422" s="626">
        <v>112.02</v>
      </c>
      <c r="M422" s="626" t="s">
        <v>44</v>
      </c>
      <c r="V422" s="622">
        <v>116</v>
      </c>
      <c r="W422" s="625" t="s">
        <v>85</v>
      </c>
      <c r="AB422" s="626">
        <v>35.03</v>
      </c>
      <c r="AC422" s="626" t="s">
        <v>51</v>
      </c>
      <c r="AJ422" s="622">
        <v>10.08</v>
      </c>
      <c r="AK422" s="625" t="s">
        <v>78</v>
      </c>
      <c r="AP422" s="1837"/>
      <c r="AQ422" s="1837"/>
      <c r="AZ422" s="622">
        <v>105.01</v>
      </c>
      <c r="BA422" s="625" t="s">
        <v>63</v>
      </c>
      <c r="BF422" s="1837"/>
      <c r="BG422" s="1837"/>
      <c r="BI422" s="1365"/>
      <c r="BJ422" s="1365"/>
      <c r="BK422" s="1365"/>
      <c r="BL422" s="1365"/>
      <c r="BM422" s="1365"/>
      <c r="BN422" s="1365"/>
      <c r="BO422" s="1365"/>
      <c r="BP422" s="1365"/>
      <c r="BQ422" s="1365"/>
      <c r="BR422" s="1365"/>
      <c r="BS422" s="1365"/>
    </row>
    <row r="423" spans="6:71">
      <c r="F423" s="622">
        <v>28</v>
      </c>
      <c r="G423" s="625" t="s">
        <v>78</v>
      </c>
      <c r="L423" s="626">
        <v>1102.01</v>
      </c>
      <c r="M423" s="626" t="s">
        <v>45</v>
      </c>
      <c r="V423" s="622">
        <v>116.04</v>
      </c>
      <c r="W423" s="622" t="s">
        <v>91</v>
      </c>
      <c r="AB423" s="626">
        <v>35.04</v>
      </c>
      <c r="AC423" s="626" t="s">
        <v>87</v>
      </c>
      <c r="AJ423" s="622">
        <v>11.03</v>
      </c>
      <c r="AK423" s="625" t="s">
        <v>78</v>
      </c>
      <c r="AP423" s="1837"/>
      <c r="AQ423" s="1837"/>
      <c r="AZ423" s="622">
        <v>106.09</v>
      </c>
      <c r="BA423" s="625" t="s">
        <v>78</v>
      </c>
      <c r="BF423" s="1837"/>
      <c r="BG423" s="1837"/>
      <c r="BI423" s="1365"/>
      <c r="BJ423" s="1365"/>
      <c r="BK423" s="1365"/>
      <c r="BL423" s="1365"/>
      <c r="BM423" s="1365"/>
      <c r="BN423" s="1365"/>
      <c r="BO423" s="1365"/>
      <c r="BP423" s="1365"/>
      <c r="BQ423" s="1365"/>
      <c r="BR423" s="1365"/>
      <c r="BS423" s="1365"/>
    </row>
    <row r="424" spans="6:71">
      <c r="F424" s="622">
        <v>29</v>
      </c>
      <c r="G424" s="625" t="s">
        <v>78</v>
      </c>
      <c r="L424" s="626">
        <v>1105</v>
      </c>
      <c r="M424" s="626" t="s">
        <v>45</v>
      </c>
      <c r="V424" s="622">
        <v>116.1</v>
      </c>
      <c r="W424" s="625" t="s">
        <v>63</v>
      </c>
      <c r="AB424" s="626">
        <v>35.06</v>
      </c>
      <c r="AC424" s="626" t="s">
        <v>51</v>
      </c>
      <c r="AJ424" s="622">
        <v>12.07</v>
      </c>
      <c r="AK424" s="625" t="s">
        <v>78</v>
      </c>
      <c r="AP424" s="1837"/>
      <c r="AQ424" s="1837"/>
      <c r="AZ424" s="622">
        <v>107</v>
      </c>
      <c r="BA424" s="625" t="s">
        <v>49</v>
      </c>
      <c r="BF424" s="1837"/>
      <c r="BG424" s="1837"/>
      <c r="BI424" s="1365"/>
      <c r="BJ424" s="1365"/>
      <c r="BK424" s="1365"/>
      <c r="BL424" s="1365"/>
      <c r="BM424" s="1365"/>
      <c r="BN424" s="1365"/>
      <c r="BO424" s="1365"/>
      <c r="BP424" s="1365"/>
      <c r="BQ424" s="1365"/>
      <c r="BR424" s="1365"/>
      <c r="BS424" s="1365"/>
    </row>
    <row r="425" spans="6:71">
      <c r="F425" s="622">
        <v>30.01</v>
      </c>
      <c r="G425" s="625" t="s">
        <v>78</v>
      </c>
      <c r="L425" s="626">
        <v>1106.01</v>
      </c>
      <c r="M425" s="626" t="s">
        <v>45</v>
      </c>
      <c r="V425" s="622">
        <v>116.14</v>
      </c>
      <c r="W425" s="625" t="s">
        <v>63</v>
      </c>
      <c r="AB425" s="626">
        <v>35.07</v>
      </c>
      <c r="AC425" s="626" t="s">
        <v>87</v>
      </c>
      <c r="AJ425" s="622">
        <v>12.08</v>
      </c>
      <c r="AK425" s="625" t="s">
        <v>78</v>
      </c>
      <c r="AP425" s="1837"/>
      <c r="AQ425" s="1837"/>
      <c r="AZ425" s="622">
        <v>107.01</v>
      </c>
      <c r="BA425" s="625" t="s">
        <v>44</v>
      </c>
      <c r="BF425" s="1837"/>
      <c r="BG425" s="1837"/>
      <c r="BI425" s="1365"/>
      <c r="BJ425" s="1365"/>
      <c r="BK425" s="1365"/>
      <c r="BL425" s="1365"/>
      <c r="BM425" s="1365"/>
      <c r="BN425" s="1365"/>
      <c r="BO425" s="1365"/>
      <c r="BP425" s="1365"/>
      <c r="BQ425" s="1365"/>
      <c r="BR425" s="1365"/>
      <c r="BS425" s="1365"/>
    </row>
    <row r="426" spans="6:71">
      <c r="F426" s="622">
        <v>30.03</v>
      </c>
      <c r="G426" s="625" t="s">
        <v>78</v>
      </c>
      <c r="L426" s="626">
        <v>1107</v>
      </c>
      <c r="M426" s="626" t="s">
        <v>45</v>
      </c>
      <c r="V426" s="622">
        <v>116.15</v>
      </c>
      <c r="W426" s="625" t="s">
        <v>63</v>
      </c>
      <c r="AB426" s="626">
        <v>35.090000000000003</v>
      </c>
      <c r="AC426" s="626" t="s">
        <v>87</v>
      </c>
      <c r="AJ426" s="622">
        <v>12.09</v>
      </c>
      <c r="AK426" s="625" t="s">
        <v>78</v>
      </c>
      <c r="AP426" s="1837"/>
      <c r="AQ426" s="1837"/>
      <c r="AZ426" s="622">
        <v>107.05</v>
      </c>
      <c r="BA426" s="622" t="s">
        <v>95</v>
      </c>
      <c r="BF426" s="1837"/>
      <c r="BG426" s="1837"/>
      <c r="BI426" s="1365"/>
      <c r="BJ426" s="1365"/>
      <c r="BK426" s="1365"/>
      <c r="BL426" s="1365"/>
      <c r="BM426" s="1365"/>
      <c r="BN426" s="1365"/>
      <c r="BO426" s="1365"/>
      <c r="BP426" s="1365"/>
      <c r="BQ426" s="1365"/>
      <c r="BR426" s="1365"/>
      <c r="BS426" s="1365"/>
    </row>
    <row r="427" spans="6:71">
      <c r="F427" s="622">
        <v>30.04</v>
      </c>
      <c r="G427" s="625" t="s">
        <v>78</v>
      </c>
      <c r="L427" s="626">
        <v>1108</v>
      </c>
      <c r="M427" s="626" t="s">
        <v>45</v>
      </c>
      <c r="V427" s="622">
        <v>117</v>
      </c>
      <c r="W427" s="625" t="s">
        <v>78</v>
      </c>
      <c r="AB427" s="626">
        <v>35.11</v>
      </c>
      <c r="AC427" s="626" t="s">
        <v>87</v>
      </c>
      <c r="AJ427" s="622">
        <v>13.01</v>
      </c>
      <c r="AK427" s="625" t="s">
        <v>78</v>
      </c>
      <c r="AP427" s="1837"/>
      <c r="AQ427" s="1837"/>
      <c r="AZ427" s="622">
        <v>107.06</v>
      </c>
      <c r="BA427" s="622" t="s">
        <v>78</v>
      </c>
      <c r="BF427" s="1837"/>
      <c r="BG427" s="1837"/>
      <c r="BI427" s="1365"/>
      <c r="BJ427" s="1365"/>
      <c r="BK427" s="1365"/>
      <c r="BL427" s="1365"/>
      <c r="BM427" s="1365"/>
      <c r="BN427" s="1365"/>
      <c r="BO427" s="1365"/>
      <c r="BP427" s="1365"/>
      <c r="BQ427" s="1365"/>
      <c r="BR427" s="1365"/>
      <c r="BS427" s="1365"/>
    </row>
    <row r="428" spans="6:71">
      <c r="F428" s="622">
        <v>31</v>
      </c>
      <c r="G428" s="625" t="s">
        <v>78</v>
      </c>
      <c r="L428" s="626">
        <v>1109.04</v>
      </c>
      <c r="M428" s="626" t="s">
        <v>45</v>
      </c>
      <c r="V428" s="622">
        <v>117.01</v>
      </c>
      <c r="W428" s="625" t="s">
        <v>85</v>
      </c>
      <c r="AB428" s="626">
        <v>36</v>
      </c>
      <c r="AC428" s="626" t="s">
        <v>87</v>
      </c>
      <c r="AJ428" s="622">
        <v>14.01</v>
      </c>
      <c r="AK428" s="625" t="s">
        <v>78</v>
      </c>
      <c r="AP428" s="1837"/>
      <c r="AQ428" s="1837"/>
      <c r="AZ428" s="622">
        <v>108</v>
      </c>
      <c r="BA428" s="625" t="s">
        <v>49</v>
      </c>
      <c r="BF428" s="1837"/>
      <c r="BG428" s="1837"/>
      <c r="BI428" s="1365"/>
      <c r="BJ428" s="1365"/>
      <c r="BK428" s="1365"/>
      <c r="BL428" s="1365"/>
      <c r="BM428" s="1365"/>
      <c r="BN428" s="1365"/>
      <c r="BO428" s="1365"/>
      <c r="BP428" s="1365"/>
      <c r="BQ428" s="1365"/>
      <c r="BR428" s="1365"/>
      <c r="BS428" s="1365"/>
    </row>
    <row r="429" spans="6:71">
      <c r="F429" s="622">
        <v>34</v>
      </c>
      <c r="G429" s="625" t="s">
        <v>78</v>
      </c>
      <c r="L429" s="626">
        <v>101.01</v>
      </c>
      <c r="M429" s="626" t="s">
        <v>47</v>
      </c>
      <c r="V429" s="622">
        <v>117.02</v>
      </c>
      <c r="W429" s="625" t="s">
        <v>85</v>
      </c>
      <c r="AB429" s="626">
        <v>36.03</v>
      </c>
      <c r="AC429" s="626" t="s">
        <v>51</v>
      </c>
      <c r="AJ429" s="622">
        <v>14.02</v>
      </c>
      <c r="AK429" s="625" t="s">
        <v>78</v>
      </c>
      <c r="AP429" s="1837"/>
      <c r="AQ429" s="1837"/>
      <c r="AZ429" s="622">
        <v>108.02</v>
      </c>
      <c r="BA429" s="625" t="s">
        <v>70</v>
      </c>
      <c r="BF429" s="1837"/>
      <c r="BG429" s="1837"/>
      <c r="BI429" s="1365"/>
      <c r="BJ429" s="1365"/>
      <c r="BK429" s="1365"/>
      <c r="BL429" s="1365"/>
      <c r="BM429" s="1365"/>
      <c r="BN429" s="1365"/>
      <c r="BO429" s="1365"/>
      <c r="BP429" s="1365"/>
      <c r="BQ429" s="1365"/>
      <c r="BR429" s="1365"/>
      <c r="BS429" s="1365"/>
    </row>
    <row r="430" spans="6:71">
      <c r="F430" s="622">
        <v>36.01</v>
      </c>
      <c r="G430" s="625" t="s">
        <v>78</v>
      </c>
      <c r="L430" s="626">
        <v>101.02</v>
      </c>
      <c r="M430" s="626" t="s">
        <v>47</v>
      </c>
      <c r="V430" s="622">
        <v>117.04</v>
      </c>
      <c r="W430" s="622" t="s">
        <v>91</v>
      </c>
      <c r="AB430" s="626">
        <v>36.08</v>
      </c>
      <c r="AC430" s="626" t="s">
        <v>51</v>
      </c>
      <c r="AJ430" s="622">
        <v>15.01</v>
      </c>
      <c r="AK430" s="625" t="s">
        <v>78</v>
      </c>
      <c r="AP430" s="1837"/>
      <c r="AQ430" s="1837"/>
      <c r="AZ430" s="622">
        <v>108.03</v>
      </c>
      <c r="BA430" s="622" t="s">
        <v>78</v>
      </c>
      <c r="BF430" s="1837"/>
      <c r="BG430" s="1837"/>
      <c r="BI430" s="1365"/>
      <c r="BJ430" s="1365"/>
      <c r="BK430" s="1365"/>
      <c r="BL430" s="1365"/>
      <c r="BM430" s="1365"/>
      <c r="BN430" s="1365"/>
      <c r="BO430" s="1365"/>
      <c r="BP430" s="1365"/>
      <c r="BQ430" s="1365"/>
      <c r="BR430" s="1365"/>
      <c r="BS430" s="1365"/>
    </row>
    <row r="431" spans="6:71">
      <c r="F431" s="622">
        <v>36.020000000000003</v>
      </c>
      <c r="G431" s="625" t="s">
        <v>78</v>
      </c>
      <c r="L431" s="626">
        <v>102</v>
      </c>
      <c r="M431" s="626" t="s">
        <v>47</v>
      </c>
      <c r="V431" s="622">
        <v>117.31</v>
      </c>
      <c r="W431" s="622" t="s">
        <v>91</v>
      </c>
      <c r="AB431" s="626">
        <v>36.090000000000003</v>
      </c>
      <c r="AC431" s="626" t="s">
        <v>51</v>
      </c>
      <c r="AJ431" s="622">
        <v>15.02</v>
      </c>
      <c r="AK431" s="625" t="s">
        <v>78</v>
      </c>
      <c r="AP431" s="1837"/>
      <c r="AQ431" s="1837"/>
      <c r="AZ431" s="622">
        <v>108.04</v>
      </c>
      <c r="BA431" s="625" t="s">
        <v>78</v>
      </c>
      <c r="BF431" s="1837"/>
      <c r="BG431" s="1837"/>
      <c r="BI431" s="1365"/>
      <c r="BJ431" s="1365"/>
      <c r="BK431" s="1365"/>
      <c r="BL431" s="1365"/>
      <c r="BM431" s="1365"/>
      <c r="BN431" s="1365"/>
      <c r="BO431" s="1365"/>
      <c r="BP431" s="1365"/>
      <c r="BQ431" s="1365"/>
      <c r="BR431" s="1365"/>
      <c r="BS431" s="1365"/>
    </row>
    <row r="432" spans="6:71">
      <c r="F432" s="622">
        <v>39.11</v>
      </c>
      <c r="G432" s="625" t="s">
        <v>78</v>
      </c>
      <c r="L432" s="626">
        <v>104.03</v>
      </c>
      <c r="M432" s="626" t="s">
        <v>47</v>
      </c>
      <c r="V432" s="622">
        <v>117.32</v>
      </c>
      <c r="W432" s="622" t="s">
        <v>91</v>
      </c>
      <c r="AB432" s="626">
        <v>36.1</v>
      </c>
      <c r="AC432" s="626" t="s">
        <v>51</v>
      </c>
      <c r="AJ432" s="622">
        <v>16.05</v>
      </c>
      <c r="AK432" s="625" t="s">
        <v>78</v>
      </c>
      <c r="AP432" s="1837"/>
      <c r="AQ432" s="1837"/>
      <c r="AZ432" s="622">
        <v>108.05</v>
      </c>
      <c r="BA432" s="625" t="s">
        <v>63</v>
      </c>
      <c r="BF432" s="1837"/>
      <c r="BG432" s="1837"/>
      <c r="BI432" s="1365"/>
      <c r="BJ432" s="1365"/>
      <c r="BK432" s="1365"/>
      <c r="BL432" s="1365"/>
      <c r="BM432" s="1365"/>
      <c r="BN432" s="1365"/>
      <c r="BO432" s="1365"/>
      <c r="BP432" s="1365"/>
      <c r="BQ432" s="1365"/>
      <c r="BR432" s="1365"/>
      <c r="BS432" s="1365"/>
    </row>
    <row r="433" spans="6:71">
      <c r="F433" s="622">
        <v>41.03</v>
      </c>
      <c r="G433" s="625" t="s">
        <v>78</v>
      </c>
      <c r="L433" s="626">
        <v>104.04</v>
      </c>
      <c r="M433" s="626" t="s">
        <v>47</v>
      </c>
      <c r="V433" s="622">
        <v>118</v>
      </c>
      <c r="W433" s="622" t="s">
        <v>49</v>
      </c>
      <c r="AB433" s="626">
        <v>36.11</v>
      </c>
      <c r="AC433" s="626" t="s">
        <v>51</v>
      </c>
      <c r="AJ433" s="622">
        <v>17.010000000000002</v>
      </c>
      <c r="AK433" s="625" t="s">
        <v>78</v>
      </c>
      <c r="AP433" s="1837"/>
      <c r="AQ433" s="1837"/>
      <c r="AZ433" s="622">
        <v>108.05</v>
      </c>
      <c r="BA433" s="625" t="s">
        <v>78</v>
      </c>
      <c r="BF433" s="1837"/>
      <c r="BG433" s="1837"/>
      <c r="BI433" s="1365"/>
      <c r="BJ433" s="1365"/>
      <c r="BK433" s="1365"/>
      <c r="BL433" s="1365"/>
      <c r="BM433" s="1365"/>
      <c r="BN433" s="1365"/>
      <c r="BO433" s="1365"/>
      <c r="BP433" s="1365"/>
      <c r="BQ433" s="1365"/>
      <c r="BR433" s="1365"/>
      <c r="BS433" s="1365"/>
    </row>
    <row r="434" spans="6:71">
      <c r="F434" s="622">
        <v>44.04</v>
      </c>
      <c r="G434" s="625" t="s">
        <v>78</v>
      </c>
      <c r="L434" s="626">
        <v>104.05</v>
      </c>
      <c r="M434" s="626" t="s">
        <v>47</v>
      </c>
      <c r="V434" s="622">
        <v>119.04</v>
      </c>
      <c r="W434" s="625" t="s">
        <v>63</v>
      </c>
      <c r="AB434" s="626">
        <v>36.119999999999997</v>
      </c>
      <c r="AC434" s="626" t="s">
        <v>51</v>
      </c>
      <c r="AJ434" s="622">
        <v>17.02</v>
      </c>
      <c r="AK434" s="625" t="s">
        <v>78</v>
      </c>
      <c r="AP434" s="1837"/>
      <c r="AQ434" s="1837"/>
      <c r="AZ434" s="622">
        <v>108.06</v>
      </c>
      <c r="BA434" s="622" t="s">
        <v>78</v>
      </c>
      <c r="BF434" s="1837"/>
      <c r="BG434" s="1837"/>
      <c r="BI434" s="1365"/>
      <c r="BJ434" s="1365"/>
      <c r="BK434" s="1365"/>
      <c r="BL434" s="1365"/>
      <c r="BM434" s="1365"/>
      <c r="BN434" s="1365"/>
      <c r="BO434" s="1365"/>
      <c r="BP434" s="1365"/>
      <c r="BQ434" s="1365"/>
      <c r="BR434" s="1365"/>
      <c r="BS434" s="1365"/>
    </row>
    <row r="435" spans="6:71">
      <c r="F435" s="622">
        <v>49.01</v>
      </c>
      <c r="G435" s="625" t="s">
        <v>78</v>
      </c>
      <c r="L435" s="626">
        <v>104.06</v>
      </c>
      <c r="M435" s="626" t="s">
        <v>47</v>
      </c>
      <c r="V435" s="622">
        <v>119.05</v>
      </c>
      <c r="W435" s="625" t="s">
        <v>63</v>
      </c>
      <c r="AB435" s="626">
        <v>36.130000000000003</v>
      </c>
      <c r="AC435" s="626" t="s">
        <v>51</v>
      </c>
      <c r="AJ435" s="622">
        <v>17.04</v>
      </c>
      <c r="AK435" s="625" t="s">
        <v>78</v>
      </c>
      <c r="AP435" s="1837"/>
      <c r="AQ435" s="1837"/>
      <c r="AZ435" s="622">
        <v>108.08</v>
      </c>
      <c r="BA435" s="625" t="s">
        <v>63</v>
      </c>
      <c r="BF435" s="1837"/>
      <c r="BG435" s="1837"/>
      <c r="BI435" s="1365"/>
      <c r="BJ435" s="1365"/>
      <c r="BK435" s="1365"/>
      <c r="BL435" s="1365"/>
      <c r="BM435" s="1365"/>
      <c r="BN435" s="1365"/>
      <c r="BO435" s="1365"/>
      <c r="BP435" s="1365"/>
      <c r="BQ435" s="1365"/>
      <c r="BR435" s="1365"/>
      <c r="BS435" s="1365"/>
    </row>
    <row r="436" spans="6:71">
      <c r="F436" s="622">
        <v>49.02</v>
      </c>
      <c r="G436" s="625" t="s">
        <v>78</v>
      </c>
      <c r="L436" s="626">
        <v>9701.02</v>
      </c>
      <c r="M436" s="626" t="s">
        <v>48</v>
      </c>
      <c r="V436" s="622">
        <v>120</v>
      </c>
      <c r="W436" s="625" t="s">
        <v>78</v>
      </c>
      <c r="AB436" s="626">
        <v>36.14</v>
      </c>
      <c r="AC436" s="626" t="s">
        <v>51</v>
      </c>
      <c r="AJ436" s="622">
        <v>17.05</v>
      </c>
      <c r="AK436" s="625" t="s">
        <v>78</v>
      </c>
      <c r="AP436" s="1837"/>
      <c r="AQ436" s="1837"/>
      <c r="AZ436" s="622">
        <v>108.09</v>
      </c>
      <c r="BA436" s="625" t="s">
        <v>63</v>
      </c>
      <c r="BF436" s="1837"/>
      <c r="BG436" s="1837"/>
      <c r="BI436" s="1365"/>
      <c r="BJ436" s="1365"/>
      <c r="BK436" s="1365"/>
      <c r="BL436" s="1365"/>
      <c r="BM436" s="1365"/>
      <c r="BN436" s="1365"/>
      <c r="BO436" s="1365"/>
      <c r="BP436" s="1365"/>
      <c r="BQ436" s="1365"/>
      <c r="BR436" s="1365"/>
      <c r="BS436" s="1365"/>
    </row>
    <row r="437" spans="6:71">
      <c r="F437" s="622">
        <v>50.02</v>
      </c>
      <c r="G437" s="625" t="s">
        <v>78</v>
      </c>
      <c r="L437" s="626">
        <v>9702</v>
      </c>
      <c r="M437" s="626" t="s">
        <v>48</v>
      </c>
      <c r="V437" s="622">
        <v>120</v>
      </c>
      <c r="W437" s="625" t="s">
        <v>85</v>
      </c>
      <c r="AB437" s="626">
        <v>37</v>
      </c>
      <c r="AC437" s="626" t="s">
        <v>51</v>
      </c>
      <c r="AJ437" s="622">
        <v>18.010000000000002</v>
      </c>
      <c r="AK437" s="625" t="s">
        <v>78</v>
      </c>
      <c r="AP437" s="1837"/>
      <c r="AQ437" s="1837"/>
      <c r="AZ437" s="622">
        <v>108.11</v>
      </c>
      <c r="BA437" s="625" t="s">
        <v>63</v>
      </c>
      <c r="BF437" s="1837"/>
      <c r="BG437" s="1837"/>
      <c r="BI437" s="1365"/>
      <c r="BJ437" s="1365"/>
      <c r="BK437" s="1365"/>
      <c r="BL437" s="1365"/>
      <c r="BM437" s="1365"/>
      <c r="BN437" s="1365"/>
      <c r="BO437" s="1365"/>
      <c r="BP437" s="1365"/>
      <c r="BQ437" s="1365"/>
      <c r="BR437" s="1365"/>
      <c r="BS437" s="1365"/>
    </row>
    <row r="438" spans="6:71">
      <c r="F438" s="622">
        <v>51.02</v>
      </c>
      <c r="G438" s="625" t="s">
        <v>78</v>
      </c>
      <c r="L438" s="626">
        <v>7</v>
      </c>
      <c r="M438" s="626" t="s">
        <v>49</v>
      </c>
      <c r="V438" s="622">
        <v>120.02</v>
      </c>
      <c r="W438" s="625" t="s">
        <v>63</v>
      </c>
      <c r="AB438" s="626">
        <v>37.020000000000003</v>
      </c>
      <c r="AC438" s="626" t="s">
        <v>78</v>
      </c>
      <c r="AJ438" s="622">
        <v>18.02</v>
      </c>
      <c r="AK438" s="625" t="s">
        <v>78</v>
      </c>
      <c r="AP438" s="1837"/>
      <c r="AQ438" s="1837"/>
      <c r="AZ438" s="622">
        <v>108.14</v>
      </c>
      <c r="BA438" s="625" t="s">
        <v>63</v>
      </c>
      <c r="BF438" s="1837"/>
      <c r="BG438" s="1837"/>
      <c r="BI438" s="1365"/>
      <c r="BJ438" s="1365"/>
      <c r="BK438" s="1365"/>
      <c r="BL438" s="1365"/>
      <c r="BM438" s="1365"/>
      <c r="BN438" s="1365"/>
      <c r="BO438" s="1365"/>
      <c r="BP438" s="1365"/>
      <c r="BQ438" s="1365"/>
      <c r="BR438" s="1365"/>
      <c r="BS438" s="1365"/>
    </row>
    <row r="439" spans="6:71">
      <c r="F439" s="622">
        <v>51.03</v>
      </c>
      <c r="G439" s="625" t="s">
        <v>78</v>
      </c>
      <c r="L439" s="626">
        <v>8</v>
      </c>
      <c r="M439" s="626" t="s">
        <v>49</v>
      </c>
      <c r="V439" s="622">
        <v>121</v>
      </c>
      <c r="W439" s="622" t="s">
        <v>49</v>
      </c>
      <c r="AB439" s="626">
        <v>37.03</v>
      </c>
      <c r="AC439" s="626" t="s">
        <v>78</v>
      </c>
      <c r="AJ439" s="622">
        <v>18.03</v>
      </c>
      <c r="AK439" s="625" t="s">
        <v>78</v>
      </c>
      <c r="AP439" s="1837"/>
      <c r="AQ439" s="1837"/>
      <c r="AZ439" s="622">
        <v>108.15</v>
      </c>
      <c r="BA439" s="625" t="s">
        <v>63</v>
      </c>
      <c r="BF439" s="1837"/>
      <c r="BG439" s="1837"/>
      <c r="BI439" s="1365"/>
      <c r="BJ439" s="1365"/>
      <c r="BK439" s="1365"/>
      <c r="BL439" s="1365"/>
      <c r="BM439" s="1365"/>
      <c r="BN439" s="1365"/>
      <c r="BO439" s="1365"/>
      <c r="BP439" s="1365"/>
      <c r="BQ439" s="1365"/>
      <c r="BR439" s="1365"/>
      <c r="BS439" s="1365"/>
    </row>
    <row r="440" spans="6:71">
      <c r="F440" s="622">
        <v>51.04</v>
      </c>
      <c r="G440" s="625" t="s">
        <v>78</v>
      </c>
      <c r="L440" s="626">
        <v>21.01</v>
      </c>
      <c r="M440" s="626" t="s">
        <v>49</v>
      </c>
      <c r="V440" s="622">
        <v>121</v>
      </c>
      <c r="W440" s="625" t="s">
        <v>85</v>
      </c>
      <c r="AB440" s="626">
        <v>37.04</v>
      </c>
      <c r="AC440" s="626" t="s">
        <v>78</v>
      </c>
      <c r="AJ440" s="622">
        <v>19.010000000000002</v>
      </c>
      <c r="AK440" s="625" t="s">
        <v>78</v>
      </c>
      <c r="AP440" s="1837"/>
      <c r="AQ440" s="1837"/>
      <c r="AZ440" s="622">
        <v>108.16</v>
      </c>
      <c r="BA440" s="625" t="s">
        <v>63</v>
      </c>
      <c r="BF440" s="1837"/>
      <c r="BG440" s="1837"/>
      <c r="BI440" s="1365"/>
      <c r="BJ440" s="1365"/>
      <c r="BK440" s="1365"/>
      <c r="BL440" s="1365"/>
      <c r="BM440" s="1365"/>
      <c r="BN440" s="1365"/>
      <c r="BO440" s="1365"/>
      <c r="BP440" s="1365"/>
      <c r="BQ440" s="1365"/>
      <c r="BR440" s="1365"/>
      <c r="BS440" s="1365"/>
    </row>
    <row r="441" spans="6:71">
      <c r="F441" s="622">
        <v>52.01</v>
      </c>
      <c r="G441" s="625" t="s">
        <v>78</v>
      </c>
      <c r="L441" s="626">
        <v>21.02</v>
      </c>
      <c r="M441" s="626" t="s">
        <v>49</v>
      </c>
      <c r="V441" s="622">
        <v>121.03</v>
      </c>
      <c r="W441" s="625" t="s">
        <v>63</v>
      </c>
      <c r="AB441" s="626">
        <v>37.049999999999997</v>
      </c>
      <c r="AC441" s="626" t="s">
        <v>78</v>
      </c>
      <c r="AJ441" s="622">
        <v>19.03</v>
      </c>
      <c r="AK441" s="625" t="s">
        <v>78</v>
      </c>
      <c r="AP441" s="1837"/>
      <c r="AQ441" s="1837"/>
      <c r="AZ441" s="622">
        <v>108.17</v>
      </c>
      <c r="BA441" s="625" t="s">
        <v>63</v>
      </c>
      <c r="BF441" s="1837"/>
      <c r="BG441" s="1837"/>
      <c r="BI441" s="1365"/>
      <c r="BJ441" s="1365"/>
      <c r="BK441" s="1365"/>
      <c r="BL441" s="1365"/>
      <c r="BM441" s="1365"/>
      <c r="BN441" s="1365"/>
      <c r="BO441" s="1365"/>
      <c r="BP441" s="1365"/>
      <c r="BQ441" s="1365"/>
      <c r="BR441" s="1365"/>
      <c r="BS441" s="1365"/>
    </row>
    <row r="442" spans="6:71">
      <c r="F442" s="622">
        <v>52.02</v>
      </c>
      <c r="G442" s="625" t="s">
        <v>78</v>
      </c>
      <c r="L442" s="626">
        <v>22</v>
      </c>
      <c r="M442" s="626" t="s">
        <v>49</v>
      </c>
      <c r="V442" s="622">
        <v>121.04</v>
      </c>
      <c r="W442" s="625" t="s">
        <v>63</v>
      </c>
      <c r="AB442" s="626">
        <v>37.07</v>
      </c>
      <c r="AC442" s="626" t="s">
        <v>78</v>
      </c>
      <c r="AJ442" s="622">
        <v>19.04</v>
      </c>
      <c r="AK442" s="625" t="s">
        <v>78</v>
      </c>
      <c r="AP442" s="1837"/>
      <c r="AQ442" s="1837"/>
      <c r="AZ442" s="622">
        <v>108.19</v>
      </c>
      <c r="BA442" s="625" t="s">
        <v>63</v>
      </c>
      <c r="BF442" s="1837"/>
      <c r="BG442" s="1837"/>
      <c r="BI442" s="1365"/>
      <c r="BJ442" s="1365"/>
      <c r="BK442" s="1365"/>
      <c r="BL442" s="1365"/>
      <c r="BM442" s="1365"/>
      <c r="BN442" s="1365"/>
      <c r="BO442" s="1365"/>
      <c r="BP442" s="1365"/>
      <c r="BQ442" s="1365"/>
      <c r="BR442" s="1365"/>
      <c r="BS442" s="1365"/>
    </row>
    <row r="443" spans="6:71">
      <c r="F443" s="622">
        <v>53.02</v>
      </c>
      <c r="G443" s="625" t="s">
        <v>78</v>
      </c>
      <c r="L443" s="626">
        <v>23</v>
      </c>
      <c r="M443" s="626" t="s">
        <v>49</v>
      </c>
      <c r="V443" s="622">
        <v>122</v>
      </c>
      <c r="W443" s="622" t="s">
        <v>49</v>
      </c>
      <c r="AB443" s="626">
        <v>38</v>
      </c>
      <c r="AC443" s="626" t="s">
        <v>87</v>
      </c>
      <c r="AJ443" s="622">
        <v>20.010000000000002</v>
      </c>
      <c r="AK443" s="625" t="s">
        <v>78</v>
      </c>
      <c r="AP443" s="1837"/>
      <c r="AQ443" s="1837"/>
      <c r="AZ443" s="622">
        <v>108.2</v>
      </c>
      <c r="BA443" s="625" t="s">
        <v>63</v>
      </c>
      <c r="BF443" s="1837"/>
      <c r="BG443" s="1837"/>
      <c r="BI443" s="1365"/>
      <c r="BJ443" s="1365"/>
      <c r="BK443" s="1365"/>
      <c r="BL443" s="1365"/>
      <c r="BM443" s="1365"/>
      <c r="BN443" s="1365"/>
      <c r="BO443" s="1365"/>
      <c r="BP443" s="1365"/>
      <c r="BQ443" s="1365"/>
      <c r="BR443" s="1365"/>
      <c r="BS443" s="1365"/>
    </row>
    <row r="444" spans="6:71">
      <c r="F444" s="622">
        <v>53.03</v>
      </c>
      <c r="G444" s="625" t="s">
        <v>78</v>
      </c>
      <c r="L444" s="626">
        <v>24</v>
      </c>
      <c r="M444" s="626" t="s">
        <v>49</v>
      </c>
      <c r="V444" s="622">
        <v>122.01</v>
      </c>
      <c r="W444" s="625" t="s">
        <v>85</v>
      </c>
      <c r="AB444" s="626">
        <v>38.01</v>
      </c>
      <c r="AC444" s="626" t="s">
        <v>78</v>
      </c>
      <c r="AJ444" s="622">
        <v>20.03</v>
      </c>
      <c r="AK444" s="625" t="s">
        <v>78</v>
      </c>
      <c r="AP444" s="1837"/>
      <c r="AQ444" s="1837"/>
      <c r="AZ444" s="622">
        <v>108.21</v>
      </c>
      <c r="BA444" s="625" t="s">
        <v>63</v>
      </c>
      <c r="BF444" s="1837"/>
      <c r="BG444" s="1837"/>
      <c r="BI444" s="1365"/>
      <c r="BJ444" s="1365"/>
      <c r="BK444" s="1365"/>
      <c r="BL444" s="1365"/>
      <c r="BM444" s="1365"/>
      <c r="BN444" s="1365"/>
      <c r="BO444" s="1365"/>
      <c r="BP444" s="1365"/>
      <c r="BQ444" s="1365"/>
      <c r="BR444" s="1365"/>
      <c r="BS444" s="1365"/>
    </row>
    <row r="445" spans="6:71">
      <c r="F445" s="622">
        <v>53.04</v>
      </c>
      <c r="G445" s="625" t="s">
        <v>78</v>
      </c>
      <c r="L445" s="626">
        <v>25.02</v>
      </c>
      <c r="M445" s="626" t="s">
        <v>49</v>
      </c>
      <c r="V445" s="622">
        <v>122.02</v>
      </c>
      <c r="W445" s="625" t="s">
        <v>85</v>
      </c>
      <c r="AB445" s="626">
        <v>38.03</v>
      </c>
      <c r="AC445" s="626" t="s">
        <v>78</v>
      </c>
      <c r="AJ445" s="622">
        <v>20.04</v>
      </c>
      <c r="AK445" s="625" t="s">
        <v>78</v>
      </c>
      <c r="AP445" s="1837"/>
      <c r="AQ445" s="1837"/>
      <c r="AZ445" s="622">
        <v>108.22</v>
      </c>
      <c r="BA445" s="625" t="s">
        <v>63</v>
      </c>
      <c r="BF445" s="1837"/>
      <c r="BG445" s="1837"/>
      <c r="BI445" s="1365"/>
      <c r="BJ445" s="1365"/>
      <c r="BK445" s="1365"/>
      <c r="BL445" s="1365"/>
      <c r="BM445" s="1365"/>
      <c r="BN445" s="1365"/>
      <c r="BO445" s="1365"/>
      <c r="BP445" s="1365"/>
      <c r="BQ445" s="1365"/>
      <c r="BR445" s="1365"/>
      <c r="BS445" s="1365"/>
    </row>
    <row r="446" spans="6:71">
      <c r="F446" s="622">
        <v>54.03</v>
      </c>
      <c r="G446" s="625" t="s">
        <v>78</v>
      </c>
      <c r="L446" s="626">
        <v>101.02</v>
      </c>
      <c r="M446" s="626" t="s">
        <v>49</v>
      </c>
      <c r="V446" s="622">
        <v>122.11</v>
      </c>
      <c r="W446" s="625" t="s">
        <v>63</v>
      </c>
      <c r="AB446" s="626">
        <v>38.04</v>
      </c>
      <c r="AC446" s="626" t="s">
        <v>78</v>
      </c>
      <c r="AJ446" s="622">
        <v>22.02</v>
      </c>
      <c r="AK446" s="625" t="s">
        <v>78</v>
      </c>
      <c r="AP446" s="1837"/>
      <c r="AQ446" s="1837"/>
      <c r="AZ446" s="622">
        <v>108.23</v>
      </c>
      <c r="BA446" s="625" t="s">
        <v>63</v>
      </c>
      <c r="BF446" s="1837"/>
      <c r="BG446" s="1837"/>
      <c r="BI446" s="1365"/>
      <c r="BJ446" s="1365"/>
      <c r="BK446" s="1365"/>
      <c r="BL446" s="1365"/>
      <c r="BM446" s="1365"/>
      <c r="BN446" s="1365"/>
      <c r="BO446" s="1365"/>
      <c r="BP446" s="1365"/>
      <c r="BQ446" s="1365"/>
      <c r="BR446" s="1365"/>
      <c r="BS446" s="1365"/>
    </row>
    <row r="447" spans="6:71">
      <c r="F447" s="622">
        <v>54.05</v>
      </c>
      <c r="G447" s="625" t="s">
        <v>78</v>
      </c>
      <c r="L447" s="626">
        <v>101.03</v>
      </c>
      <c r="M447" s="626" t="s">
        <v>49</v>
      </c>
      <c r="V447" s="622">
        <v>122.12</v>
      </c>
      <c r="W447" s="625" t="s">
        <v>63</v>
      </c>
      <c r="AB447" s="626">
        <v>39</v>
      </c>
      <c r="AC447" s="626" t="s">
        <v>51</v>
      </c>
      <c r="AJ447" s="622">
        <v>23</v>
      </c>
      <c r="AK447" s="625" t="s">
        <v>78</v>
      </c>
      <c r="AP447" s="1837"/>
      <c r="AQ447" s="1837"/>
      <c r="AZ447" s="622">
        <v>108.24</v>
      </c>
      <c r="BA447" s="625" t="s">
        <v>63</v>
      </c>
      <c r="BF447" s="1837"/>
      <c r="BG447" s="1837"/>
      <c r="BI447" s="1365"/>
      <c r="BJ447" s="1365"/>
      <c r="BK447" s="1365"/>
      <c r="BL447" s="1365"/>
      <c r="BM447" s="1365"/>
      <c r="BN447" s="1365"/>
      <c r="BO447" s="1365"/>
      <c r="BP447" s="1365"/>
      <c r="BQ447" s="1365"/>
      <c r="BR447" s="1365"/>
      <c r="BS447" s="1365"/>
    </row>
    <row r="448" spans="6:71">
      <c r="F448" s="622">
        <v>54.06</v>
      </c>
      <c r="G448" s="625" t="s">
        <v>78</v>
      </c>
      <c r="L448" s="626">
        <v>102.02</v>
      </c>
      <c r="M448" s="626" t="s">
        <v>49</v>
      </c>
      <c r="V448" s="622">
        <v>123.05</v>
      </c>
      <c r="W448" s="625" t="s">
        <v>85</v>
      </c>
      <c r="AB448" s="626">
        <v>39.06</v>
      </c>
      <c r="AC448" s="626" t="s">
        <v>78</v>
      </c>
      <c r="AJ448" s="622">
        <v>24.02</v>
      </c>
      <c r="AK448" s="625" t="s">
        <v>78</v>
      </c>
      <c r="AP448" s="1837"/>
      <c r="AQ448" s="1837"/>
      <c r="AZ448" s="622">
        <v>109</v>
      </c>
      <c r="BA448" s="625" t="s">
        <v>78</v>
      </c>
      <c r="BF448" s="1837"/>
      <c r="BG448" s="1837"/>
      <c r="BI448" s="1365"/>
      <c r="BJ448" s="1365"/>
      <c r="BK448" s="1365"/>
      <c r="BL448" s="1365"/>
      <c r="BM448" s="1365"/>
      <c r="BN448" s="1365"/>
      <c r="BO448" s="1365"/>
      <c r="BP448" s="1365"/>
      <c r="BQ448" s="1365"/>
      <c r="BR448" s="1365"/>
      <c r="BS448" s="1365"/>
    </row>
    <row r="449" spans="6:71">
      <c r="F449" s="622">
        <v>54.09</v>
      </c>
      <c r="G449" s="625" t="s">
        <v>78</v>
      </c>
      <c r="L449" s="626">
        <v>103.04</v>
      </c>
      <c r="M449" s="626" t="s">
        <v>49</v>
      </c>
      <c r="V449" s="622">
        <v>123.07</v>
      </c>
      <c r="W449" s="625" t="s">
        <v>85</v>
      </c>
      <c r="AB449" s="626">
        <v>39.119999999999997</v>
      </c>
      <c r="AC449" s="626" t="s">
        <v>78</v>
      </c>
      <c r="AJ449" s="622">
        <v>24.03</v>
      </c>
      <c r="AK449" s="625" t="s">
        <v>78</v>
      </c>
      <c r="AP449" s="1837"/>
      <c r="AQ449" s="1837"/>
      <c r="AZ449" s="622">
        <v>109</v>
      </c>
      <c r="BA449" s="622" t="s">
        <v>91</v>
      </c>
      <c r="BF449" s="1837"/>
      <c r="BG449" s="1837"/>
      <c r="BI449" s="1365"/>
      <c r="BJ449" s="1365"/>
      <c r="BK449" s="1365"/>
      <c r="BL449" s="1365"/>
      <c r="BM449" s="1365"/>
      <c r="BN449" s="1365"/>
      <c r="BO449" s="1365"/>
      <c r="BP449" s="1365"/>
      <c r="BQ449" s="1365"/>
      <c r="BR449" s="1365"/>
      <c r="BS449" s="1365"/>
    </row>
    <row r="450" spans="6:71">
      <c r="F450" s="622">
        <v>54.1</v>
      </c>
      <c r="G450" s="625" t="s">
        <v>78</v>
      </c>
      <c r="L450" s="626">
        <v>106</v>
      </c>
      <c r="M450" s="626" t="s">
        <v>49</v>
      </c>
      <c r="V450" s="622">
        <v>123.07</v>
      </c>
      <c r="W450" s="622" t="s">
        <v>91</v>
      </c>
      <c r="AB450" s="626">
        <v>39.130000000000003</v>
      </c>
      <c r="AC450" s="626" t="s">
        <v>78</v>
      </c>
      <c r="AJ450" s="622">
        <v>24.04</v>
      </c>
      <c r="AK450" s="625" t="s">
        <v>78</v>
      </c>
      <c r="AP450" s="1837"/>
      <c r="AQ450" s="1837"/>
      <c r="AZ450" s="622">
        <v>110</v>
      </c>
      <c r="BA450" s="625" t="s">
        <v>49</v>
      </c>
      <c r="BF450" s="1837"/>
      <c r="BG450" s="1837"/>
      <c r="BI450" s="1365"/>
      <c r="BJ450" s="1365"/>
      <c r="BK450" s="1365"/>
      <c r="BL450" s="1365"/>
      <c r="BM450" s="1365"/>
      <c r="BN450" s="1365"/>
      <c r="BO450" s="1365"/>
      <c r="BP450" s="1365"/>
      <c r="BQ450" s="1365"/>
      <c r="BR450" s="1365"/>
      <c r="BS450" s="1365"/>
    </row>
    <row r="451" spans="6:71">
      <c r="F451" s="622">
        <v>55.02</v>
      </c>
      <c r="G451" s="625" t="s">
        <v>78</v>
      </c>
      <c r="L451" s="626">
        <v>119.03</v>
      </c>
      <c r="M451" s="626" t="s">
        <v>49</v>
      </c>
      <c r="V451" s="622">
        <v>124.01</v>
      </c>
      <c r="W451" s="625" t="s">
        <v>63</v>
      </c>
      <c r="AB451" s="626">
        <v>39.14</v>
      </c>
      <c r="AC451" s="626" t="s">
        <v>78</v>
      </c>
      <c r="AJ451" s="622">
        <v>25.01</v>
      </c>
      <c r="AK451" s="625" t="s">
        <v>78</v>
      </c>
      <c r="AP451" s="1837"/>
      <c r="AQ451" s="1837"/>
      <c r="AZ451" s="622">
        <v>110</v>
      </c>
      <c r="BA451" s="625" t="s">
        <v>85</v>
      </c>
      <c r="BF451" s="1837"/>
      <c r="BG451" s="1837"/>
      <c r="BI451" s="1365"/>
      <c r="BJ451" s="1365"/>
      <c r="BK451" s="1365"/>
      <c r="BL451" s="1365"/>
      <c r="BM451" s="1365"/>
      <c r="BN451" s="1365"/>
      <c r="BO451" s="1365"/>
      <c r="BP451" s="1365"/>
      <c r="BQ451" s="1365"/>
      <c r="BR451" s="1365"/>
      <c r="BS451" s="1365"/>
    </row>
    <row r="452" spans="6:71">
      <c r="F452" s="622">
        <v>57.01</v>
      </c>
      <c r="G452" s="625" t="s">
        <v>78</v>
      </c>
      <c r="L452" s="626">
        <v>125</v>
      </c>
      <c r="M452" s="626" t="s">
        <v>49</v>
      </c>
      <c r="V452" s="622">
        <v>124.02</v>
      </c>
      <c r="W452" s="625" t="s">
        <v>63</v>
      </c>
      <c r="AB452" s="626">
        <v>39.15</v>
      </c>
      <c r="AC452" s="626" t="s">
        <v>78</v>
      </c>
      <c r="AJ452" s="622">
        <v>25.02</v>
      </c>
      <c r="AK452" s="625" t="s">
        <v>78</v>
      </c>
      <c r="AP452" s="1837"/>
      <c r="AQ452" s="1837"/>
      <c r="AZ452" s="622">
        <v>110</v>
      </c>
      <c r="BA452" s="622" t="s">
        <v>91</v>
      </c>
      <c r="BF452" s="1837"/>
      <c r="BG452" s="1837"/>
      <c r="BI452" s="1365"/>
      <c r="BJ452" s="1365"/>
      <c r="BK452" s="1365"/>
      <c r="BL452" s="1365"/>
      <c r="BM452" s="1365"/>
      <c r="BN452" s="1365"/>
      <c r="BO452" s="1365"/>
      <c r="BP452" s="1365"/>
      <c r="BQ452" s="1365"/>
      <c r="BR452" s="1365"/>
      <c r="BS452" s="1365"/>
    </row>
    <row r="453" spans="6:71">
      <c r="F453" s="622">
        <v>57.03</v>
      </c>
      <c r="G453" s="625" t="s">
        <v>78</v>
      </c>
      <c r="L453" s="626">
        <v>130</v>
      </c>
      <c r="M453" s="626" t="s">
        <v>49</v>
      </c>
      <c r="V453" s="622">
        <v>124.02</v>
      </c>
      <c r="W453" s="625" t="s">
        <v>85</v>
      </c>
      <c r="AB453" s="626">
        <v>39.17</v>
      </c>
      <c r="AC453" s="626" t="s">
        <v>78</v>
      </c>
      <c r="AJ453" s="622">
        <v>28</v>
      </c>
      <c r="AK453" s="625" t="s">
        <v>78</v>
      </c>
      <c r="AP453" s="1837"/>
      <c r="AQ453" s="1837"/>
      <c r="AZ453" s="622">
        <v>110.1</v>
      </c>
      <c r="BA453" s="625" t="s">
        <v>63</v>
      </c>
      <c r="BF453" s="1837"/>
      <c r="BG453" s="1837"/>
      <c r="BI453" s="1365"/>
      <c r="BJ453" s="1365"/>
      <c r="BK453" s="1365"/>
      <c r="BL453" s="1365"/>
      <c r="BM453" s="1365"/>
      <c r="BN453" s="1365"/>
      <c r="BO453" s="1365"/>
      <c r="BP453" s="1365"/>
      <c r="BQ453" s="1365"/>
      <c r="BR453" s="1365"/>
      <c r="BS453" s="1365"/>
    </row>
    <row r="454" spans="6:71">
      <c r="F454" s="622">
        <v>57.04</v>
      </c>
      <c r="G454" s="625" t="s">
        <v>78</v>
      </c>
      <c r="L454" s="626">
        <v>131</v>
      </c>
      <c r="M454" s="626" t="s">
        <v>49</v>
      </c>
      <c r="V454" s="622">
        <v>124.03</v>
      </c>
      <c r="W454" s="625" t="s">
        <v>63</v>
      </c>
      <c r="AB454" s="626">
        <v>39.18</v>
      </c>
      <c r="AC454" s="626" t="s">
        <v>78</v>
      </c>
      <c r="AJ454" s="622">
        <v>29</v>
      </c>
      <c r="AK454" s="625" t="s">
        <v>78</v>
      </c>
      <c r="AP454" s="1837"/>
      <c r="AQ454" s="1837"/>
      <c r="AZ454" s="622">
        <v>110.1</v>
      </c>
      <c r="BA454" s="625" t="s">
        <v>78</v>
      </c>
      <c r="BF454" s="1837"/>
      <c r="BG454" s="1837"/>
      <c r="BI454" s="1365"/>
      <c r="BJ454" s="1365"/>
      <c r="BK454" s="1365"/>
      <c r="BL454" s="1365"/>
      <c r="BM454" s="1365"/>
      <c r="BN454" s="1365"/>
      <c r="BO454" s="1365"/>
      <c r="BP454" s="1365"/>
      <c r="BQ454" s="1365"/>
      <c r="BR454" s="1365"/>
      <c r="BS454" s="1365"/>
    </row>
    <row r="455" spans="6:71">
      <c r="F455" s="622">
        <v>63.01</v>
      </c>
      <c r="G455" s="625" t="s">
        <v>78</v>
      </c>
      <c r="L455" s="626">
        <v>132</v>
      </c>
      <c r="M455" s="626" t="s">
        <v>49</v>
      </c>
      <c r="V455" s="622">
        <v>124.03</v>
      </c>
      <c r="W455" s="625" t="s">
        <v>85</v>
      </c>
      <c r="AB455" s="626">
        <v>39.19</v>
      </c>
      <c r="AC455" s="626" t="s">
        <v>78</v>
      </c>
      <c r="AJ455" s="622">
        <v>30.01</v>
      </c>
      <c r="AK455" s="625" t="s">
        <v>78</v>
      </c>
      <c r="AP455" s="1837"/>
      <c r="AQ455" s="1837"/>
      <c r="AZ455" s="622">
        <v>110.11</v>
      </c>
      <c r="BA455" s="625" t="s">
        <v>78</v>
      </c>
      <c r="BF455" s="1837"/>
      <c r="BG455" s="1837"/>
      <c r="BI455" s="1365"/>
      <c r="BJ455" s="1365"/>
      <c r="BK455" s="1365"/>
      <c r="BL455" s="1365"/>
      <c r="BM455" s="1365"/>
      <c r="BN455" s="1365"/>
      <c r="BO455" s="1365"/>
      <c r="BP455" s="1365"/>
      <c r="BQ455" s="1365"/>
      <c r="BR455" s="1365"/>
      <c r="BS455" s="1365"/>
    </row>
    <row r="456" spans="6:71">
      <c r="F456" s="622">
        <v>64.03</v>
      </c>
      <c r="G456" s="625" t="s">
        <v>78</v>
      </c>
      <c r="L456" s="626">
        <v>133</v>
      </c>
      <c r="M456" s="626" t="s">
        <v>49</v>
      </c>
      <c r="V456" s="622">
        <v>125</v>
      </c>
      <c r="W456" s="622" t="s">
        <v>49</v>
      </c>
      <c r="AB456" s="626">
        <v>39.21</v>
      </c>
      <c r="AC456" s="626" t="s">
        <v>78</v>
      </c>
      <c r="AJ456" s="622">
        <v>30.04</v>
      </c>
      <c r="AK456" s="625" t="s">
        <v>78</v>
      </c>
      <c r="AP456" s="1837"/>
      <c r="AQ456" s="1837"/>
      <c r="AZ456" s="622">
        <v>111</v>
      </c>
      <c r="BA456" s="625" t="s">
        <v>49</v>
      </c>
      <c r="BF456" s="1837"/>
      <c r="BG456" s="1837"/>
      <c r="BI456" s="1365"/>
      <c r="BJ456" s="1365"/>
      <c r="BK456" s="1365"/>
      <c r="BL456" s="1365"/>
      <c r="BM456" s="1365"/>
      <c r="BN456" s="1365"/>
      <c r="BO456" s="1365"/>
      <c r="BP456" s="1365"/>
      <c r="BQ456" s="1365"/>
      <c r="BR456" s="1365"/>
      <c r="BS456" s="1365"/>
    </row>
    <row r="457" spans="6:71">
      <c r="F457" s="622">
        <v>70.02</v>
      </c>
      <c r="G457" s="625" t="s">
        <v>78</v>
      </c>
      <c r="L457" s="626">
        <v>135.22</v>
      </c>
      <c r="M457" s="626" t="s">
        <v>49</v>
      </c>
      <c r="V457" s="622">
        <v>126.01</v>
      </c>
      <c r="W457" s="622" t="s">
        <v>49</v>
      </c>
      <c r="AB457" s="626">
        <v>39.22</v>
      </c>
      <c r="AC457" s="626" t="s">
        <v>78</v>
      </c>
      <c r="AJ457" s="622">
        <v>30.05</v>
      </c>
      <c r="AK457" s="625" t="s">
        <v>78</v>
      </c>
      <c r="AP457" s="1837"/>
      <c r="AQ457" s="1837"/>
      <c r="AZ457" s="622">
        <v>111</v>
      </c>
      <c r="BA457" s="622" t="s">
        <v>91</v>
      </c>
      <c r="BF457" s="1837"/>
      <c r="BG457" s="1837"/>
      <c r="BI457" s="1365"/>
      <c r="BJ457" s="1365"/>
      <c r="BK457" s="1365"/>
      <c r="BL457" s="1365"/>
      <c r="BM457" s="1365"/>
      <c r="BN457" s="1365"/>
      <c r="BO457" s="1365"/>
      <c r="BP457" s="1365"/>
      <c r="BQ457" s="1365"/>
      <c r="BR457" s="1365"/>
      <c r="BS457" s="1365"/>
    </row>
    <row r="458" spans="6:71">
      <c r="F458" s="622">
        <v>72</v>
      </c>
      <c r="G458" s="625" t="s">
        <v>78</v>
      </c>
      <c r="L458" s="626">
        <v>137.21</v>
      </c>
      <c r="M458" s="626" t="s">
        <v>49</v>
      </c>
      <c r="V458" s="622">
        <v>126.01</v>
      </c>
      <c r="W458" s="622" t="s">
        <v>91</v>
      </c>
      <c r="AB458" s="626">
        <v>40</v>
      </c>
      <c r="AC458" s="626" t="s">
        <v>78</v>
      </c>
      <c r="AJ458" s="622">
        <v>30.06</v>
      </c>
      <c r="AK458" s="625" t="s">
        <v>78</v>
      </c>
      <c r="AP458" s="1837"/>
      <c r="AQ458" s="1837"/>
      <c r="AZ458" s="622">
        <v>111.03</v>
      </c>
      <c r="BA458" s="625" t="s">
        <v>44</v>
      </c>
      <c r="BF458" s="1837"/>
      <c r="BG458" s="1837"/>
      <c r="BI458" s="1365"/>
      <c r="BJ458" s="1365"/>
      <c r="BK458" s="1365"/>
      <c r="BL458" s="1365"/>
      <c r="BM458" s="1365"/>
      <c r="BN458" s="1365"/>
      <c r="BO458" s="1365"/>
      <c r="BP458" s="1365"/>
      <c r="BQ458" s="1365"/>
      <c r="BR458" s="1365"/>
      <c r="BS458" s="1365"/>
    </row>
    <row r="459" spans="6:71">
      <c r="F459" s="622">
        <v>76.03</v>
      </c>
      <c r="G459" s="625" t="s">
        <v>78</v>
      </c>
      <c r="L459" s="626">
        <v>137.22999999999999</v>
      </c>
      <c r="M459" s="626" t="s">
        <v>49</v>
      </c>
      <c r="V459" s="622">
        <v>126.02</v>
      </c>
      <c r="W459" s="622" t="s">
        <v>91</v>
      </c>
      <c r="AB459" s="626">
        <v>41.02</v>
      </c>
      <c r="AC459" s="626" t="s">
        <v>78</v>
      </c>
      <c r="AJ459" s="622">
        <v>31</v>
      </c>
      <c r="AK459" s="625" t="s">
        <v>78</v>
      </c>
      <c r="AP459" s="1837"/>
      <c r="AQ459" s="1837"/>
      <c r="AZ459" s="622">
        <v>111.03</v>
      </c>
      <c r="BA459" s="625" t="s">
        <v>78</v>
      </c>
      <c r="BF459" s="1837"/>
      <c r="BG459" s="1837"/>
      <c r="BI459" s="1365"/>
      <c r="BJ459" s="1365"/>
      <c r="BK459" s="1365"/>
      <c r="BL459" s="1365"/>
      <c r="BM459" s="1365"/>
      <c r="BN459" s="1365"/>
      <c r="BO459" s="1365"/>
      <c r="BP459" s="1365"/>
      <c r="BQ459" s="1365"/>
      <c r="BR459" s="1365"/>
      <c r="BS459" s="1365"/>
    </row>
    <row r="460" spans="6:71">
      <c r="F460" s="622">
        <v>83.09</v>
      </c>
      <c r="G460" s="625" t="s">
        <v>78</v>
      </c>
      <c r="L460" s="626">
        <v>137.26</v>
      </c>
      <c r="M460" s="626" t="s">
        <v>49</v>
      </c>
      <c r="V460" s="622">
        <v>129</v>
      </c>
      <c r="W460" s="625" t="s">
        <v>63</v>
      </c>
      <c r="AB460" s="626">
        <v>41.03</v>
      </c>
      <c r="AC460" s="626" t="s">
        <v>78</v>
      </c>
      <c r="AJ460" s="622">
        <v>34</v>
      </c>
      <c r="AK460" s="625" t="s">
        <v>78</v>
      </c>
      <c r="AP460" s="1837"/>
      <c r="AQ460" s="1837"/>
      <c r="AZ460" s="622">
        <v>111.04</v>
      </c>
      <c r="BA460" s="625" t="s">
        <v>78</v>
      </c>
      <c r="BF460" s="1837"/>
      <c r="BG460" s="1837"/>
      <c r="BI460" s="1365"/>
      <c r="BJ460" s="1365"/>
      <c r="BK460" s="1365"/>
      <c r="BL460" s="1365"/>
      <c r="BM460" s="1365"/>
      <c r="BN460" s="1365"/>
      <c r="BO460" s="1365"/>
      <c r="BP460" s="1365"/>
      <c r="BQ460" s="1365"/>
      <c r="BR460" s="1365"/>
      <c r="BS460" s="1365"/>
    </row>
    <row r="461" spans="6:71">
      <c r="F461" s="622">
        <v>88.05</v>
      </c>
      <c r="G461" s="625" t="s">
        <v>78</v>
      </c>
      <c r="L461" s="626">
        <v>137.27000000000001</v>
      </c>
      <c r="M461" s="626" t="s">
        <v>49</v>
      </c>
      <c r="V461" s="622">
        <v>130.02000000000001</v>
      </c>
      <c r="W461" s="622" t="s">
        <v>91</v>
      </c>
      <c r="AB461" s="626">
        <v>41.05</v>
      </c>
      <c r="AC461" s="626" t="s">
        <v>78</v>
      </c>
      <c r="AJ461" s="622">
        <v>36.03</v>
      </c>
      <c r="AK461" s="625" t="s">
        <v>78</v>
      </c>
      <c r="AP461" s="1837"/>
      <c r="AQ461" s="1837"/>
      <c r="AZ461" s="622">
        <v>112</v>
      </c>
      <c r="BA461" s="625" t="s">
        <v>49</v>
      </c>
      <c r="BF461" s="1837"/>
      <c r="BG461" s="1837"/>
      <c r="BI461" s="1365"/>
      <c r="BJ461" s="1365"/>
      <c r="BK461" s="1365"/>
      <c r="BL461" s="1365"/>
      <c r="BM461" s="1365"/>
      <c r="BN461" s="1365"/>
      <c r="BO461" s="1365"/>
      <c r="BP461" s="1365"/>
      <c r="BQ461" s="1365"/>
      <c r="BR461" s="1365"/>
      <c r="BS461" s="1365"/>
    </row>
    <row r="462" spans="6:71">
      <c r="F462" s="622">
        <v>88.06</v>
      </c>
      <c r="G462" s="625" t="s">
        <v>78</v>
      </c>
      <c r="L462" s="626">
        <v>138</v>
      </c>
      <c r="M462" s="626" t="s">
        <v>49</v>
      </c>
      <c r="V462" s="622">
        <v>131.02000000000001</v>
      </c>
      <c r="W462" s="622" t="s">
        <v>91</v>
      </c>
      <c r="AB462" s="626">
        <v>41.06</v>
      </c>
      <c r="AC462" s="626" t="s">
        <v>78</v>
      </c>
      <c r="AJ462" s="622">
        <v>36.04</v>
      </c>
      <c r="AK462" s="625" t="s">
        <v>78</v>
      </c>
      <c r="AP462" s="1837"/>
      <c r="AQ462" s="1837"/>
      <c r="AZ462" s="622">
        <v>112.02</v>
      </c>
      <c r="BA462" s="622" t="s">
        <v>91</v>
      </c>
      <c r="BF462" s="1837"/>
      <c r="BG462" s="1837"/>
      <c r="BI462" s="1365"/>
      <c r="BJ462" s="1365"/>
      <c r="BK462" s="1365"/>
      <c r="BL462" s="1365"/>
      <c r="BM462" s="1365"/>
      <c r="BN462" s="1365"/>
      <c r="BO462" s="1365"/>
      <c r="BP462" s="1365"/>
      <c r="BQ462" s="1365"/>
      <c r="BR462" s="1365"/>
      <c r="BS462" s="1365"/>
    </row>
    <row r="463" spans="6:71">
      <c r="F463" s="622">
        <v>90.2</v>
      </c>
      <c r="G463" s="625" t="s">
        <v>78</v>
      </c>
      <c r="L463" s="626">
        <v>139.01</v>
      </c>
      <c r="M463" s="626" t="s">
        <v>49</v>
      </c>
      <c r="V463" s="622">
        <v>131.03</v>
      </c>
      <c r="W463" s="622" t="s">
        <v>91</v>
      </c>
      <c r="AB463" s="626">
        <v>42.03</v>
      </c>
      <c r="AC463" s="626" t="s">
        <v>78</v>
      </c>
      <c r="AJ463" s="622">
        <v>36.049999999999997</v>
      </c>
      <c r="AK463" s="625" t="s">
        <v>78</v>
      </c>
      <c r="AP463" s="1837"/>
      <c r="AQ463" s="1837"/>
      <c r="AZ463" s="622">
        <v>112.03</v>
      </c>
      <c r="BA463" s="625" t="s">
        <v>78</v>
      </c>
      <c r="BF463" s="1837"/>
      <c r="BG463" s="1837"/>
      <c r="BI463" s="1365"/>
      <c r="BJ463" s="1365"/>
      <c r="BK463" s="1365"/>
      <c r="BL463" s="1365"/>
      <c r="BM463" s="1365"/>
      <c r="BN463" s="1365"/>
      <c r="BO463" s="1365"/>
      <c r="BP463" s="1365"/>
      <c r="BQ463" s="1365"/>
      <c r="BR463" s="1365"/>
      <c r="BS463" s="1365"/>
    </row>
    <row r="464" spans="6:71">
      <c r="F464" s="622">
        <v>90.21</v>
      </c>
      <c r="G464" s="625" t="s">
        <v>78</v>
      </c>
      <c r="L464" s="626">
        <v>139.02000000000001</v>
      </c>
      <c r="M464" s="626" t="s">
        <v>49</v>
      </c>
      <c r="V464" s="622">
        <v>132</v>
      </c>
      <c r="W464" s="622" t="s">
        <v>91</v>
      </c>
      <c r="AB464" s="626">
        <v>42.04</v>
      </c>
      <c r="AC464" s="626" t="s">
        <v>78</v>
      </c>
      <c r="AJ464" s="622">
        <v>36.06</v>
      </c>
      <c r="AK464" s="625" t="s">
        <v>78</v>
      </c>
      <c r="AP464" s="1837"/>
      <c r="AQ464" s="1837"/>
      <c r="AZ464" s="622">
        <v>112.03</v>
      </c>
      <c r="BA464" s="622" t="s">
        <v>91</v>
      </c>
      <c r="BF464" s="1837"/>
      <c r="BG464" s="1837"/>
      <c r="BI464" s="1365"/>
      <c r="BJ464" s="1365"/>
      <c r="BK464" s="1365"/>
      <c r="BL464" s="1365"/>
      <c r="BM464" s="1365"/>
      <c r="BN464" s="1365"/>
      <c r="BO464" s="1365"/>
      <c r="BP464" s="1365"/>
      <c r="BQ464" s="1365"/>
      <c r="BR464" s="1365"/>
      <c r="BS464" s="1365"/>
    </row>
    <row r="465" spans="6:71">
      <c r="F465" s="622">
        <v>90.26</v>
      </c>
      <c r="G465" s="625" t="s">
        <v>78</v>
      </c>
      <c r="L465" s="626">
        <v>139.05000000000001</v>
      </c>
      <c r="M465" s="626" t="s">
        <v>49</v>
      </c>
      <c r="V465" s="622">
        <v>133</v>
      </c>
      <c r="W465" s="622" t="s">
        <v>91</v>
      </c>
      <c r="AB465" s="626">
        <v>42.05</v>
      </c>
      <c r="AC465" s="626" t="s">
        <v>78</v>
      </c>
      <c r="AJ465" s="622">
        <v>36.07</v>
      </c>
      <c r="AK465" s="625" t="s">
        <v>78</v>
      </c>
      <c r="AP465" s="1837"/>
      <c r="AQ465" s="1837"/>
      <c r="AZ465" s="622">
        <v>112.04</v>
      </c>
      <c r="BA465" s="625" t="s">
        <v>44</v>
      </c>
      <c r="BF465" s="1837"/>
      <c r="BG465" s="1837"/>
      <c r="BI465" s="1365"/>
      <c r="BJ465" s="1365"/>
      <c r="BK465" s="1365"/>
      <c r="BL465" s="1365"/>
      <c r="BM465" s="1365"/>
      <c r="BN465" s="1365"/>
      <c r="BO465" s="1365"/>
      <c r="BP465" s="1365"/>
      <c r="BQ465" s="1365"/>
      <c r="BR465" s="1365"/>
      <c r="BS465" s="1365"/>
    </row>
    <row r="466" spans="6:71">
      <c r="F466" s="622">
        <v>93.06</v>
      </c>
      <c r="G466" s="625" t="s">
        <v>78</v>
      </c>
      <c r="L466" s="626">
        <v>139.06</v>
      </c>
      <c r="M466" s="626" t="s">
        <v>49</v>
      </c>
      <c r="V466" s="622">
        <v>133.16999999999999</v>
      </c>
      <c r="W466" s="625" t="s">
        <v>63</v>
      </c>
      <c r="AB466" s="626">
        <v>43</v>
      </c>
      <c r="AC466" s="626" t="s">
        <v>87</v>
      </c>
      <c r="AJ466" s="622">
        <v>39.090000000000003</v>
      </c>
      <c r="AK466" s="625" t="s">
        <v>78</v>
      </c>
      <c r="AP466" s="1837"/>
      <c r="AQ466" s="1837"/>
      <c r="AZ466" s="622">
        <v>112.04</v>
      </c>
      <c r="BA466" s="625" t="s">
        <v>78</v>
      </c>
      <c r="BF466" s="1837"/>
      <c r="BG466" s="1837"/>
      <c r="BI466" s="1365"/>
      <c r="BJ466" s="1365"/>
      <c r="BK466" s="1365"/>
      <c r="BL466" s="1365"/>
      <c r="BM466" s="1365"/>
      <c r="BN466" s="1365"/>
      <c r="BO466" s="1365"/>
      <c r="BP466" s="1365"/>
      <c r="BQ466" s="1365"/>
      <c r="BR466" s="1365"/>
      <c r="BS466" s="1365"/>
    </row>
    <row r="467" spans="6:71">
      <c r="F467" s="622">
        <v>93.07</v>
      </c>
      <c r="G467" s="625" t="s">
        <v>78</v>
      </c>
      <c r="L467" s="626">
        <v>140.01</v>
      </c>
      <c r="M467" s="626" t="s">
        <v>49</v>
      </c>
      <c r="V467" s="622">
        <v>134</v>
      </c>
      <c r="W467" s="622" t="s">
        <v>91</v>
      </c>
      <c r="AB467" s="626">
        <v>43.01</v>
      </c>
      <c r="AC467" s="626" t="s">
        <v>78</v>
      </c>
      <c r="AJ467" s="622">
        <v>39.11</v>
      </c>
      <c r="AK467" s="625" t="s">
        <v>78</v>
      </c>
      <c r="AP467" s="1837"/>
      <c r="AQ467" s="1837"/>
      <c r="AZ467" s="622">
        <v>112.04</v>
      </c>
      <c r="BA467" s="622" t="s">
        <v>91</v>
      </c>
      <c r="BF467" s="1837"/>
      <c r="BG467" s="1837"/>
      <c r="BI467" s="1365"/>
      <c r="BJ467" s="1365"/>
      <c r="BK467" s="1365"/>
      <c r="BL467" s="1365"/>
      <c r="BM467" s="1365"/>
      <c r="BN467" s="1365"/>
      <c r="BO467" s="1365"/>
      <c r="BP467" s="1365"/>
      <c r="BQ467" s="1365"/>
      <c r="BR467" s="1365"/>
      <c r="BS467" s="1365"/>
    </row>
    <row r="468" spans="6:71">
      <c r="F468" s="622">
        <v>93.08</v>
      </c>
      <c r="G468" s="625" t="s">
        <v>78</v>
      </c>
      <c r="L468" s="626">
        <v>140.02000000000001</v>
      </c>
      <c r="M468" s="626" t="s">
        <v>49</v>
      </c>
      <c r="V468" s="622">
        <v>134.02000000000001</v>
      </c>
      <c r="W468" s="622" t="s">
        <v>49</v>
      </c>
      <c r="AB468" s="626">
        <v>43.03</v>
      </c>
      <c r="AC468" s="626" t="s">
        <v>78</v>
      </c>
      <c r="AJ468" s="622">
        <v>41.03</v>
      </c>
      <c r="AK468" s="625" t="s">
        <v>78</v>
      </c>
      <c r="AP468" s="1837"/>
      <c r="AQ468" s="1837"/>
      <c r="AZ468" s="622">
        <v>112.05</v>
      </c>
      <c r="BA468" s="625" t="s">
        <v>44</v>
      </c>
      <c r="BF468" s="1837"/>
      <c r="BG468" s="1837"/>
      <c r="BI468" s="1365"/>
      <c r="BJ468" s="1365"/>
      <c r="BK468" s="1365"/>
      <c r="BL468" s="1365"/>
      <c r="BM468" s="1365"/>
      <c r="BN468" s="1365"/>
      <c r="BO468" s="1365"/>
      <c r="BP468" s="1365"/>
      <c r="BQ468" s="1365"/>
      <c r="BR468" s="1365"/>
      <c r="BS468" s="1365"/>
    </row>
    <row r="469" spans="6:71">
      <c r="F469" s="622">
        <v>93.09</v>
      </c>
      <c r="G469" s="625" t="s">
        <v>78</v>
      </c>
      <c r="L469" s="626">
        <v>141.01</v>
      </c>
      <c r="M469" s="626" t="s">
        <v>49</v>
      </c>
      <c r="V469" s="622">
        <v>134.03</v>
      </c>
      <c r="W469" s="625" t="s">
        <v>85</v>
      </c>
      <c r="AB469" s="626">
        <v>43.04</v>
      </c>
      <c r="AC469" s="626" t="s">
        <v>78</v>
      </c>
      <c r="AJ469" s="622">
        <v>44.04</v>
      </c>
      <c r="AK469" s="625" t="s">
        <v>78</v>
      </c>
      <c r="AP469" s="1837"/>
      <c r="AQ469" s="1837"/>
      <c r="AZ469" s="622">
        <v>112.05</v>
      </c>
      <c r="BA469" s="622" t="s">
        <v>78</v>
      </c>
      <c r="BF469" s="1837"/>
      <c r="BG469" s="1837"/>
      <c r="BI469" s="1365"/>
      <c r="BJ469" s="1365"/>
      <c r="BK469" s="1365"/>
      <c r="BL469" s="1365"/>
      <c r="BM469" s="1365"/>
      <c r="BN469" s="1365"/>
      <c r="BO469" s="1365"/>
      <c r="BP469" s="1365"/>
      <c r="BQ469" s="1365"/>
      <c r="BR469" s="1365"/>
      <c r="BS469" s="1365"/>
    </row>
    <row r="470" spans="6:71">
      <c r="F470" s="622">
        <v>93.11</v>
      </c>
      <c r="G470" s="625" t="s">
        <v>78</v>
      </c>
      <c r="L470" s="626">
        <v>141.02000000000001</v>
      </c>
      <c r="M470" s="626" t="s">
        <v>49</v>
      </c>
      <c r="V470" s="622">
        <v>134.05000000000001</v>
      </c>
      <c r="W470" s="625" t="s">
        <v>85</v>
      </c>
      <c r="AB470" s="626">
        <v>44.03</v>
      </c>
      <c r="AC470" s="626" t="s">
        <v>78</v>
      </c>
      <c r="AJ470" s="622">
        <v>44.05</v>
      </c>
      <c r="AK470" s="625" t="s">
        <v>78</v>
      </c>
      <c r="AP470" s="1837"/>
      <c r="AQ470" s="1837"/>
      <c r="AZ470" s="622">
        <v>112.06</v>
      </c>
      <c r="BA470" s="625" t="s">
        <v>63</v>
      </c>
      <c r="BF470" s="1837"/>
      <c r="BG470" s="1837"/>
      <c r="BI470" s="1365"/>
      <c r="BJ470" s="1365"/>
      <c r="BK470" s="1365"/>
      <c r="BL470" s="1365"/>
      <c r="BM470" s="1365"/>
      <c r="BN470" s="1365"/>
      <c r="BO470" s="1365"/>
      <c r="BP470" s="1365"/>
      <c r="BQ470" s="1365"/>
      <c r="BR470" s="1365"/>
      <c r="BS470" s="1365"/>
    </row>
    <row r="471" spans="6:71">
      <c r="F471" s="622">
        <v>93.14</v>
      </c>
      <c r="G471" s="625" t="s">
        <v>78</v>
      </c>
      <c r="L471" s="626">
        <v>142.02000000000001</v>
      </c>
      <c r="M471" s="626" t="s">
        <v>49</v>
      </c>
      <c r="V471" s="622">
        <v>135</v>
      </c>
      <c r="W471" s="625" t="s">
        <v>78</v>
      </c>
      <c r="AB471" s="626">
        <v>44.04</v>
      </c>
      <c r="AC471" s="626" t="s">
        <v>78</v>
      </c>
      <c r="AJ471" s="622">
        <v>49.01</v>
      </c>
      <c r="AK471" s="625" t="s">
        <v>78</v>
      </c>
      <c r="AP471" s="1837"/>
      <c r="AQ471" s="1837"/>
      <c r="AZ471" s="622">
        <v>112.06</v>
      </c>
      <c r="BA471" s="625" t="s">
        <v>78</v>
      </c>
      <c r="BF471" s="1837"/>
      <c r="BG471" s="1837"/>
      <c r="BI471" s="1365"/>
      <c r="BJ471" s="1365"/>
      <c r="BK471" s="1365"/>
      <c r="BL471" s="1365"/>
      <c r="BM471" s="1365"/>
      <c r="BN471" s="1365"/>
      <c r="BO471" s="1365"/>
      <c r="BP471" s="1365"/>
      <c r="BQ471" s="1365"/>
      <c r="BR471" s="1365"/>
      <c r="BS471" s="1365"/>
    </row>
    <row r="472" spans="6:71">
      <c r="F472" s="622">
        <v>93.15</v>
      </c>
      <c r="G472" s="625" t="s">
        <v>78</v>
      </c>
      <c r="L472" s="626">
        <v>142.03</v>
      </c>
      <c r="M472" s="626" t="s">
        <v>49</v>
      </c>
      <c r="V472" s="622">
        <v>135.03</v>
      </c>
      <c r="W472" s="625" t="s">
        <v>85</v>
      </c>
      <c r="AB472" s="626">
        <v>44.05</v>
      </c>
      <c r="AC472" s="626" t="s">
        <v>78</v>
      </c>
      <c r="AJ472" s="622">
        <v>49.03</v>
      </c>
      <c r="AK472" s="625" t="s">
        <v>78</v>
      </c>
      <c r="AP472" s="1837"/>
      <c r="AQ472" s="1837"/>
      <c r="AZ472" s="622">
        <v>113</v>
      </c>
      <c r="BA472" s="625" t="s">
        <v>49</v>
      </c>
      <c r="BF472" s="1837"/>
      <c r="BG472" s="1837"/>
      <c r="BI472" s="1365"/>
      <c r="BJ472" s="1365"/>
      <c r="BK472" s="1365"/>
      <c r="BL472" s="1365"/>
      <c r="BM472" s="1365"/>
      <c r="BN472" s="1365"/>
      <c r="BO472" s="1365"/>
      <c r="BP472" s="1365"/>
      <c r="BQ472" s="1365"/>
      <c r="BR472" s="1365"/>
      <c r="BS472" s="1365"/>
    </row>
    <row r="473" spans="6:71">
      <c r="F473" s="622">
        <v>95.01</v>
      </c>
      <c r="G473" s="625" t="s">
        <v>78</v>
      </c>
      <c r="L473" s="626">
        <v>142.04</v>
      </c>
      <c r="M473" s="626" t="s">
        <v>49</v>
      </c>
      <c r="V473" s="622">
        <v>135.04</v>
      </c>
      <c r="W473" s="625" t="s">
        <v>63</v>
      </c>
      <c r="AB473" s="626">
        <v>44.06</v>
      </c>
      <c r="AC473" s="626" t="s">
        <v>78</v>
      </c>
      <c r="AJ473" s="622">
        <v>49.04</v>
      </c>
      <c r="AK473" s="625" t="s">
        <v>78</v>
      </c>
      <c r="AP473" s="1837"/>
      <c r="AQ473" s="1837"/>
      <c r="AZ473" s="622">
        <v>113</v>
      </c>
      <c r="BA473" s="625" t="s">
        <v>91</v>
      </c>
      <c r="BF473" s="1837"/>
      <c r="BG473" s="1837"/>
      <c r="BI473" s="1365"/>
      <c r="BJ473" s="1365"/>
      <c r="BK473" s="1365"/>
      <c r="BL473" s="1365"/>
      <c r="BM473" s="1365"/>
      <c r="BN473" s="1365"/>
      <c r="BO473" s="1365"/>
      <c r="BP473" s="1365"/>
      <c r="BQ473" s="1365"/>
      <c r="BR473" s="1365"/>
      <c r="BS473" s="1365"/>
    </row>
    <row r="474" spans="6:71">
      <c r="F474" s="622">
        <v>96</v>
      </c>
      <c r="G474" s="625" t="s">
        <v>78</v>
      </c>
      <c r="L474" s="626">
        <v>143.12</v>
      </c>
      <c r="M474" s="626" t="s">
        <v>49</v>
      </c>
      <c r="V474" s="622">
        <v>135.05000000000001</v>
      </c>
      <c r="W474" s="625" t="s">
        <v>63</v>
      </c>
      <c r="AB474" s="626">
        <v>45</v>
      </c>
      <c r="AC474" s="626" t="s">
        <v>78</v>
      </c>
      <c r="AJ474" s="622">
        <v>50.02</v>
      </c>
      <c r="AK474" s="625" t="s">
        <v>78</v>
      </c>
      <c r="AP474" s="1837"/>
      <c r="AQ474" s="1837"/>
      <c r="AZ474" s="622">
        <v>113.01</v>
      </c>
      <c r="BA474" s="622" t="s">
        <v>78</v>
      </c>
      <c r="BF474" s="1837"/>
      <c r="BG474" s="1837"/>
      <c r="BI474" s="1365"/>
      <c r="BJ474" s="1365"/>
      <c r="BK474" s="1365"/>
      <c r="BL474" s="1365"/>
      <c r="BM474" s="1365"/>
      <c r="BN474" s="1365"/>
      <c r="BO474" s="1365"/>
      <c r="BP474" s="1365"/>
      <c r="BQ474" s="1365"/>
      <c r="BR474" s="1365"/>
      <c r="BS474" s="1365"/>
    </row>
    <row r="475" spans="6:71">
      <c r="F475" s="622">
        <v>97.05</v>
      </c>
      <c r="G475" s="625" t="s">
        <v>78</v>
      </c>
      <c r="L475" s="626">
        <v>143.26</v>
      </c>
      <c r="M475" s="626" t="s">
        <v>49</v>
      </c>
      <c r="V475" s="622">
        <v>135.05000000000001</v>
      </c>
      <c r="W475" s="625" t="s">
        <v>85</v>
      </c>
      <c r="AB475" s="626">
        <v>46</v>
      </c>
      <c r="AC475" s="626" t="s">
        <v>63</v>
      </c>
      <c r="AJ475" s="622">
        <v>51.02</v>
      </c>
      <c r="AK475" s="625" t="s">
        <v>78</v>
      </c>
      <c r="AP475" s="1837"/>
      <c r="AQ475" s="1837"/>
      <c r="AZ475" s="622">
        <v>113.02</v>
      </c>
      <c r="BA475" s="622" t="s">
        <v>78</v>
      </c>
      <c r="BF475" s="1837"/>
      <c r="BG475" s="1837"/>
      <c r="BI475" s="1365"/>
      <c r="BJ475" s="1365"/>
      <c r="BK475" s="1365"/>
      <c r="BL475" s="1365"/>
      <c r="BM475" s="1365"/>
      <c r="BN475" s="1365"/>
      <c r="BO475" s="1365"/>
      <c r="BP475" s="1365"/>
      <c r="BQ475" s="1365"/>
      <c r="BR475" s="1365"/>
      <c r="BS475" s="1365"/>
    </row>
    <row r="476" spans="6:71">
      <c r="F476" s="622">
        <v>100.01</v>
      </c>
      <c r="G476" s="625" t="s">
        <v>78</v>
      </c>
      <c r="L476" s="626">
        <v>143.28</v>
      </c>
      <c r="M476" s="626" t="s">
        <v>49</v>
      </c>
      <c r="V476" s="622">
        <v>135.08000000000001</v>
      </c>
      <c r="W476" s="625" t="s">
        <v>85</v>
      </c>
      <c r="AB476" s="626">
        <v>46.02</v>
      </c>
      <c r="AC476" s="626" t="s">
        <v>78</v>
      </c>
      <c r="AJ476" s="622">
        <v>51.03</v>
      </c>
      <c r="AK476" s="625" t="s">
        <v>78</v>
      </c>
      <c r="AP476" s="1837"/>
      <c r="AQ476" s="1837"/>
      <c r="AZ476" s="622">
        <v>113.03</v>
      </c>
      <c r="BA476" s="625" t="s">
        <v>44</v>
      </c>
      <c r="BF476" s="1837"/>
      <c r="BG476" s="1837"/>
      <c r="BI476" s="1365"/>
      <c r="BJ476" s="1365"/>
      <c r="BK476" s="1365"/>
      <c r="BL476" s="1365"/>
      <c r="BM476" s="1365"/>
      <c r="BN476" s="1365"/>
      <c r="BO476" s="1365"/>
      <c r="BP476" s="1365"/>
      <c r="BQ476" s="1365"/>
      <c r="BR476" s="1365"/>
      <c r="BS476" s="1365"/>
    </row>
    <row r="477" spans="6:71">
      <c r="F477" s="622">
        <v>100.1</v>
      </c>
      <c r="G477" s="625" t="s">
        <v>78</v>
      </c>
      <c r="L477" s="626">
        <v>143.29</v>
      </c>
      <c r="M477" s="626" t="s">
        <v>49</v>
      </c>
      <c r="V477" s="622">
        <v>135.1</v>
      </c>
      <c r="W477" s="625" t="s">
        <v>85</v>
      </c>
      <c r="AB477" s="626">
        <v>46.05</v>
      </c>
      <c r="AC477" s="626" t="s">
        <v>78</v>
      </c>
      <c r="AJ477" s="622">
        <v>51.04</v>
      </c>
      <c r="AK477" s="625" t="s">
        <v>78</v>
      </c>
      <c r="AP477" s="1837"/>
      <c r="AQ477" s="1837"/>
      <c r="AZ477" s="622">
        <v>113.04</v>
      </c>
      <c r="BA477" s="625" t="s">
        <v>44</v>
      </c>
      <c r="BF477" s="1837"/>
      <c r="BG477" s="1837"/>
      <c r="BI477" s="1365"/>
      <c r="BJ477" s="1365"/>
      <c r="BK477" s="1365"/>
      <c r="BL477" s="1365"/>
      <c r="BM477" s="1365"/>
      <c r="BN477" s="1365"/>
      <c r="BO477" s="1365"/>
      <c r="BP477" s="1365"/>
      <c r="BQ477" s="1365"/>
      <c r="BR477" s="1365"/>
      <c r="BS477" s="1365"/>
    </row>
    <row r="478" spans="6:71">
      <c r="F478" s="622">
        <v>100.11</v>
      </c>
      <c r="G478" s="625" t="s">
        <v>78</v>
      </c>
      <c r="L478" s="626">
        <v>143.30000000000001</v>
      </c>
      <c r="M478" s="626" t="s">
        <v>49</v>
      </c>
      <c r="V478" s="622">
        <v>135.11000000000001</v>
      </c>
      <c r="W478" s="625" t="s">
        <v>85</v>
      </c>
      <c r="AB478" s="626">
        <v>46.07</v>
      </c>
      <c r="AC478" s="626" t="s">
        <v>78</v>
      </c>
      <c r="AJ478" s="622">
        <v>52.01</v>
      </c>
      <c r="AK478" s="625" t="s">
        <v>78</v>
      </c>
      <c r="AP478" s="1837"/>
      <c r="AQ478" s="1837"/>
      <c r="AZ478" s="622">
        <v>113.05</v>
      </c>
      <c r="BA478" s="625" t="s">
        <v>44</v>
      </c>
      <c r="BF478" s="1837"/>
      <c r="BG478" s="1837"/>
      <c r="BI478" s="1365"/>
      <c r="BJ478" s="1365"/>
      <c r="BK478" s="1365"/>
      <c r="BL478" s="1365"/>
      <c r="BM478" s="1365"/>
      <c r="BN478" s="1365"/>
      <c r="BO478" s="1365"/>
      <c r="BP478" s="1365"/>
      <c r="BQ478" s="1365"/>
      <c r="BR478" s="1365"/>
      <c r="BS478" s="1365"/>
    </row>
    <row r="479" spans="6:71">
      <c r="F479" s="622">
        <v>100.15</v>
      </c>
      <c r="G479" s="625" t="s">
        <v>78</v>
      </c>
      <c r="L479" s="626">
        <v>143.31</v>
      </c>
      <c r="M479" s="626" t="s">
        <v>49</v>
      </c>
      <c r="V479" s="622">
        <v>135.12</v>
      </c>
      <c r="W479" s="625" t="s">
        <v>85</v>
      </c>
      <c r="AB479" s="626">
        <v>46.08</v>
      </c>
      <c r="AC479" s="626" t="s">
        <v>78</v>
      </c>
      <c r="AJ479" s="622">
        <v>52.02</v>
      </c>
      <c r="AK479" s="625" t="s">
        <v>78</v>
      </c>
      <c r="AP479" s="1837"/>
      <c r="AQ479" s="1837"/>
      <c r="AZ479" s="622">
        <v>113.06</v>
      </c>
      <c r="BA479" s="625" t="s">
        <v>44</v>
      </c>
      <c r="BF479" s="1837"/>
      <c r="BG479" s="1837"/>
      <c r="BI479" s="1365"/>
      <c r="BJ479" s="1365"/>
      <c r="BK479" s="1365"/>
      <c r="BL479" s="1365"/>
      <c r="BM479" s="1365"/>
      <c r="BN479" s="1365"/>
      <c r="BO479" s="1365"/>
      <c r="BP479" s="1365"/>
      <c r="BQ479" s="1365"/>
      <c r="BR479" s="1365"/>
      <c r="BS479" s="1365"/>
    </row>
    <row r="480" spans="6:71">
      <c r="F480" s="622">
        <v>102.07</v>
      </c>
      <c r="G480" s="625" t="s">
        <v>78</v>
      </c>
      <c r="L480" s="626">
        <v>143.32</v>
      </c>
      <c r="M480" s="626" t="s">
        <v>49</v>
      </c>
      <c r="V480" s="622">
        <v>136</v>
      </c>
      <c r="W480" s="625" t="s">
        <v>78</v>
      </c>
      <c r="AB480" s="626">
        <v>47</v>
      </c>
      <c r="AC480" s="626" t="s">
        <v>63</v>
      </c>
      <c r="AJ480" s="622">
        <v>53.03</v>
      </c>
      <c r="AK480" s="625" t="s">
        <v>78</v>
      </c>
      <c r="AP480" s="1837"/>
      <c r="AQ480" s="1837"/>
      <c r="AZ480" s="622">
        <v>114</v>
      </c>
      <c r="BA480" s="625" t="s">
        <v>44</v>
      </c>
      <c r="BF480" s="1837"/>
      <c r="BG480" s="1837"/>
      <c r="BI480" s="1365"/>
      <c r="BJ480" s="1365"/>
      <c r="BK480" s="1365"/>
      <c r="BL480" s="1365"/>
      <c r="BM480" s="1365"/>
      <c r="BN480" s="1365"/>
      <c r="BO480" s="1365"/>
      <c r="BP480" s="1365"/>
      <c r="BQ480" s="1365"/>
      <c r="BR480" s="1365"/>
      <c r="BS480" s="1365"/>
    </row>
    <row r="481" spans="6:71">
      <c r="F481" s="622">
        <v>102.08</v>
      </c>
      <c r="G481" s="625" t="s">
        <v>78</v>
      </c>
      <c r="L481" s="626">
        <v>143.33000000000001</v>
      </c>
      <c r="M481" s="626" t="s">
        <v>49</v>
      </c>
      <c r="V481" s="622">
        <v>136</v>
      </c>
      <c r="W481" s="622" t="s">
        <v>91</v>
      </c>
      <c r="AB481" s="626">
        <v>47.01</v>
      </c>
      <c r="AC481" s="626" t="s">
        <v>78</v>
      </c>
      <c r="AJ481" s="622">
        <v>53.04</v>
      </c>
      <c r="AK481" s="625" t="s">
        <v>78</v>
      </c>
      <c r="AP481" s="1837"/>
      <c r="AQ481" s="1837"/>
      <c r="AZ481" s="622">
        <v>114</v>
      </c>
      <c r="BA481" s="625" t="s">
        <v>49</v>
      </c>
      <c r="BF481" s="1837"/>
      <c r="BG481" s="1837"/>
      <c r="BI481" s="1365"/>
      <c r="BJ481" s="1365"/>
      <c r="BK481" s="1365"/>
      <c r="BL481" s="1365"/>
      <c r="BM481" s="1365"/>
      <c r="BN481" s="1365"/>
      <c r="BO481" s="1365"/>
      <c r="BP481" s="1365"/>
      <c r="BQ481" s="1365"/>
      <c r="BR481" s="1365"/>
      <c r="BS481" s="1365"/>
    </row>
    <row r="482" spans="6:71">
      <c r="F482" s="622">
        <v>106.09</v>
      </c>
      <c r="G482" s="625" t="s">
        <v>78</v>
      </c>
      <c r="L482" s="626">
        <v>143.34</v>
      </c>
      <c r="M482" s="626" t="s">
        <v>49</v>
      </c>
      <c r="V482" s="622">
        <v>136.02000000000001</v>
      </c>
      <c r="W482" s="625" t="s">
        <v>63</v>
      </c>
      <c r="AB482" s="626">
        <v>47.02</v>
      </c>
      <c r="AC482" s="626" t="s">
        <v>78</v>
      </c>
      <c r="AJ482" s="622">
        <v>53.05</v>
      </c>
      <c r="AK482" s="625" t="s">
        <v>78</v>
      </c>
      <c r="AP482" s="1837"/>
      <c r="AQ482" s="1837"/>
      <c r="AZ482" s="622">
        <v>114</v>
      </c>
      <c r="BA482" s="622" t="s">
        <v>91</v>
      </c>
      <c r="BF482" s="1837"/>
      <c r="BG482" s="1837"/>
      <c r="BI482" s="1365"/>
      <c r="BJ482" s="1365"/>
      <c r="BK482" s="1365"/>
      <c r="BL482" s="1365"/>
      <c r="BM482" s="1365"/>
      <c r="BN482" s="1365"/>
      <c r="BO482" s="1365"/>
      <c r="BP482" s="1365"/>
      <c r="BQ482" s="1365"/>
      <c r="BR482" s="1365"/>
      <c r="BS482" s="1365"/>
    </row>
    <row r="483" spans="6:71">
      <c r="F483" s="622">
        <v>108.01</v>
      </c>
      <c r="G483" s="625" t="s">
        <v>78</v>
      </c>
      <c r="L483" s="626">
        <v>143.35</v>
      </c>
      <c r="M483" s="626" t="s">
        <v>49</v>
      </c>
      <c r="V483" s="622">
        <v>136.04</v>
      </c>
      <c r="W483" s="625" t="s">
        <v>63</v>
      </c>
      <c r="AB483" s="626">
        <v>47.03</v>
      </c>
      <c r="AC483" s="626" t="s">
        <v>78</v>
      </c>
      <c r="AJ483" s="622">
        <v>53.06</v>
      </c>
      <c r="AK483" s="625" t="s">
        <v>78</v>
      </c>
      <c r="AP483" s="1837"/>
      <c r="AQ483" s="1837"/>
      <c r="AZ483" s="622">
        <v>114.05</v>
      </c>
      <c r="BA483" s="622" t="s">
        <v>78</v>
      </c>
      <c r="BF483" s="1837"/>
      <c r="BG483" s="1837"/>
      <c r="BI483" s="1365"/>
      <c r="BJ483" s="1365"/>
      <c r="BK483" s="1365"/>
      <c r="BL483" s="1365"/>
      <c r="BM483" s="1365"/>
      <c r="BN483" s="1365"/>
      <c r="BO483" s="1365"/>
      <c r="BP483" s="1365"/>
      <c r="BQ483" s="1365"/>
      <c r="BR483" s="1365"/>
      <c r="BS483" s="1365"/>
    </row>
    <row r="484" spans="6:71">
      <c r="F484" s="622">
        <v>108.02</v>
      </c>
      <c r="G484" s="625" t="s">
        <v>78</v>
      </c>
      <c r="L484" s="626">
        <v>143.36000000000001</v>
      </c>
      <c r="M484" s="626" t="s">
        <v>49</v>
      </c>
      <c r="V484" s="622">
        <v>136.05000000000001</v>
      </c>
      <c r="W484" s="625" t="s">
        <v>85</v>
      </c>
      <c r="AB484" s="626">
        <v>48.09</v>
      </c>
      <c r="AC484" s="626" t="s">
        <v>87</v>
      </c>
      <c r="AJ484" s="622">
        <v>54.03</v>
      </c>
      <c r="AK484" s="625" t="s">
        <v>78</v>
      </c>
      <c r="AP484" s="1837"/>
      <c r="AQ484" s="1837"/>
      <c r="AZ484" s="622">
        <v>114.06</v>
      </c>
      <c r="BA484" s="625" t="s">
        <v>78</v>
      </c>
      <c r="BF484" s="1837"/>
      <c r="BG484" s="1837"/>
      <c r="BI484" s="1365"/>
      <c r="BJ484" s="1365"/>
      <c r="BK484" s="1365"/>
      <c r="BL484" s="1365"/>
      <c r="BM484" s="1365"/>
      <c r="BN484" s="1365"/>
      <c r="BO484" s="1365"/>
      <c r="BP484" s="1365"/>
      <c r="BQ484" s="1365"/>
      <c r="BR484" s="1365"/>
      <c r="BS484" s="1365"/>
    </row>
    <row r="485" spans="6:71">
      <c r="F485" s="622">
        <v>109</v>
      </c>
      <c r="G485" s="625" t="s">
        <v>78</v>
      </c>
      <c r="L485" s="626">
        <v>143.37</v>
      </c>
      <c r="M485" s="626" t="s">
        <v>49</v>
      </c>
      <c r="V485" s="622">
        <v>136.06</v>
      </c>
      <c r="W485" s="625" t="s">
        <v>85</v>
      </c>
      <c r="AB485" s="626">
        <v>48.15</v>
      </c>
      <c r="AC485" s="626" t="s">
        <v>87</v>
      </c>
      <c r="AJ485" s="622">
        <v>54.05</v>
      </c>
      <c r="AK485" s="625" t="s">
        <v>78</v>
      </c>
      <c r="AP485" s="1837"/>
      <c r="AQ485" s="1837"/>
      <c r="AZ485" s="622">
        <v>114.07</v>
      </c>
      <c r="BA485" s="625" t="s">
        <v>78</v>
      </c>
      <c r="BF485" s="1837"/>
      <c r="BG485" s="1837"/>
      <c r="BI485" s="1365"/>
      <c r="BJ485" s="1365"/>
      <c r="BK485" s="1365"/>
      <c r="BL485" s="1365"/>
      <c r="BM485" s="1365"/>
      <c r="BN485" s="1365"/>
      <c r="BO485" s="1365"/>
      <c r="BP485" s="1365"/>
      <c r="BQ485" s="1365"/>
      <c r="BR485" s="1365"/>
      <c r="BS485" s="1365"/>
    </row>
    <row r="486" spans="6:71">
      <c r="F486" s="622">
        <v>110.01</v>
      </c>
      <c r="G486" s="625" t="s">
        <v>78</v>
      </c>
      <c r="L486" s="626">
        <v>143.38</v>
      </c>
      <c r="M486" s="626" t="s">
        <v>49</v>
      </c>
      <c r="V486" s="622">
        <v>137</v>
      </c>
      <c r="W486" s="625" t="s">
        <v>78</v>
      </c>
      <c r="AB486" s="626">
        <v>49</v>
      </c>
      <c r="AC486" s="626" t="s">
        <v>63</v>
      </c>
      <c r="AJ486" s="622">
        <v>54.06</v>
      </c>
      <c r="AK486" s="625" t="s">
        <v>78</v>
      </c>
      <c r="AP486" s="1837"/>
      <c r="AQ486" s="1837"/>
      <c r="AZ486" s="622">
        <v>114.08</v>
      </c>
      <c r="BA486" s="625" t="s">
        <v>78</v>
      </c>
      <c r="BF486" s="1837"/>
      <c r="BG486" s="1837"/>
      <c r="BI486" s="1365"/>
      <c r="BJ486" s="1365"/>
      <c r="BK486" s="1365"/>
      <c r="BL486" s="1365"/>
      <c r="BM486" s="1365"/>
      <c r="BN486" s="1365"/>
      <c r="BO486" s="1365"/>
      <c r="BP486" s="1365"/>
      <c r="BQ486" s="1365"/>
      <c r="BR486" s="1365"/>
      <c r="BS486" s="1365"/>
    </row>
    <row r="487" spans="6:71">
      <c r="F487" s="622">
        <v>110.03</v>
      </c>
      <c r="G487" s="625" t="s">
        <v>78</v>
      </c>
      <c r="L487" s="626">
        <v>144.01</v>
      </c>
      <c r="M487" s="626" t="s">
        <v>49</v>
      </c>
      <c r="V487" s="622">
        <v>137.01</v>
      </c>
      <c r="W487" s="622" t="s">
        <v>91</v>
      </c>
      <c r="AB487" s="626">
        <v>49.02</v>
      </c>
      <c r="AC487" s="626" t="s">
        <v>87</v>
      </c>
      <c r="AJ487" s="622">
        <v>54.09</v>
      </c>
      <c r="AK487" s="625" t="s">
        <v>78</v>
      </c>
      <c r="AP487" s="1837"/>
      <c r="AQ487" s="1837"/>
      <c r="AZ487" s="622">
        <v>115</v>
      </c>
      <c r="BA487" s="625" t="s">
        <v>49</v>
      </c>
      <c r="BF487" s="1837"/>
      <c r="BG487" s="1837"/>
      <c r="BI487" s="1365"/>
      <c r="BJ487" s="1365"/>
      <c r="BK487" s="1365"/>
      <c r="BL487" s="1365"/>
      <c r="BM487" s="1365"/>
      <c r="BN487" s="1365"/>
      <c r="BO487" s="1365"/>
      <c r="BP487" s="1365"/>
      <c r="BQ487" s="1365"/>
      <c r="BR487" s="1365"/>
      <c r="BS487" s="1365"/>
    </row>
    <row r="488" spans="6:71">
      <c r="F488" s="622">
        <v>111.01</v>
      </c>
      <c r="G488" s="625" t="s">
        <v>78</v>
      </c>
      <c r="L488" s="626">
        <v>144.04</v>
      </c>
      <c r="M488" s="626" t="s">
        <v>49</v>
      </c>
      <c r="V488" s="622">
        <v>138.01</v>
      </c>
      <c r="W488" s="625" t="s">
        <v>63</v>
      </c>
      <c r="AB488" s="626">
        <v>51.01</v>
      </c>
      <c r="AC488" s="626" t="s">
        <v>63</v>
      </c>
      <c r="AJ488" s="622">
        <v>54.1</v>
      </c>
      <c r="AK488" s="625" t="s">
        <v>78</v>
      </c>
      <c r="AP488" s="1837"/>
      <c r="AQ488" s="1837"/>
      <c r="AZ488" s="622">
        <v>115.01</v>
      </c>
      <c r="BA488" s="622" t="s">
        <v>91</v>
      </c>
      <c r="BF488" s="1837"/>
      <c r="BG488" s="1837"/>
      <c r="BI488" s="1365"/>
      <c r="BJ488" s="1365"/>
      <c r="BK488" s="1365"/>
      <c r="BL488" s="1365"/>
      <c r="BM488" s="1365"/>
      <c r="BN488" s="1365"/>
      <c r="BO488" s="1365"/>
      <c r="BP488" s="1365"/>
      <c r="BQ488" s="1365"/>
      <c r="BR488" s="1365"/>
      <c r="BS488" s="1365"/>
    </row>
    <row r="489" spans="6:71">
      <c r="F489" s="622">
        <v>112.01</v>
      </c>
      <c r="G489" s="625" t="s">
        <v>78</v>
      </c>
      <c r="L489" s="626">
        <v>144.06</v>
      </c>
      <c r="M489" s="626" t="s">
        <v>49</v>
      </c>
      <c r="V489" s="622">
        <v>138.03</v>
      </c>
      <c r="W489" s="625" t="s">
        <v>63</v>
      </c>
      <c r="AB489" s="626">
        <v>51.02</v>
      </c>
      <c r="AC489" s="626" t="s">
        <v>63</v>
      </c>
      <c r="AJ489" s="622">
        <v>55.03</v>
      </c>
      <c r="AK489" s="625" t="s">
        <v>78</v>
      </c>
      <c r="AP489" s="1837"/>
      <c r="AQ489" s="1837"/>
      <c r="AZ489" s="622">
        <v>116</v>
      </c>
      <c r="BA489" s="625" t="s">
        <v>49</v>
      </c>
      <c r="BF489" s="1837"/>
      <c r="BG489" s="1837"/>
      <c r="BI489" s="1365"/>
      <c r="BJ489" s="1365"/>
      <c r="BK489" s="1365"/>
      <c r="BL489" s="1365"/>
      <c r="BM489" s="1365"/>
      <c r="BN489" s="1365"/>
      <c r="BO489" s="1365"/>
      <c r="BP489" s="1365"/>
      <c r="BQ489" s="1365"/>
      <c r="BR489" s="1365"/>
      <c r="BS489" s="1365"/>
    </row>
    <row r="490" spans="6:71">
      <c r="F490" s="622">
        <v>112.02</v>
      </c>
      <c r="G490" s="625" t="s">
        <v>78</v>
      </c>
      <c r="L490" s="626">
        <v>144.08000000000001</v>
      </c>
      <c r="M490" s="626" t="s">
        <v>49</v>
      </c>
      <c r="V490" s="622">
        <v>140.02000000000001</v>
      </c>
      <c r="W490" s="625" t="s">
        <v>63</v>
      </c>
      <c r="AB490" s="626">
        <v>53</v>
      </c>
      <c r="AC490" s="626" t="s">
        <v>87</v>
      </c>
      <c r="AJ490" s="622">
        <v>55.04</v>
      </c>
      <c r="AK490" s="625" t="s">
        <v>78</v>
      </c>
      <c r="AP490" s="1837"/>
      <c r="AQ490" s="1837"/>
      <c r="AZ490" s="622">
        <v>116</v>
      </c>
      <c r="BA490" s="622" t="s">
        <v>85</v>
      </c>
      <c r="BF490" s="1837"/>
      <c r="BG490" s="1837"/>
      <c r="BI490" s="1365"/>
      <c r="BJ490" s="1365"/>
      <c r="BK490" s="1365"/>
      <c r="BL490" s="1365"/>
      <c r="BM490" s="1365"/>
      <c r="BN490" s="1365"/>
      <c r="BO490" s="1365"/>
      <c r="BP490" s="1365"/>
      <c r="BQ490" s="1365"/>
      <c r="BR490" s="1365"/>
      <c r="BS490" s="1365"/>
    </row>
    <row r="491" spans="6:71">
      <c r="F491" s="622">
        <v>113</v>
      </c>
      <c r="G491" s="625" t="s">
        <v>78</v>
      </c>
      <c r="L491" s="626">
        <v>144.09</v>
      </c>
      <c r="M491" s="626" t="s">
        <v>49</v>
      </c>
      <c r="V491" s="622">
        <v>140.13</v>
      </c>
      <c r="W491" s="625" t="s">
        <v>63</v>
      </c>
      <c r="AB491" s="626">
        <v>53.01</v>
      </c>
      <c r="AC491" s="626" t="s">
        <v>63</v>
      </c>
      <c r="AJ491" s="622">
        <v>55.05</v>
      </c>
      <c r="AK491" s="625" t="s">
        <v>78</v>
      </c>
      <c r="AP491" s="1837"/>
      <c r="AQ491" s="1837"/>
      <c r="AZ491" s="622">
        <v>116.04</v>
      </c>
      <c r="BA491" s="622" t="s">
        <v>91</v>
      </c>
      <c r="BF491" s="1837"/>
      <c r="BG491" s="1837"/>
      <c r="BI491" s="1365"/>
      <c r="BJ491" s="1365"/>
      <c r="BK491" s="1365"/>
      <c r="BL491" s="1365"/>
      <c r="BM491" s="1365"/>
      <c r="BN491" s="1365"/>
      <c r="BO491" s="1365"/>
      <c r="BP491" s="1365"/>
      <c r="BQ491" s="1365"/>
      <c r="BR491" s="1365"/>
      <c r="BS491" s="1365"/>
    </row>
    <row r="492" spans="6:71">
      <c r="F492" s="622">
        <v>114.03</v>
      </c>
      <c r="G492" s="625" t="s">
        <v>78</v>
      </c>
      <c r="L492" s="626">
        <v>144.1</v>
      </c>
      <c r="M492" s="626" t="s">
        <v>49</v>
      </c>
      <c r="V492" s="622">
        <v>141.08000000000001</v>
      </c>
      <c r="W492" s="625" t="s">
        <v>63</v>
      </c>
      <c r="AB492" s="626">
        <v>54.01</v>
      </c>
      <c r="AC492" s="626" t="s">
        <v>63</v>
      </c>
      <c r="AJ492" s="622">
        <v>57.01</v>
      </c>
      <c r="AK492" s="625" t="s">
        <v>78</v>
      </c>
      <c r="AP492" s="1837"/>
      <c r="AQ492" s="1837"/>
      <c r="AZ492" s="622">
        <v>116.1</v>
      </c>
      <c r="BA492" s="625" t="s">
        <v>63</v>
      </c>
      <c r="BF492" s="1837"/>
      <c r="BG492" s="1837"/>
      <c r="BI492" s="1365"/>
      <c r="BJ492" s="1365"/>
      <c r="BK492" s="1365"/>
      <c r="BL492" s="1365"/>
      <c r="BM492" s="1365"/>
      <c r="BN492" s="1365"/>
      <c r="BO492" s="1365"/>
      <c r="BP492" s="1365"/>
      <c r="BQ492" s="1365"/>
      <c r="BR492" s="1365"/>
      <c r="BS492" s="1365"/>
    </row>
    <row r="493" spans="6:71">
      <c r="F493" s="622">
        <v>114.04</v>
      </c>
      <c r="G493" s="625" t="s">
        <v>78</v>
      </c>
      <c r="L493" s="626">
        <v>144.11000000000001</v>
      </c>
      <c r="M493" s="626" t="s">
        <v>49</v>
      </c>
      <c r="V493" s="622">
        <v>141.21</v>
      </c>
      <c r="W493" s="622" t="s">
        <v>91</v>
      </c>
      <c r="AB493" s="626">
        <v>54.05</v>
      </c>
      <c r="AC493" s="626" t="s">
        <v>87</v>
      </c>
      <c r="AJ493" s="622">
        <v>57.05</v>
      </c>
      <c r="AK493" s="625" t="s">
        <v>78</v>
      </c>
      <c r="AP493" s="1837"/>
      <c r="AQ493" s="1837"/>
      <c r="AZ493" s="622">
        <v>116.14</v>
      </c>
      <c r="BA493" s="625" t="s">
        <v>63</v>
      </c>
      <c r="BF493" s="1837"/>
      <c r="BG493" s="1837"/>
      <c r="BI493" s="1365"/>
      <c r="BJ493" s="1365"/>
      <c r="BK493" s="1365"/>
      <c r="BL493" s="1365"/>
      <c r="BM493" s="1365"/>
      <c r="BN493" s="1365"/>
      <c r="BO493" s="1365"/>
      <c r="BP493" s="1365"/>
      <c r="BQ493" s="1365"/>
      <c r="BR493" s="1365"/>
      <c r="BS493" s="1365"/>
    </row>
    <row r="494" spans="6:71">
      <c r="F494" s="622">
        <v>117</v>
      </c>
      <c r="G494" s="625" t="s">
        <v>78</v>
      </c>
      <c r="L494" s="626">
        <v>144.12</v>
      </c>
      <c r="M494" s="626" t="s">
        <v>49</v>
      </c>
      <c r="V494" s="622">
        <v>143.01</v>
      </c>
      <c r="W494" s="622" t="s">
        <v>91</v>
      </c>
      <c r="AB494" s="626">
        <v>54.07</v>
      </c>
      <c r="AC494" s="626" t="s">
        <v>87</v>
      </c>
      <c r="AJ494" s="622">
        <v>57.06</v>
      </c>
      <c r="AK494" s="625" t="s">
        <v>78</v>
      </c>
      <c r="AP494" s="1837"/>
      <c r="AQ494" s="1837"/>
      <c r="AZ494" s="622">
        <v>117.01</v>
      </c>
      <c r="BA494" s="622" t="s">
        <v>78</v>
      </c>
      <c r="BF494" s="1837"/>
      <c r="BG494" s="1837"/>
      <c r="BI494" s="1365"/>
      <c r="BJ494" s="1365"/>
      <c r="BK494" s="1365"/>
      <c r="BL494" s="1365"/>
      <c r="BM494" s="1365"/>
      <c r="BN494" s="1365"/>
      <c r="BO494" s="1365"/>
      <c r="BP494" s="1365"/>
      <c r="BQ494" s="1365"/>
      <c r="BR494" s="1365"/>
      <c r="BS494" s="1365"/>
    </row>
    <row r="495" spans="6:71">
      <c r="F495" s="622">
        <v>120</v>
      </c>
      <c r="G495" s="625" t="s">
        <v>78</v>
      </c>
      <c r="L495" s="626">
        <v>144.13</v>
      </c>
      <c r="M495" s="626" t="s">
        <v>49</v>
      </c>
      <c r="V495" s="622">
        <v>143.02000000000001</v>
      </c>
      <c r="W495" s="625" t="s">
        <v>85</v>
      </c>
      <c r="AB495" s="626">
        <v>54.09</v>
      </c>
      <c r="AC495" s="626" t="s">
        <v>87</v>
      </c>
      <c r="AJ495" s="622">
        <v>57.07</v>
      </c>
      <c r="AK495" s="625" t="s">
        <v>78</v>
      </c>
      <c r="AP495" s="1837"/>
      <c r="AQ495" s="1837"/>
      <c r="AZ495" s="622">
        <v>117.02</v>
      </c>
      <c r="BA495" s="625" t="s">
        <v>78</v>
      </c>
      <c r="BF495" s="1837"/>
      <c r="BG495" s="1837"/>
      <c r="BI495" s="1365"/>
      <c r="BJ495" s="1365"/>
      <c r="BK495" s="1365"/>
      <c r="BL495" s="1365"/>
      <c r="BM495" s="1365"/>
      <c r="BN495" s="1365"/>
      <c r="BO495" s="1365"/>
      <c r="BP495" s="1365"/>
      <c r="BQ495" s="1365"/>
      <c r="BR495" s="1365"/>
      <c r="BS495" s="1365"/>
    </row>
    <row r="496" spans="6:71">
      <c r="F496" s="622">
        <v>135</v>
      </c>
      <c r="G496" s="625" t="s">
        <v>78</v>
      </c>
      <c r="L496" s="626">
        <v>146.01</v>
      </c>
      <c r="M496" s="626" t="s">
        <v>49</v>
      </c>
      <c r="V496" s="622">
        <v>145.02000000000001</v>
      </c>
      <c r="W496" s="625" t="s">
        <v>85</v>
      </c>
      <c r="AB496" s="626">
        <v>54.11</v>
      </c>
      <c r="AC496" s="626" t="s">
        <v>87</v>
      </c>
      <c r="AJ496" s="622">
        <v>57.08</v>
      </c>
      <c r="AK496" s="625" t="s">
        <v>78</v>
      </c>
      <c r="AP496" s="1837"/>
      <c r="AQ496" s="1837"/>
      <c r="AZ496" s="622">
        <v>117.02</v>
      </c>
      <c r="BA496" s="622" t="s">
        <v>85</v>
      </c>
      <c r="BF496" s="1837"/>
      <c r="BG496" s="1837"/>
      <c r="BI496" s="1365"/>
      <c r="BJ496" s="1365"/>
      <c r="BK496" s="1365"/>
      <c r="BL496" s="1365"/>
      <c r="BM496" s="1365"/>
      <c r="BN496" s="1365"/>
      <c r="BO496" s="1365"/>
      <c r="BP496" s="1365"/>
      <c r="BQ496" s="1365"/>
      <c r="BR496" s="1365"/>
      <c r="BS496" s="1365"/>
    </row>
    <row r="497" spans="6:71">
      <c r="F497" s="622">
        <v>136</v>
      </c>
      <c r="G497" s="625" t="s">
        <v>78</v>
      </c>
      <c r="L497" s="626">
        <v>146.03</v>
      </c>
      <c r="M497" s="626" t="s">
        <v>49</v>
      </c>
      <c r="V497" s="622">
        <v>145.02000000000001</v>
      </c>
      <c r="W497" s="622" t="s">
        <v>91</v>
      </c>
      <c r="AB497" s="626">
        <v>55</v>
      </c>
      <c r="AC497" s="626" t="s">
        <v>63</v>
      </c>
      <c r="AJ497" s="622">
        <v>63.03</v>
      </c>
      <c r="AK497" s="625" t="s">
        <v>78</v>
      </c>
      <c r="AP497" s="1837"/>
      <c r="AQ497" s="1837"/>
      <c r="AZ497" s="622">
        <v>117.04</v>
      </c>
      <c r="BA497" s="622" t="s">
        <v>91</v>
      </c>
      <c r="BF497" s="1837"/>
      <c r="BG497" s="1837"/>
      <c r="BI497" s="1365"/>
      <c r="BJ497" s="1365"/>
      <c r="BK497" s="1365"/>
      <c r="BL497" s="1365"/>
      <c r="BM497" s="1365"/>
      <c r="BN497" s="1365"/>
      <c r="BO497" s="1365"/>
      <c r="BP497" s="1365"/>
      <c r="BQ497" s="1365"/>
      <c r="BR497" s="1365"/>
      <c r="BS497" s="1365"/>
    </row>
    <row r="498" spans="6:71">
      <c r="F498" s="622">
        <v>137</v>
      </c>
      <c r="G498" s="625" t="s">
        <v>78</v>
      </c>
      <c r="L498" s="626">
        <v>147.01</v>
      </c>
      <c r="M498" s="626" t="s">
        <v>49</v>
      </c>
      <c r="V498" s="622">
        <v>145.03</v>
      </c>
      <c r="W498" s="625" t="s">
        <v>85</v>
      </c>
      <c r="AB498" s="626">
        <v>56</v>
      </c>
      <c r="AC498" s="626" t="s">
        <v>78</v>
      </c>
      <c r="AJ498" s="622">
        <v>63.04</v>
      </c>
      <c r="AK498" s="625" t="s">
        <v>78</v>
      </c>
      <c r="AP498" s="1837"/>
      <c r="AQ498" s="1837"/>
      <c r="AZ498" s="622">
        <v>117.22</v>
      </c>
      <c r="BA498" s="622" t="s">
        <v>91</v>
      </c>
      <c r="BF498" s="1837"/>
      <c r="BG498" s="1837"/>
      <c r="BI498" s="1365"/>
      <c r="BJ498" s="1365"/>
      <c r="BK498" s="1365"/>
      <c r="BL498" s="1365"/>
      <c r="BM498" s="1365"/>
      <c r="BN498" s="1365"/>
      <c r="BO498" s="1365"/>
      <c r="BP498" s="1365"/>
      <c r="BQ498" s="1365"/>
      <c r="BR498" s="1365"/>
      <c r="BS498" s="1365"/>
    </row>
    <row r="499" spans="6:71">
      <c r="F499" s="622">
        <v>9807</v>
      </c>
      <c r="G499" s="625" t="s">
        <v>78</v>
      </c>
      <c r="L499" s="626">
        <v>147.02000000000001</v>
      </c>
      <c r="M499" s="626" t="s">
        <v>49</v>
      </c>
      <c r="V499" s="622">
        <v>146.01</v>
      </c>
      <c r="W499" s="625" t="s">
        <v>85</v>
      </c>
      <c r="AB499" s="626">
        <v>56.02</v>
      </c>
      <c r="AC499" s="626" t="s">
        <v>87</v>
      </c>
      <c r="AJ499" s="622">
        <v>64.02</v>
      </c>
      <c r="AK499" s="625" t="s">
        <v>78</v>
      </c>
      <c r="AP499" s="1837"/>
      <c r="AQ499" s="1837"/>
      <c r="AZ499" s="622">
        <v>117.31</v>
      </c>
      <c r="BA499" s="622" t="s">
        <v>91</v>
      </c>
      <c r="BF499" s="1837"/>
      <c r="BG499" s="1837"/>
      <c r="BI499" s="1365"/>
      <c r="BJ499" s="1365"/>
      <c r="BK499" s="1365"/>
      <c r="BL499" s="1365"/>
      <c r="BM499" s="1365"/>
      <c r="BN499" s="1365"/>
      <c r="BO499" s="1365"/>
      <c r="BP499" s="1365"/>
      <c r="BQ499" s="1365"/>
      <c r="BR499" s="1365"/>
      <c r="BS499" s="1365"/>
    </row>
    <row r="500" spans="6:71">
      <c r="F500" s="622">
        <v>226</v>
      </c>
      <c r="G500" s="622" t="s">
        <v>83</v>
      </c>
      <c r="L500" s="626">
        <v>150.02000000000001</v>
      </c>
      <c r="M500" s="626" t="s">
        <v>49</v>
      </c>
      <c r="V500" s="622">
        <v>146.05000000000001</v>
      </c>
      <c r="W500" s="625" t="s">
        <v>85</v>
      </c>
      <c r="AB500" s="626">
        <v>57</v>
      </c>
      <c r="AC500" s="626" t="s">
        <v>63</v>
      </c>
      <c r="AJ500" s="622">
        <v>64.03</v>
      </c>
      <c r="AK500" s="622" t="s">
        <v>78</v>
      </c>
      <c r="AP500" s="1837"/>
      <c r="AQ500" s="1837"/>
      <c r="AZ500" s="622">
        <v>117.32</v>
      </c>
      <c r="BA500" s="622" t="s">
        <v>91</v>
      </c>
      <c r="BF500" s="1837"/>
      <c r="BG500" s="1837"/>
      <c r="BI500" s="1365"/>
      <c r="BJ500" s="1365"/>
      <c r="BK500" s="1365"/>
      <c r="BL500" s="1365"/>
      <c r="BM500" s="1365"/>
      <c r="BN500" s="1365"/>
      <c r="BO500" s="1365"/>
      <c r="BP500" s="1365"/>
      <c r="BQ500" s="1365"/>
      <c r="BR500" s="1365"/>
      <c r="BS500" s="1365"/>
    </row>
    <row r="501" spans="6:71">
      <c r="F501" s="622">
        <v>228</v>
      </c>
      <c r="G501" s="622" t="s">
        <v>83</v>
      </c>
      <c r="L501" s="626">
        <v>156</v>
      </c>
      <c r="M501" s="626" t="s">
        <v>49</v>
      </c>
      <c r="V501" s="622">
        <v>146.06</v>
      </c>
      <c r="W501" s="625" t="s">
        <v>85</v>
      </c>
      <c r="AB501" s="626">
        <v>58</v>
      </c>
      <c r="AC501" s="626" t="s">
        <v>63</v>
      </c>
      <c r="AJ501" s="622">
        <v>70.05</v>
      </c>
      <c r="AK501" s="622" t="s">
        <v>78</v>
      </c>
      <c r="AP501" s="1837"/>
      <c r="AQ501" s="1837"/>
      <c r="AZ501" s="622">
        <v>118</v>
      </c>
      <c r="BA501" s="625" t="s">
        <v>49</v>
      </c>
      <c r="BF501" s="1837"/>
      <c r="BG501" s="1837"/>
      <c r="BI501" s="1365"/>
      <c r="BJ501" s="1365"/>
      <c r="BK501" s="1365"/>
      <c r="BL501" s="1365"/>
      <c r="BM501" s="1365"/>
      <c r="BN501" s="1365"/>
      <c r="BO501" s="1365"/>
      <c r="BP501" s="1365"/>
      <c r="BQ501" s="1365"/>
      <c r="BR501" s="1365"/>
      <c r="BS501" s="1365"/>
    </row>
    <row r="502" spans="6:71">
      <c r="F502" s="622">
        <v>104</v>
      </c>
      <c r="G502" s="625" t="s">
        <v>85</v>
      </c>
      <c r="L502" s="626">
        <v>159.22</v>
      </c>
      <c r="M502" s="626" t="s">
        <v>49</v>
      </c>
      <c r="V502" s="622">
        <v>146.08000000000001</v>
      </c>
      <c r="W502" s="625" t="s">
        <v>85</v>
      </c>
      <c r="AB502" s="626">
        <v>58.08</v>
      </c>
      <c r="AC502" s="626" t="s">
        <v>87</v>
      </c>
      <c r="AJ502" s="622">
        <v>70.06</v>
      </c>
      <c r="AK502" s="625" t="s">
        <v>78</v>
      </c>
      <c r="AP502" s="1837"/>
      <c r="AQ502" s="1837"/>
      <c r="AZ502" s="622">
        <v>119.05</v>
      </c>
      <c r="BA502" s="625" t="s">
        <v>63</v>
      </c>
      <c r="BF502" s="1837"/>
      <c r="BG502" s="1837"/>
      <c r="BI502" s="1365"/>
      <c r="BJ502" s="1365"/>
      <c r="BK502" s="1365"/>
      <c r="BL502" s="1365"/>
      <c r="BM502" s="1365"/>
      <c r="BN502" s="1365"/>
      <c r="BO502" s="1365"/>
      <c r="BP502" s="1365"/>
      <c r="BQ502" s="1365"/>
      <c r="BR502" s="1365"/>
      <c r="BS502" s="1365"/>
    </row>
    <row r="503" spans="6:71">
      <c r="F503" s="622">
        <v>105</v>
      </c>
      <c r="G503" s="625" t="s">
        <v>85</v>
      </c>
      <c r="L503" s="626">
        <v>159.22999999999999</v>
      </c>
      <c r="M503" s="626" t="s">
        <v>49</v>
      </c>
      <c r="V503" s="622">
        <v>147.01</v>
      </c>
      <c r="W503" s="625" t="s">
        <v>85</v>
      </c>
      <c r="AB503" s="626">
        <v>58.11</v>
      </c>
      <c r="AC503" s="626" t="s">
        <v>87</v>
      </c>
      <c r="AJ503" s="622">
        <v>70.069999999999993</v>
      </c>
      <c r="AK503" s="625" t="s">
        <v>78</v>
      </c>
      <c r="AP503" s="1837"/>
      <c r="AQ503" s="1837"/>
      <c r="AZ503" s="622">
        <v>120</v>
      </c>
      <c r="BA503" s="625" t="s">
        <v>85</v>
      </c>
      <c r="BF503" s="1837"/>
      <c r="BG503" s="1837"/>
      <c r="BI503" s="1365"/>
      <c r="BJ503" s="1365"/>
      <c r="BK503" s="1365"/>
      <c r="BL503" s="1365"/>
      <c r="BM503" s="1365"/>
      <c r="BN503" s="1365"/>
      <c r="BO503" s="1365"/>
      <c r="BP503" s="1365"/>
      <c r="BQ503" s="1365"/>
      <c r="BR503" s="1365"/>
      <c r="BS503" s="1365"/>
    </row>
    <row r="504" spans="6:71">
      <c r="F504" s="622">
        <v>110</v>
      </c>
      <c r="G504" s="625" t="s">
        <v>85</v>
      </c>
      <c r="L504" s="626">
        <v>159.24</v>
      </c>
      <c r="M504" s="626" t="s">
        <v>49</v>
      </c>
      <c r="V504" s="622">
        <v>148</v>
      </c>
      <c r="W504" s="622" t="s">
        <v>49</v>
      </c>
      <c r="AB504" s="626">
        <v>58.13</v>
      </c>
      <c r="AC504" s="626" t="s">
        <v>87</v>
      </c>
      <c r="AJ504" s="622">
        <v>72</v>
      </c>
      <c r="AK504" s="625" t="s">
        <v>78</v>
      </c>
      <c r="AP504" s="1837"/>
      <c r="AQ504" s="1837"/>
      <c r="AZ504" s="622">
        <v>120.01</v>
      </c>
      <c r="BA504" s="625" t="s">
        <v>78</v>
      </c>
      <c r="BF504" s="1837"/>
      <c r="BG504" s="1837"/>
      <c r="BI504" s="1365"/>
      <c r="BJ504" s="1365"/>
      <c r="BK504" s="1365"/>
      <c r="BL504" s="1365"/>
      <c r="BM504" s="1365"/>
      <c r="BN504" s="1365"/>
      <c r="BO504" s="1365"/>
      <c r="BP504" s="1365"/>
      <c r="BQ504" s="1365"/>
      <c r="BR504" s="1365"/>
      <c r="BS504" s="1365"/>
    </row>
    <row r="505" spans="6:71">
      <c r="F505" s="622">
        <v>116</v>
      </c>
      <c r="G505" s="625" t="s">
        <v>85</v>
      </c>
      <c r="L505" s="626">
        <v>159.25</v>
      </c>
      <c r="M505" s="626" t="s">
        <v>49</v>
      </c>
      <c r="V505" s="622">
        <v>148.04</v>
      </c>
      <c r="W505" s="625" t="s">
        <v>85</v>
      </c>
      <c r="AB505" s="626">
        <v>58.16</v>
      </c>
      <c r="AC505" s="626" t="s">
        <v>87</v>
      </c>
      <c r="AJ505" s="622">
        <v>76.03</v>
      </c>
      <c r="AK505" s="625" t="s">
        <v>78</v>
      </c>
      <c r="AP505" s="1837"/>
      <c r="AQ505" s="1837"/>
      <c r="AZ505" s="622">
        <v>120.02</v>
      </c>
      <c r="BA505" s="625" t="s">
        <v>63</v>
      </c>
      <c r="BF505" s="1837"/>
      <c r="BG505" s="1837"/>
      <c r="BI505" s="1365"/>
      <c r="BJ505" s="1365"/>
      <c r="BK505" s="1365"/>
      <c r="BL505" s="1365"/>
      <c r="BM505" s="1365"/>
      <c r="BN505" s="1365"/>
      <c r="BO505" s="1365"/>
      <c r="BP505" s="1365"/>
      <c r="BQ505" s="1365"/>
      <c r="BR505" s="1365"/>
      <c r="BS505" s="1365"/>
    </row>
    <row r="506" spans="6:71">
      <c r="F506" s="622">
        <v>117.01</v>
      </c>
      <c r="G506" s="625" t="s">
        <v>85</v>
      </c>
      <c r="L506" s="626">
        <v>159.26</v>
      </c>
      <c r="M506" s="626" t="s">
        <v>49</v>
      </c>
      <c r="V506" s="622">
        <v>148.12</v>
      </c>
      <c r="W506" s="625" t="s">
        <v>85</v>
      </c>
      <c r="AB506" s="626">
        <v>59</v>
      </c>
      <c r="AC506" s="626" t="s">
        <v>63</v>
      </c>
      <c r="AJ506" s="622">
        <v>83.09</v>
      </c>
      <c r="AK506" s="625" t="s">
        <v>78</v>
      </c>
      <c r="AP506" s="1837"/>
      <c r="AQ506" s="1837"/>
      <c r="AZ506" s="622">
        <v>120.02</v>
      </c>
      <c r="BA506" s="625" t="s">
        <v>78</v>
      </c>
      <c r="BF506" s="1837"/>
      <c r="BG506" s="1837"/>
      <c r="BI506" s="1365"/>
      <c r="BJ506" s="1365"/>
      <c r="BK506" s="1365"/>
      <c r="BL506" s="1365"/>
      <c r="BM506" s="1365"/>
      <c r="BN506" s="1365"/>
      <c r="BO506" s="1365"/>
      <c r="BP506" s="1365"/>
      <c r="BQ506" s="1365"/>
      <c r="BR506" s="1365"/>
      <c r="BS506" s="1365"/>
    </row>
    <row r="507" spans="6:71">
      <c r="F507" s="622">
        <v>117.02</v>
      </c>
      <c r="G507" s="625" t="s">
        <v>85</v>
      </c>
      <c r="L507" s="626">
        <v>164</v>
      </c>
      <c r="M507" s="626" t="s">
        <v>49</v>
      </c>
      <c r="V507" s="622">
        <v>149.02000000000001</v>
      </c>
      <c r="W507" s="622" t="s">
        <v>91</v>
      </c>
      <c r="AB507" s="626">
        <v>59.01</v>
      </c>
      <c r="AC507" s="626" t="s">
        <v>78</v>
      </c>
      <c r="AJ507" s="622">
        <v>88.05</v>
      </c>
      <c r="AK507" s="625" t="s">
        <v>78</v>
      </c>
      <c r="AP507" s="1837"/>
      <c r="AQ507" s="1837"/>
      <c r="AZ507" s="622">
        <v>121</v>
      </c>
      <c r="BA507" s="625" t="s">
        <v>49</v>
      </c>
      <c r="BF507" s="1837"/>
      <c r="BG507" s="1837"/>
      <c r="BI507" s="1365"/>
      <c r="BJ507" s="1365"/>
      <c r="BK507" s="1365"/>
      <c r="BL507" s="1365"/>
      <c r="BM507" s="1365"/>
      <c r="BN507" s="1365"/>
      <c r="BO507" s="1365"/>
      <c r="BP507" s="1365"/>
      <c r="BQ507" s="1365"/>
      <c r="BR507" s="1365"/>
      <c r="BS507" s="1365"/>
    </row>
    <row r="508" spans="6:71">
      <c r="F508" s="622">
        <v>120</v>
      </c>
      <c r="G508" s="625" t="s">
        <v>85</v>
      </c>
      <c r="L508" s="626">
        <v>165</v>
      </c>
      <c r="M508" s="626" t="s">
        <v>49</v>
      </c>
      <c r="V508" s="622">
        <v>149.04</v>
      </c>
      <c r="W508" s="625" t="s">
        <v>85</v>
      </c>
      <c r="AB508" s="626">
        <v>59.02</v>
      </c>
      <c r="AC508" s="626" t="s">
        <v>78</v>
      </c>
      <c r="AJ508" s="622">
        <v>90.2</v>
      </c>
      <c r="AK508" s="625" t="s">
        <v>78</v>
      </c>
      <c r="AP508" s="1837"/>
      <c r="AQ508" s="1837"/>
      <c r="AZ508" s="622">
        <v>121</v>
      </c>
      <c r="BA508" s="622" t="s">
        <v>85</v>
      </c>
      <c r="BF508" s="1837"/>
      <c r="BG508" s="1837"/>
      <c r="BI508" s="1365"/>
      <c r="BJ508" s="1365"/>
      <c r="BK508" s="1365"/>
      <c r="BL508" s="1365"/>
      <c r="BM508" s="1365"/>
      <c r="BN508" s="1365"/>
      <c r="BO508" s="1365"/>
      <c r="BP508" s="1365"/>
      <c r="BQ508" s="1365"/>
      <c r="BR508" s="1365"/>
      <c r="BS508" s="1365"/>
    </row>
    <row r="509" spans="6:71">
      <c r="F509" s="622">
        <v>121</v>
      </c>
      <c r="G509" s="625" t="s">
        <v>85</v>
      </c>
      <c r="L509" s="626">
        <v>166.03</v>
      </c>
      <c r="M509" s="626" t="s">
        <v>49</v>
      </c>
      <c r="V509" s="622">
        <v>150.01</v>
      </c>
      <c r="W509" s="625" t="s">
        <v>85</v>
      </c>
      <c r="AB509" s="626">
        <v>59.03</v>
      </c>
      <c r="AC509" s="626" t="s">
        <v>87</v>
      </c>
      <c r="AJ509" s="622">
        <v>90.21</v>
      </c>
      <c r="AK509" s="625" t="s">
        <v>78</v>
      </c>
      <c r="AP509" s="1837"/>
      <c r="AQ509" s="1837"/>
      <c r="AZ509" s="622">
        <v>122.01</v>
      </c>
      <c r="BA509" s="625" t="s">
        <v>49</v>
      </c>
      <c r="BF509" s="1837"/>
      <c r="BG509" s="1837"/>
      <c r="BI509" s="1365"/>
      <c r="BJ509" s="1365"/>
      <c r="BK509" s="1365"/>
      <c r="BL509" s="1365"/>
      <c r="BM509" s="1365"/>
      <c r="BN509" s="1365"/>
      <c r="BO509" s="1365"/>
      <c r="BP509" s="1365"/>
      <c r="BQ509" s="1365"/>
      <c r="BR509" s="1365"/>
      <c r="BS509" s="1365"/>
    </row>
    <row r="510" spans="6:71">
      <c r="F510" s="622">
        <v>122.01</v>
      </c>
      <c r="G510" s="625" t="s">
        <v>85</v>
      </c>
      <c r="L510" s="626">
        <v>166.04</v>
      </c>
      <c r="M510" s="626" t="s">
        <v>49</v>
      </c>
      <c r="V510" s="622">
        <v>152</v>
      </c>
      <c r="W510" s="622" t="s">
        <v>91</v>
      </c>
      <c r="AB510" s="626">
        <v>59.04</v>
      </c>
      <c r="AC510" s="626" t="s">
        <v>78</v>
      </c>
      <c r="AJ510" s="622">
        <v>90.26</v>
      </c>
      <c r="AK510" s="625" t="s">
        <v>78</v>
      </c>
      <c r="AP510" s="1837"/>
      <c r="AQ510" s="1837"/>
      <c r="AZ510" s="622">
        <v>122.01</v>
      </c>
      <c r="BA510" s="625" t="s">
        <v>85</v>
      </c>
      <c r="BF510" s="1837"/>
      <c r="BG510" s="1837"/>
      <c r="BI510" s="1365"/>
      <c r="BJ510" s="1365"/>
      <c r="BK510" s="1365"/>
      <c r="BL510" s="1365"/>
      <c r="BM510" s="1365"/>
      <c r="BN510" s="1365"/>
      <c r="BO510" s="1365"/>
      <c r="BP510" s="1365"/>
      <c r="BQ510" s="1365"/>
      <c r="BR510" s="1365"/>
      <c r="BS510" s="1365"/>
    </row>
    <row r="511" spans="6:71">
      <c r="F511" s="622">
        <v>122.02</v>
      </c>
      <c r="G511" s="625" t="s">
        <v>85</v>
      </c>
      <c r="L511" s="626">
        <v>167.11</v>
      </c>
      <c r="M511" s="626" t="s">
        <v>49</v>
      </c>
      <c r="V511" s="622">
        <v>152.02000000000001</v>
      </c>
      <c r="W511" s="625" t="s">
        <v>85</v>
      </c>
      <c r="AB511" s="626">
        <v>59.16</v>
      </c>
      <c r="AC511" s="626" t="s">
        <v>87</v>
      </c>
      <c r="AJ511" s="622">
        <v>91.02</v>
      </c>
      <c r="AK511" s="625" t="s">
        <v>78</v>
      </c>
      <c r="AP511" s="1837"/>
      <c r="AQ511" s="1837"/>
      <c r="AZ511" s="622">
        <v>122.02</v>
      </c>
      <c r="BA511" s="622" t="s">
        <v>49</v>
      </c>
      <c r="BF511" s="1837"/>
      <c r="BG511" s="1837"/>
      <c r="BI511" s="1365"/>
      <c r="BJ511" s="1365"/>
      <c r="BK511" s="1365"/>
      <c r="BL511" s="1365"/>
      <c r="BM511" s="1365"/>
      <c r="BN511" s="1365"/>
      <c r="BO511" s="1365"/>
      <c r="BP511" s="1365"/>
      <c r="BQ511" s="1365"/>
      <c r="BR511" s="1365"/>
      <c r="BS511" s="1365"/>
    </row>
    <row r="512" spans="6:71">
      <c r="F512" s="622">
        <v>123.05</v>
      </c>
      <c r="G512" s="625" t="s">
        <v>85</v>
      </c>
      <c r="L512" s="626">
        <v>167.22</v>
      </c>
      <c r="M512" s="626" t="s">
        <v>49</v>
      </c>
      <c r="V512" s="622">
        <v>154.05000000000001</v>
      </c>
      <c r="W512" s="622" t="s">
        <v>91</v>
      </c>
      <c r="AB512" s="626">
        <v>59.17</v>
      </c>
      <c r="AC512" s="626" t="s">
        <v>87</v>
      </c>
      <c r="AJ512" s="622">
        <v>93.14</v>
      </c>
      <c r="AK512" s="625" t="s">
        <v>78</v>
      </c>
      <c r="AP512" s="1837"/>
      <c r="AQ512" s="1837"/>
      <c r="AZ512" s="622">
        <v>122.02</v>
      </c>
      <c r="BA512" s="625" t="s">
        <v>85</v>
      </c>
      <c r="BF512" s="1837"/>
      <c r="BG512" s="1837"/>
      <c r="BI512" s="1365"/>
      <c r="BJ512" s="1365"/>
      <c r="BK512" s="1365"/>
      <c r="BL512" s="1365"/>
      <c r="BM512" s="1365"/>
      <c r="BN512" s="1365"/>
      <c r="BO512" s="1365"/>
      <c r="BP512" s="1365"/>
      <c r="BQ512" s="1365"/>
      <c r="BR512" s="1365"/>
      <c r="BS512" s="1365"/>
    </row>
    <row r="513" spans="6:71">
      <c r="F513" s="622">
        <v>123.07</v>
      </c>
      <c r="G513" s="625" t="s">
        <v>85</v>
      </c>
      <c r="L513" s="626">
        <v>167.25</v>
      </c>
      <c r="M513" s="626" t="s">
        <v>49</v>
      </c>
      <c r="V513" s="622">
        <v>155</v>
      </c>
      <c r="W513" s="622" t="s">
        <v>91</v>
      </c>
      <c r="AB513" s="626">
        <v>59.18</v>
      </c>
      <c r="AC513" s="626" t="s">
        <v>87</v>
      </c>
      <c r="AJ513" s="622">
        <v>93.15</v>
      </c>
      <c r="AK513" s="625" t="s">
        <v>78</v>
      </c>
      <c r="AP513" s="1837"/>
      <c r="AQ513" s="1837"/>
      <c r="AZ513" s="622">
        <v>122.11</v>
      </c>
      <c r="BA513" s="625" t="s">
        <v>63</v>
      </c>
      <c r="BF513" s="1837"/>
      <c r="BG513" s="1837"/>
      <c r="BI513" s="1365"/>
      <c r="BJ513" s="1365"/>
      <c r="BK513" s="1365"/>
      <c r="BL513" s="1365"/>
      <c r="BM513" s="1365"/>
      <c r="BN513" s="1365"/>
      <c r="BO513" s="1365"/>
      <c r="BP513" s="1365"/>
      <c r="BQ513" s="1365"/>
      <c r="BR513" s="1365"/>
      <c r="BS513" s="1365"/>
    </row>
    <row r="514" spans="6:71">
      <c r="F514" s="622">
        <v>124.02</v>
      </c>
      <c r="G514" s="625" t="s">
        <v>85</v>
      </c>
      <c r="L514" s="626">
        <v>167.26</v>
      </c>
      <c r="M514" s="626" t="s">
        <v>49</v>
      </c>
      <c r="V514" s="622">
        <v>155.01</v>
      </c>
      <c r="W514" s="622" t="s">
        <v>49</v>
      </c>
      <c r="AB514" s="626">
        <v>59.21</v>
      </c>
      <c r="AC514" s="626" t="s">
        <v>87</v>
      </c>
      <c r="AJ514" s="622">
        <v>93.16</v>
      </c>
      <c r="AK514" s="625" t="s">
        <v>78</v>
      </c>
      <c r="AP514" s="1837"/>
      <c r="AQ514" s="1837"/>
      <c r="AZ514" s="622">
        <v>123.07</v>
      </c>
      <c r="BA514" s="625" t="s">
        <v>85</v>
      </c>
      <c r="BF514" s="1837"/>
      <c r="BG514" s="1837"/>
      <c r="BI514" s="1365"/>
      <c r="BJ514" s="1365"/>
      <c r="BK514" s="1365"/>
      <c r="BL514" s="1365"/>
      <c r="BM514" s="1365"/>
      <c r="BN514" s="1365"/>
      <c r="BO514" s="1365"/>
      <c r="BP514" s="1365"/>
      <c r="BQ514" s="1365"/>
      <c r="BR514" s="1365"/>
      <c r="BS514" s="1365"/>
    </row>
    <row r="515" spans="6:71">
      <c r="F515" s="622">
        <v>124.03</v>
      </c>
      <c r="G515" s="625" t="s">
        <v>85</v>
      </c>
      <c r="L515" s="626">
        <v>167.28</v>
      </c>
      <c r="M515" s="626" t="s">
        <v>49</v>
      </c>
      <c r="V515" s="622">
        <v>155.02000000000001</v>
      </c>
      <c r="W515" s="622" t="s">
        <v>49</v>
      </c>
      <c r="AB515" s="626">
        <v>59.22</v>
      </c>
      <c r="AC515" s="626" t="s">
        <v>87</v>
      </c>
      <c r="AJ515" s="622">
        <v>93.17</v>
      </c>
      <c r="AK515" s="625" t="s">
        <v>78</v>
      </c>
      <c r="AP515" s="1837"/>
      <c r="AQ515" s="1837"/>
      <c r="AZ515" s="622">
        <v>123.07</v>
      </c>
      <c r="BA515" s="625" t="s">
        <v>91</v>
      </c>
      <c r="BF515" s="1837"/>
      <c r="BG515" s="1837"/>
      <c r="BI515" s="1365"/>
      <c r="BJ515" s="1365"/>
      <c r="BK515" s="1365"/>
      <c r="BL515" s="1365"/>
      <c r="BM515" s="1365"/>
      <c r="BN515" s="1365"/>
      <c r="BO515" s="1365"/>
      <c r="BP515" s="1365"/>
      <c r="BQ515" s="1365"/>
      <c r="BR515" s="1365"/>
      <c r="BS515" s="1365"/>
    </row>
    <row r="516" spans="6:71">
      <c r="F516" s="622">
        <v>134.03</v>
      </c>
      <c r="G516" s="625" t="s">
        <v>85</v>
      </c>
      <c r="L516" s="626">
        <v>167.29</v>
      </c>
      <c r="M516" s="626" t="s">
        <v>49</v>
      </c>
      <c r="V516" s="622">
        <v>158.02000000000001</v>
      </c>
      <c r="W516" s="622" t="s">
        <v>91</v>
      </c>
      <c r="AB516" s="626">
        <v>59.23</v>
      </c>
      <c r="AC516" s="626" t="s">
        <v>87</v>
      </c>
      <c r="AJ516" s="622">
        <v>93.2</v>
      </c>
      <c r="AK516" s="625" t="s">
        <v>78</v>
      </c>
      <c r="AP516" s="1837"/>
      <c r="AQ516" s="1837"/>
      <c r="AZ516" s="622">
        <v>124.01</v>
      </c>
      <c r="BA516" s="625" t="s">
        <v>63</v>
      </c>
      <c r="BF516" s="1837"/>
      <c r="BG516" s="1837"/>
      <c r="BI516" s="1365"/>
      <c r="BJ516" s="1365"/>
      <c r="BK516" s="1365"/>
      <c r="BL516" s="1365"/>
      <c r="BM516" s="1365"/>
      <c r="BN516" s="1365"/>
      <c r="BO516" s="1365"/>
      <c r="BP516" s="1365"/>
      <c r="BQ516" s="1365"/>
      <c r="BR516" s="1365"/>
      <c r="BS516" s="1365"/>
    </row>
    <row r="517" spans="6:71">
      <c r="F517" s="622">
        <v>134.05000000000001</v>
      </c>
      <c r="G517" s="625" t="s">
        <v>85</v>
      </c>
      <c r="L517" s="626">
        <v>168.01</v>
      </c>
      <c r="M517" s="626" t="s">
        <v>49</v>
      </c>
      <c r="V517" s="622">
        <v>159.25</v>
      </c>
      <c r="W517" s="622" t="s">
        <v>49</v>
      </c>
      <c r="AB517" s="626">
        <v>59.26</v>
      </c>
      <c r="AC517" s="626" t="s">
        <v>87</v>
      </c>
      <c r="AJ517" s="622">
        <v>93.21</v>
      </c>
      <c r="AK517" s="625" t="s">
        <v>78</v>
      </c>
      <c r="AP517" s="1837"/>
      <c r="AQ517" s="1837"/>
      <c r="AZ517" s="622">
        <v>124.02</v>
      </c>
      <c r="BA517" s="625" t="s">
        <v>85</v>
      </c>
      <c r="BF517" s="1837"/>
      <c r="BG517" s="1837"/>
      <c r="BI517" s="1365"/>
      <c r="BJ517" s="1365"/>
      <c r="BK517" s="1365"/>
      <c r="BL517" s="1365"/>
      <c r="BM517" s="1365"/>
      <c r="BN517" s="1365"/>
      <c r="BO517" s="1365"/>
      <c r="BP517" s="1365"/>
      <c r="BQ517" s="1365"/>
      <c r="BR517" s="1365"/>
      <c r="BS517" s="1365"/>
    </row>
    <row r="518" spans="6:71">
      <c r="F518" s="622">
        <v>135.03</v>
      </c>
      <c r="G518" s="625" t="s">
        <v>85</v>
      </c>
      <c r="L518" s="626">
        <v>168.03</v>
      </c>
      <c r="M518" s="626" t="s">
        <v>49</v>
      </c>
      <c r="V518" s="622">
        <v>160</v>
      </c>
      <c r="W518" s="622" t="s">
        <v>49</v>
      </c>
      <c r="AB518" s="626">
        <v>59.31</v>
      </c>
      <c r="AC518" s="626" t="s">
        <v>87</v>
      </c>
      <c r="AJ518" s="622">
        <v>93.22</v>
      </c>
      <c r="AK518" s="625" t="s">
        <v>78</v>
      </c>
      <c r="AP518" s="1837"/>
      <c r="AQ518" s="1837"/>
      <c r="AZ518" s="622">
        <v>124.03</v>
      </c>
      <c r="BA518" s="622" t="s">
        <v>63</v>
      </c>
      <c r="BF518" s="1837"/>
      <c r="BG518" s="1837"/>
      <c r="BI518" s="1365"/>
      <c r="BJ518" s="1365"/>
      <c r="BK518" s="1365"/>
      <c r="BL518" s="1365"/>
      <c r="BM518" s="1365"/>
      <c r="BN518" s="1365"/>
      <c r="BO518" s="1365"/>
      <c r="BP518" s="1365"/>
      <c r="BQ518" s="1365"/>
      <c r="BR518" s="1365"/>
      <c r="BS518" s="1365"/>
    </row>
    <row r="519" spans="6:71">
      <c r="F519" s="622">
        <v>135.05000000000001</v>
      </c>
      <c r="G519" s="625" t="s">
        <v>85</v>
      </c>
      <c r="L519" s="626">
        <v>168.04</v>
      </c>
      <c r="M519" s="626" t="s">
        <v>49</v>
      </c>
      <c r="V519" s="622">
        <v>163</v>
      </c>
      <c r="W519" s="622" t="s">
        <v>49</v>
      </c>
      <c r="AB519" s="626">
        <v>59.34</v>
      </c>
      <c r="AC519" s="626" t="s">
        <v>87</v>
      </c>
      <c r="AJ519" s="622">
        <v>93.23</v>
      </c>
      <c r="AK519" s="625" t="s">
        <v>78</v>
      </c>
      <c r="AP519" s="1837"/>
      <c r="AQ519" s="1837"/>
      <c r="AZ519" s="622">
        <v>124.03</v>
      </c>
      <c r="BA519" s="622" t="s">
        <v>85</v>
      </c>
      <c r="BF519" s="1837"/>
      <c r="BG519" s="1837"/>
      <c r="BI519" s="1365"/>
      <c r="BJ519" s="1365"/>
      <c r="BK519" s="1365"/>
      <c r="BL519" s="1365"/>
      <c r="BM519" s="1365"/>
      <c r="BN519" s="1365"/>
      <c r="BO519" s="1365"/>
      <c r="BP519" s="1365"/>
      <c r="BQ519" s="1365"/>
      <c r="BR519" s="1365"/>
      <c r="BS519" s="1365"/>
    </row>
    <row r="520" spans="6:71">
      <c r="F520" s="622">
        <v>135.08000000000001</v>
      </c>
      <c r="G520" s="625" t="s">
        <v>85</v>
      </c>
      <c r="L520" s="626">
        <v>168.05</v>
      </c>
      <c r="M520" s="626" t="s">
        <v>49</v>
      </c>
      <c r="V520" s="622">
        <v>163.02000000000001</v>
      </c>
      <c r="W520" s="625" t="s">
        <v>85</v>
      </c>
      <c r="AB520" s="626">
        <v>59.37</v>
      </c>
      <c r="AC520" s="626" t="s">
        <v>87</v>
      </c>
      <c r="AJ520" s="622">
        <v>93.24</v>
      </c>
      <c r="AK520" s="625" t="s">
        <v>78</v>
      </c>
      <c r="AP520" s="1837"/>
      <c r="AQ520" s="1837"/>
      <c r="AZ520" s="622">
        <v>126.01</v>
      </c>
      <c r="BA520" s="625" t="s">
        <v>49</v>
      </c>
      <c r="BF520" s="1837"/>
      <c r="BG520" s="1837"/>
      <c r="BI520" s="1365"/>
      <c r="BJ520" s="1365"/>
      <c r="BK520" s="1365"/>
      <c r="BL520" s="1365"/>
      <c r="BM520" s="1365"/>
      <c r="BN520" s="1365"/>
      <c r="BO520" s="1365"/>
      <c r="BP520" s="1365"/>
      <c r="BQ520" s="1365"/>
      <c r="BR520" s="1365"/>
      <c r="BS520" s="1365"/>
    </row>
    <row r="521" spans="6:71">
      <c r="F521" s="622">
        <v>135.1</v>
      </c>
      <c r="G521" s="625" t="s">
        <v>85</v>
      </c>
      <c r="L521" s="626">
        <v>168.06</v>
      </c>
      <c r="M521" s="626" t="s">
        <v>49</v>
      </c>
      <c r="V521" s="622">
        <v>164</v>
      </c>
      <c r="W521" s="622" t="s">
        <v>91</v>
      </c>
      <c r="AB521" s="626">
        <v>59.38</v>
      </c>
      <c r="AC521" s="626" t="s">
        <v>87</v>
      </c>
      <c r="AJ521" s="622">
        <v>93.25</v>
      </c>
      <c r="AK521" s="625" t="s">
        <v>78</v>
      </c>
      <c r="AP521" s="1837"/>
      <c r="AQ521" s="1837"/>
      <c r="AZ521" s="622">
        <v>126.01</v>
      </c>
      <c r="BA521" s="622" t="s">
        <v>91</v>
      </c>
      <c r="BF521" s="1837"/>
      <c r="BG521" s="1837"/>
      <c r="BI521" s="1365"/>
      <c r="BJ521" s="1365"/>
      <c r="BK521" s="1365"/>
      <c r="BL521" s="1365"/>
      <c r="BM521" s="1365"/>
      <c r="BN521" s="1365"/>
      <c r="BO521" s="1365"/>
      <c r="BP521" s="1365"/>
      <c r="BQ521" s="1365"/>
      <c r="BR521" s="1365"/>
      <c r="BS521" s="1365"/>
    </row>
    <row r="522" spans="6:71">
      <c r="F522" s="622">
        <v>135.11000000000001</v>
      </c>
      <c r="G522" s="625" t="s">
        <v>85</v>
      </c>
      <c r="L522" s="626">
        <v>168.07</v>
      </c>
      <c r="M522" s="626" t="s">
        <v>49</v>
      </c>
      <c r="V522" s="622">
        <v>164.07</v>
      </c>
      <c r="W522" s="625" t="s">
        <v>85</v>
      </c>
      <c r="AB522" s="626">
        <v>59.42</v>
      </c>
      <c r="AC522" s="626" t="s">
        <v>87</v>
      </c>
      <c r="AJ522" s="622">
        <v>93.26</v>
      </c>
      <c r="AK522" s="625" t="s">
        <v>78</v>
      </c>
      <c r="AP522" s="1837"/>
      <c r="AQ522" s="1837"/>
      <c r="AZ522" s="622">
        <v>126.02</v>
      </c>
      <c r="BA522" s="625" t="s">
        <v>91</v>
      </c>
      <c r="BF522" s="1837"/>
      <c r="BG522" s="1837"/>
      <c r="BI522" s="1365"/>
      <c r="BJ522" s="1365"/>
      <c r="BK522" s="1365"/>
      <c r="BL522" s="1365"/>
      <c r="BM522" s="1365"/>
      <c r="BN522" s="1365"/>
      <c r="BO522" s="1365"/>
      <c r="BP522" s="1365"/>
      <c r="BQ522" s="1365"/>
      <c r="BR522" s="1365"/>
      <c r="BS522" s="1365"/>
    </row>
    <row r="523" spans="6:71">
      <c r="F523" s="622">
        <v>135.12</v>
      </c>
      <c r="G523" s="625" t="s">
        <v>85</v>
      </c>
      <c r="L523" s="626">
        <v>171</v>
      </c>
      <c r="M523" s="626" t="s">
        <v>49</v>
      </c>
      <c r="V523" s="622">
        <v>165.03</v>
      </c>
      <c r="W523" s="625" t="s">
        <v>85</v>
      </c>
      <c r="AB523" s="626">
        <v>59.45</v>
      </c>
      <c r="AC523" s="626" t="s">
        <v>87</v>
      </c>
      <c r="AJ523" s="622">
        <v>93.27</v>
      </c>
      <c r="AK523" s="625" t="s">
        <v>78</v>
      </c>
      <c r="AP523" s="1837"/>
      <c r="AQ523" s="1837"/>
      <c r="AZ523" s="622">
        <v>129</v>
      </c>
      <c r="BA523" s="625" t="s">
        <v>63</v>
      </c>
      <c r="BF523" s="1837"/>
      <c r="BG523" s="1837"/>
      <c r="BI523" s="1365"/>
      <c r="BJ523" s="1365"/>
      <c r="BK523" s="1365"/>
      <c r="BL523" s="1365"/>
      <c r="BM523" s="1365"/>
      <c r="BN523" s="1365"/>
      <c r="BO523" s="1365"/>
      <c r="BP523" s="1365"/>
      <c r="BQ523" s="1365"/>
      <c r="BR523" s="1365"/>
      <c r="BS523" s="1365"/>
    </row>
    <row r="524" spans="6:71">
      <c r="F524" s="622">
        <v>136.05000000000001</v>
      </c>
      <c r="G524" s="625" t="s">
        <v>85</v>
      </c>
      <c r="L524" s="626">
        <v>173</v>
      </c>
      <c r="M524" s="626" t="s">
        <v>49</v>
      </c>
      <c r="V524" s="622">
        <v>165.05</v>
      </c>
      <c r="W524" s="625" t="s">
        <v>85</v>
      </c>
      <c r="AB524" s="626">
        <v>59.46</v>
      </c>
      <c r="AC524" s="626" t="s">
        <v>87</v>
      </c>
      <c r="AJ524" s="622">
        <v>95.05</v>
      </c>
      <c r="AK524" s="625" t="s">
        <v>78</v>
      </c>
      <c r="AP524" s="1837"/>
      <c r="AQ524" s="1837"/>
      <c r="AZ524" s="622">
        <v>130.02000000000001</v>
      </c>
      <c r="BA524" s="625" t="s">
        <v>91</v>
      </c>
      <c r="BF524" s="1837"/>
      <c r="BG524" s="1837"/>
      <c r="BI524" s="1365"/>
      <c r="BJ524" s="1365"/>
      <c r="BK524" s="1365"/>
      <c r="BL524" s="1365"/>
      <c r="BM524" s="1365"/>
      <c r="BN524" s="1365"/>
      <c r="BO524" s="1365"/>
      <c r="BP524" s="1365"/>
      <c r="BQ524" s="1365"/>
      <c r="BR524" s="1365"/>
      <c r="BS524" s="1365"/>
    </row>
    <row r="525" spans="6:71">
      <c r="F525" s="622">
        <v>136.06</v>
      </c>
      <c r="G525" s="625" t="s">
        <v>85</v>
      </c>
      <c r="L525" s="626">
        <v>1</v>
      </c>
      <c r="M525" s="626" t="s">
        <v>51</v>
      </c>
      <c r="V525" s="622">
        <v>165.08</v>
      </c>
      <c r="W525" s="625" t="s">
        <v>85</v>
      </c>
      <c r="AB525" s="626">
        <v>59.47</v>
      </c>
      <c r="AC525" s="626" t="s">
        <v>87</v>
      </c>
      <c r="AJ525" s="622">
        <v>95.06</v>
      </c>
      <c r="AK525" s="625" t="s">
        <v>78</v>
      </c>
      <c r="AP525" s="1837"/>
      <c r="AQ525" s="1837"/>
      <c r="AZ525" s="622">
        <v>131.02000000000001</v>
      </c>
      <c r="BA525" s="625" t="s">
        <v>91</v>
      </c>
      <c r="BF525" s="1837"/>
      <c r="BG525" s="1837"/>
      <c r="BI525" s="1365"/>
      <c r="BJ525" s="1365"/>
      <c r="BK525" s="1365"/>
      <c r="BL525" s="1365"/>
      <c r="BM525" s="1365"/>
      <c r="BN525" s="1365"/>
      <c r="BO525" s="1365"/>
      <c r="BP525" s="1365"/>
      <c r="BQ525" s="1365"/>
      <c r="BR525" s="1365"/>
      <c r="BS525" s="1365"/>
    </row>
    <row r="526" spans="6:71">
      <c r="F526" s="622">
        <v>143.02000000000001</v>
      </c>
      <c r="G526" s="625" t="s">
        <v>85</v>
      </c>
      <c r="L526" s="626">
        <v>5</v>
      </c>
      <c r="M526" s="626" t="s">
        <v>51</v>
      </c>
      <c r="V526" s="622">
        <v>165.1</v>
      </c>
      <c r="W526" s="625" t="s">
        <v>85</v>
      </c>
      <c r="AB526" s="626">
        <v>59.49</v>
      </c>
      <c r="AC526" s="626" t="s">
        <v>87</v>
      </c>
      <c r="AJ526" s="622">
        <v>96.01</v>
      </c>
      <c r="AK526" s="625" t="s">
        <v>78</v>
      </c>
      <c r="AP526" s="1837"/>
      <c r="AQ526" s="1837"/>
      <c r="AZ526" s="622">
        <v>131.03</v>
      </c>
      <c r="BA526" s="625" t="s">
        <v>91</v>
      </c>
      <c r="BF526" s="1837"/>
      <c r="BG526" s="1837"/>
      <c r="BI526" s="1365"/>
      <c r="BJ526" s="1365"/>
      <c r="BK526" s="1365"/>
      <c r="BL526" s="1365"/>
      <c r="BM526" s="1365"/>
      <c r="BN526" s="1365"/>
      <c r="BO526" s="1365"/>
      <c r="BP526" s="1365"/>
      <c r="BQ526" s="1365"/>
      <c r="BR526" s="1365"/>
      <c r="BS526" s="1365"/>
    </row>
    <row r="527" spans="6:71">
      <c r="F527" s="622">
        <v>145.02000000000001</v>
      </c>
      <c r="G527" s="625" t="s">
        <v>85</v>
      </c>
      <c r="L527" s="626">
        <v>8</v>
      </c>
      <c r="M527" s="626" t="s">
        <v>51</v>
      </c>
      <c r="V527" s="622">
        <v>165.11</v>
      </c>
      <c r="W527" s="625" t="s">
        <v>85</v>
      </c>
      <c r="AB527" s="626">
        <v>59.5</v>
      </c>
      <c r="AC527" s="626" t="s">
        <v>87</v>
      </c>
      <c r="AJ527" s="622">
        <v>96.02</v>
      </c>
      <c r="AK527" s="625" t="s">
        <v>78</v>
      </c>
      <c r="AP527" s="1837"/>
      <c r="AQ527" s="1837"/>
      <c r="AZ527" s="622">
        <v>132</v>
      </c>
      <c r="BA527" s="625" t="s">
        <v>91</v>
      </c>
      <c r="BF527" s="1837"/>
      <c r="BG527" s="1837"/>
      <c r="BI527" s="1365"/>
      <c r="BJ527" s="1365"/>
      <c r="BK527" s="1365"/>
      <c r="BL527" s="1365"/>
      <c r="BM527" s="1365"/>
      <c r="BN527" s="1365"/>
      <c r="BO527" s="1365"/>
      <c r="BP527" s="1365"/>
      <c r="BQ527" s="1365"/>
      <c r="BR527" s="1365"/>
      <c r="BS527" s="1365"/>
    </row>
    <row r="528" spans="6:71">
      <c r="F528" s="622">
        <v>145.03</v>
      </c>
      <c r="G528" s="625" t="s">
        <v>85</v>
      </c>
      <c r="L528" s="626">
        <v>9</v>
      </c>
      <c r="M528" s="626" t="s">
        <v>51</v>
      </c>
      <c r="V528" s="622">
        <v>166.01</v>
      </c>
      <c r="W528" s="622" t="s">
        <v>49</v>
      </c>
      <c r="AB528" s="626">
        <v>59.53</v>
      </c>
      <c r="AC528" s="626" t="s">
        <v>87</v>
      </c>
      <c r="AJ528" s="622">
        <v>97.05</v>
      </c>
      <c r="AK528" s="625" t="s">
        <v>78</v>
      </c>
      <c r="AP528" s="1837"/>
      <c r="AQ528" s="1837"/>
      <c r="AZ528" s="622">
        <v>133</v>
      </c>
      <c r="BA528" s="625" t="s">
        <v>91</v>
      </c>
      <c r="BF528" s="1837"/>
      <c r="BG528" s="1837"/>
      <c r="BI528" s="1365"/>
      <c r="BJ528" s="1365"/>
      <c r="BK528" s="1365"/>
      <c r="BL528" s="1365"/>
      <c r="BM528" s="1365"/>
      <c r="BN528" s="1365"/>
      <c r="BO528" s="1365"/>
      <c r="BP528" s="1365"/>
      <c r="BQ528" s="1365"/>
      <c r="BR528" s="1365"/>
      <c r="BS528" s="1365"/>
    </row>
    <row r="529" spans="6:71">
      <c r="F529" s="622">
        <v>146.01</v>
      </c>
      <c r="G529" s="625" t="s">
        <v>85</v>
      </c>
      <c r="L529" s="626">
        <v>10.01</v>
      </c>
      <c r="M529" s="626" t="s">
        <v>51</v>
      </c>
      <c r="V529" s="622">
        <v>167.09</v>
      </c>
      <c r="W529" s="625" t="s">
        <v>85</v>
      </c>
      <c r="AB529" s="626">
        <v>59.54</v>
      </c>
      <c r="AC529" s="626" t="s">
        <v>87</v>
      </c>
      <c r="AJ529" s="622">
        <v>100.1</v>
      </c>
      <c r="AK529" s="625" t="s">
        <v>78</v>
      </c>
      <c r="AP529" s="1837"/>
      <c r="AQ529" s="1837"/>
      <c r="AZ529" s="622">
        <v>133.16999999999999</v>
      </c>
      <c r="BA529" s="625" t="s">
        <v>63</v>
      </c>
      <c r="BF529" s="1837"/>
      <c r="BG529" s="1837"/>
      <c r="BI529" s="1365"/>
      <c r="BJ529" s="1365"/>
      <c r="BK529" s="1365"/>
      <c r="BL529" s="1365"/>
      <c r="BM529" s="1365"/>
      <c r="BN529" s="1365"/>
      <c r="BO529" s="1365"/>
      <c r="BP529" s="1365"/>
      <c r="BQ529" s="1365"/>
      <c r="BR529" s="1365"/>
      <c r="BS529" s="1365"/>
    </row>
    <row r="530" spans="6:71">
      <c r="F530" s="622">
        <v>146.05000000000001</v>
      </c>
      <c r="G530" s="625" t="s">
        <v>85</v>
      </c>
      <c r="L530" s="626">
        <v>10.02</v>
      </c>
      <c r="M530" s="626" t="s">
        <v>51</v>
      </c>
      <c r="V530" s="622">
        <v>167.12</v>
      </c>
      <c r="W530" s="625" t="s">
        <v>85</v>
      </c>
      <c r="AB530" s="626">
        <v>59.55</v>
      </c>
      <c r="AC530" s="626" t="s">
        <v>87</v>
      </c>
      <c r="AJ530" s="622">
        <v>100.15</v>
      </c>
      <c r="AK530" s="625" t="s">
        <v>78</v>
      </c>
      <c r="AP530" s="1837"/>
      <c r="AQ530" s="1837"/>
      <c r="AZ530" s="622">
        <v>134</v>
      </c>
      <c r="BA530" s="625" t="s">
        <v>78</v>
      </c>
      <c r="BF530" s="1837"/>
      <c r="BG530" s="1837"/>
      <c r="BI530" s="1365"/>
      <c r="BJ530" s="1365"/>
      <c r="BK530" s="1365"/>
      <c r="BL530" s="1365"/>
      <c r="BM530" s="1365"/>
      <c r="BN530" s="1365"/>
      <c r="BO530" s="1365"/>
      <c r="BP530" s="1365"/>
      <c r="BQ530" s="1365"/>
      <c r="BR530" s="1365"/>
      <c r="BS530" s="1365"/>
    </row>
    <row r="531" spans="6:71">
      <c r="F531" s="622">
        <v>146.06</v>
      </c>
      <c r="G531" s="625" t="s">
        <v>85</v>
      </c>
      <c r="L531" s="626">
        <v>11.01</v>
      </c>
      <c r="M531" s="626" t="s">
        <v>51</v>
      </c>
      <c r="V531" s="622">
        <v>167.24</v>
      </c>
      <c r="W531" s="625" t="s">
        <v>85</v>
      </c>
      <c r="AB531" s="626">
        <v>60</v>
      </c>
      <c r="AC531" s="626" t="s">
        <v>63</v>
      </c>
      <c r="AJ531" s="622">
        <v>100.21</v>
      </c>
      <c r="AK531" s="625" t="s">
        <v>78</v>
      </c>
      <c r="AP531" s="1837"/>
      <c r="AQ531" s="1837"/>
      <c r="AZ531" s="622">
        <v>134</v>
      </c>
      <c r="BA531" s="625" t="s">
        <v>91</v>
      </c>
      <c r="BF531" s="1837"/>
      <c r="BG531" s="1837"/>
      <c r="BI531" s="1365"/>
      <c r="BJ531" s="1365"/>
      <c r="BK531" s="1365"/>
      <c r="BL531" s="1365"/>
      <c r="BM531" s="1365"/>
      <c r="BN531" s="1365"/>
      <c r="BO531" s="1365"/>
      <c r="BP531" s="1365"/>
      <c r="BQ531" s="1365"/>
      <c r="BR531" s="1365"/>
      <c r="BS531" s="1365"/>
    </row>
    <row r="532" spans="6:71">
      <c r="F532" s="622">
        <v>146.08000000000001</v>
      </c>
      <c r="G532" s="625" t="s">
        <v>85</v>
      </c>
      <c r="L532" s="626">
        <v>11.03</v>
      </c>
      <c r="M532" s="626" t="s">
        <v>51</v>
      </c>
      <c r="V532" s="622">
        <v>167.27</v>
      </c>
      <c r="W532" s="625" t="s">
        <v>85</v>
      </c>
      <c r="AB532" s="626">
        <v>60.01</v>
      </c>
      <c r="AC532" s="626" t="s">
        <v>78</v>
      </c>
      <c r="AJ532" s="622">
        <v>100.22</v>
      </c>
      <c r="AK532" s="625" t="s">
        <v>78</v>
      </c>
      <c r="AP532" s="1837"/>
      <c r="AQ532" s="1837"/>
      <c r="AZ532" s="622">
        <v>134.02000000000001</v>
      </c>
      <c r="BA532" s="625" t="s">
        <v>49</v>
      </c>
      <c r="BF532" s="1837"/>
      <c r="BG532" s="1837"/>
      <c r="BI532" s="1365"/>
      <c r="BJ532" s="1365"/>
      <c r="BK532" s="1365"/>
      <c r="BL532" s="1365"/>
      <c r="BM532" s="1365"/>
      <c r="BN532" s="1365"/>
      <c r="BO532" s="1365"/>
      <c r="BP532" s="1365"/>
      <c r="BQ532" s="1365"/>
      <c r="BR532" s="1365"/>
      <c r="BS532" s="1365"/>
    </row>
    <row r="533" spans="6:71">
      <c r="F533" s="622">
        <v>147.01</v>
      </c>
      <c r="G533" s="625" t="s">
        <v>85</v>
      </c>
      <c r="L533" s="626">
        <v>11.04</v>
      </c>
      <c r="M533" s="626" t="s">
        <v>51</v>
      </c>
      <c r="V533" s="622">
        <v>169.02</v>
      </c>
      <c r="W533" s="625" t="s">
        <v>85</v>
      </c>
      <c r="AB533" s="626">
        <v>60.02</v>
      </c>
      <c r="AC533" s="626" t="s">
        <v>78</v>
      </c>
      <c r="AJ533" s="622">
        <v>100.23</v>
      </c>
      <c r="AK533" s="625" t="s">
        <v>78</v>
      </c>
      <c r="AP533" s="1837"/>
      <c r="AQ533" s="1837"/>
      <c r="AZ533" s="622">
        <v>134.03</v>
      </c>
      <c r="BA533" s="625" t="s">
        <v>85</v>
      </c>
      <c r="BF533" s="1837"/>
      <c r="BG533" s="1837"/>
      <c r="BI533" s="1365"/>
      <c r="BJ533" s="1365"/>
      <c r="BK533" s="1365"/>
      <c r="BL533" s="1365"/>
      <c r="BM533" s="1365"/>
      <c r="BN533" s="1365"/>
      <c r="BO533" s="1365"/>
      <c r="BP533" s="1365"/>
      <c r="BQ533" s="1365"/>
      <c r="BR533" s="1365"/>
      <c r="BS533" s="1365"/>
    </row>
    <row r="534" spans="6:71">
      <c r="F534" s="622">
        <v>148.04</v>
      </c>
      <c r="G534" s="625" t="s">
        <v>85</v>
      </c>
      <c r="L534" s="626">
        <v>14.01</v>
      </c>
      <c r="M534" s="626" t="s">
        <v>51</v>
      </c>
      <c r="V534" s="622">
        <v>169.03</v>
      </c>
      <c r="W534" s="625" t="s">
        <v>85</v>
      </c>
      <c r="AB534" s="626">
        <v>60.05</v>
      </c>
      <c r="AC534" s="626" t="s">
        <v>87</v>
      </c>
      <c r="AJ534" s="622">
        <v>100.24</v>
      </c>
      <c r="AK534" s="625" t="s">
        <v>78</v>
      </c>
      <c r="AP534" s="1837"/>
      <c r="AQ534" s="1837"/>
      <c r="AZ534" s="622">
        <v>134.05000000000001</v>
      </c>
      <c r="BA534" s="625" t="s">
        <v>85</v>
      </c>
      <c r="BF534" s="1837"/>
      <c r="BG534" s="1837"/>
      <c r="BI534" s="1365"/>
      <c r="BJ534" s="1365"/>
      <c r="BK534" s="1365"/>
      <c r="BL534" s="1365"/>
      <c r="BM534" s="1365"/>
      <c r="BN534" s="1365"/>
      <c r="BO534" s="1365"/>
      <c r="BP534" s="1365"/>
      <c r="BQ534" s="1365"/>
      <c r="BR534" s="1365"/>
      <c r="BS534" s="1365"/>
    </row>
    <row r="535" spans="6:71">
      <c r="F535" s="622">
        <v>148.12</v>
      </c>
      <c r="G535" s="625" t="s">
        <v>85</v>
      </c>
      <c r="L535" s="626">
        <v>25</v>
      </c>
      <c r="M535" s="626" t="s">
        <v>51</v>
      </c>
      <c r="V535" s="622">
        <v>169.04</v>
      </c>
      <c r="W535" s="625" t="s">
        <v>85</v>
      </c>
      <c r="AB535" s="626">
        <v>60.06</v>
      </c>
      <c r="AC535" s="626" t="s">
        <v>87</v>
      </c>
      <c r="AJ535" s="622">
        <v>100.25</v>
      </c>
      <c r="AK535" s="625" t="s">
        <v>78</v>
      </c>
      <c r="AP535" s="1837"/>
      <c r="AQ535" s="1837"/>
      <c r="AZ535" s="622">
        <v>135</v>
      </c>
      <c r="BA535" s="625" t="s">
        <v>78</v>
      </c>
      <c r="BF535" s="1837"/>
      <c r="BG535" s="1837"/>
      <c r="BI535" s="1365"/>
      <c r="BJ535" s="1365"/>
      <c r="BK535" s="1365"/>
      <c r="BL535" s="1365"/>
      <c r="BM535" s="1365"/>
      <c r="BN535" s="1365"/>
      <c r="BO535" s="1365"/>
      <c r="BP535" s="1365"/>
      <c r="BQ535" s="1365"/>
      <c r="BR535" s="1365"/>
      <c r="BS535" s="1365"/>
    </row>
    <row r="536" spans="6:71">
      <c r="F536" s="622">
        <v>149.04</v>
      </c>
      <c r="G536" s="625" t="s">
        <v>85</v>
      </c>
      <c r="L536" s="626">
        <v>26.01</v>
      </c>
      <c r="M536" s="626" t="s">
        <v>51</v>
      </c>
      <c r="V536" s="622">
        <v>169.06</v>
      </c>
      <c r="W536" s="625" t="s">
        <v>85</v>
      </c>
      <c r="AB536" s="626">
        <v>60.08</v>
      </c>
      <c r="AC536" s="626" t="s">
        <v>87</v>
      </c>
      <c r="AJ536" s="622">
        <v>100.26</v>
      </c>
      <c r="AK536" s="625" t="s">
        <v>78</v>
      </c>
      <c r="AP536" s="1837"/>
      <c r="AQ536" s="1837"/>
      <c r="AZ536" s="622">
        <v>135.03</v>
      </c>
      <c r="BA536" s="625" t="s">
        <v>85</v>
      </c>
      <c r="BF536" s="1837"/>
      <c r="BG536" s="1837"/>
      <c r="BI536" s="1365"/>
      <c r="BJ536" s="1365"/>
      <c r="BK536" s="1365"/>
      <c r="BL536" s="1365"/>
      <c r="BM536" s="1365"/>
      <c r="BN536" s="1365"/>
      <c r="BO536" s="1365"/>
      <c r="BP536" s="1365"/>
      <c r="BQ536" s="1365"/>
      <c r="BR536" s="1365"/>
      <c r="BS536" s="1365"/>
    </row>
    <row r="537" spans="6:71">
      <c r="F537" s="622">
        <v>150.01</v>
      </c>
      <c r="G537" s="625" t="s">
        <v>85</v>
      </c>
      <c r="L537" s="626">
        <v>26.02</v>
      </c>
      <c r="M537" s="626" t="s">
        <v>51</v>
      </c>
      <c r="V537" s="622">
        <v>169.07</v>
      </c>
      <c r="W537" s="625" t="s">
        <v>85</v>
      </c>
      <c r="AB537" s="626">
        <v>61.01</v>
      </c>
      <c r="AC537" s="626" t="s">
        <v>63</v>
      </c>
      <c r="AJ537" s="622">
        <v>102.07</v>
      </c>
      <c r="AK537" s="625" t="s">
        <v>78</v>
      </c>
      <c r="AP537" s="1837"/>
      <c r="AQ537" s="1837"/>
      <c r="AZ537" s="622">
        <v>135.04</v>
      </c>
      <c r="BA537" s="625" t="s">
        <v>63</v>
      </c>
      <c r="BF537" s="1837"/>
      <c r="BG537" s="1837"/>
      <c r="BI537" s="1365"/>
      <c r="BJ537" s="1365"/>
      <c r="BK537" s="1365"/>
      <c r="BL537" s="1365"/>
      <c r="BM537" s="1365"/>
      <c r="BN537" s="1365"/>
      <c r="BO537" s="1365"/>
      <c r="BP537" s="1365"/>
      <c r="BQ537" s="1365"/>
      <c r="BR537" s="1365"/>
      <c r="BS537" s="1365"/>
    </row>
    <row r="538" spans="6:71">
      <c r="F538" s="622">
        <v>152.02000000000001</v>
      </c>
      <c r="G538" s="625" t="s">
        <v>85</v>
      </c>
      <c r="L538" s="626">
        <v>26.03</v>
      </c>
      <c r="M538" s="626" t="s">
        <v>51</v>
      </c>
      <c r="V538" s="622">
        <v>172</v>
      </c>
      <c r="W538" s="622" t="s">
        <v>49</v>
      </c>
      <c r="AB538" s="626">
        <v>61.01</v>
      </c>
      <c r="AC538" s="626" t="s">
        <v>78</v>
      </c>
      <c r="AJ538" s="622">
        <v>102.08</v>
      </c>
      <c r="AK538" s="625" t="s">
        <v>78</v>
      </c>
      <c r="AP538" s="1837"/>
      <c r="AQ538" s="1837"/>
      <c r="AZ538" s="622">
        <v>135.11000000000001</v>
      </c>
      <c r="BA538" s="625" t="s">
        <v>85</v>
      </c>
      <c r="BF538" s="1837"/>
      <c r="BG538" s="1837"/>
      <c r="BI538" s="1365"/>
      <c r="BJ538" s="1365"/>
      <c r="BK538" s="1365"/>
      <c r="BL538" s="1365"/>
      <c r="BM538" s="1365"/>
      <c r="BN538" s="1365"/>
      <c r="BO538" s="1365"/>
      <c r="BP538" s="1365"/>
      <c r="BQ538" s="1365"/>
      <c r="BR538" s="1365"/>
      <c r="BS538" s="1365"/>
    </row>
    <row r="539" spans="6:71">
      <c r="F539" s="622">
        <v>163.02000000000001</v>
      </c>
      <c r="G539" s="625" t="s">
        <v>85</v>
      </c>
      <c r="L539" s="626">
        <v>26.04</v>
      </c>
      <c r="M539" s="626" t="s">
        <v>51</v>
      </c>
      <c r="V539" s="622">
        <v>173</v>
      </c>
      <c r="W539" s="625" t="s">
        <v>85</v>
      </c>
      <c r="AB539" s="626">
        <v>61.02</v>
      </c>
      <c r="AC539" s="626" t="s">
        <v>78</v>
      </c>
      <c r="AJ539" s="622">
        <v>102.13</v>
      </c>
      <c r="AK539" s="625" t="s">
        <v>78</v>
      </c>
      <c r="AP539" s="1837"/>
      <c r="AQ539" s="1837"/>
      <c r="AZ539" s="622">
        <v>135.12</v>
      </c>
      <c r="BA539" s="625" t="s">
        <v>85</v>
      </c>
      <c r="BF539" s="1837"/>
      <c r="BG539" s="1837"/>
      <c r="BI539" s="1365"/>
      <c r="BJ539" s="1365"/>
      <c r="BK539" s="1365"/>
      <c r="BL539" s="1365"/>
      <c r="BM539" s="1365"/>
      <c r="BN539" s="1365"/>
      <c r="BO539" s="1365"/>
      <c r="BP539" s="1365"/>
      <c r="BQ539" s="1365"/>
      <c r="BR539" s="1365"/>
      <c r="BS539" s="1365"/>
    </row>
    <row r="540" spans="6:71">
      <c r="F540" s="622">
        <v>164.07</v>
      </c>
      <c r="G540" s="625" t="s">
        <v>85</v>
      </c>
      <c r="L540" s="626">
        <v>26.05</v>
      </c>
      <c r="M540" s="626" t="s">
        <v>51</v>
      </c>
      <c r="V540" s="622">
        <v>174</v>
      </c>
      <c r="W540" s="622" t="s">
        <v>49</v>
      </c>
      <c r="AB540" s="626">
        <v>61.03</v>
      </c>
      <c r="AC540" s="626" t="s">
        <v>63</v>
      </c>
      <c r="AJ540" s="622">
        <v>106.09</v>
      </c>
      <c r="AK540" s="625" t="s">
        <v>78</v>
      </c>
      <c r="AP540" s="1837"/>
      <c r="AQ540" s="1837"/>
      <c r="AZ540" s="622">
        <v>136</v>
      </c>
      <c r="BA540" s="625" t="s">
        <v>78</v>
      </c>
      <c r="BF540" s="1837"/>
      <c r="BG540" s="1837"/>
      <c r="BI540" s="1365"/>
      <c r="BJ540" s="1365"/>
      <c r="BK540" s="1365"/>
      <c r="BL540" s="1365"/>
      <c r="BM540" s="1365"/>
      <c r="BN540" s="1365"/>
      <c r="BO540" s="1365"/>
      <c r="BP540" s="1365"/>
      <c r="BQ540" s="1365"/>
      <c r="BR540" s="1365"/>
      <c r="BS540" s="1365"/>
    </row>
    <row r="541" spans="6:71">
      <c r="F541" s="622">
        <v>165.03</v>
      </c>
      <c r="G541" s="625" t="s">
        <v>85</v>
      </c>
      <c r="L541" s="626">
        <v>27.01</v>
      </c>
      <c r="M541" s="626" t="s">
        <v>51</v>
      </c>
      <c r="V541" s="622">
        <v>176</v>
      </c>
      <c r="W541" s="625" t="s">
        <v>85</v>
      </c>
      <c r="AB541" s="626">
        <v>62</v>
      </c>
      <c r="AC541" s="626" t="s">
        <v>63</v>
      </c>
      <c r="AJ541" s="622">
        <v>107.06</v>
      </c>
      <c r="AK541" s="625" t="s">
        <v>78</v>
      </c>
      <c r="AP541" s="1837"/>
      <c r="AQ541" s="1837"/>
      <c r="AZ541" s="622">
        <v>136.01</v>
      </c>
      <c r="BA541" s="625" t="s">
        <v>91</v>
      </c>
      <c r="BF541" s="1837"/>
      <c r="BG541" s="1837"/>
      <c r="BI541" s="1365"/>
      <c r="BJ541" s="1365"/>
      <c r="BK541" s="1365"/>
      <c r="BL541" s="1365"/>
      <c r="BM541" s="1365"/>
      <c r="BN541" s="1365"/>
      <c r="BO541" s="1365"/>
      <c r="BP541" s="1365"/>
      <c r="BQ541" s="1365"/>
      <c r="BR541" s="1365"/>
      <c r="BS541" s="1365"/>
    </row>
    <row r="542" spans="6:71">
      <c r="F542" s="622">
        <v>165.05</v>
      </c>
      <c r="G542" s="625" t="s">
        <v>85</v>
      </c>
      <c r="L542" s="626">
        <v>28.02</v>
      </c>
      <c r="M542" s="626" t="s">
        <v>51</v>
      </c>
      <c r="V542" s="622">
        <v>180</v>
      </c>
      <c r="W542" s="625" t="s">
        <v>85</v>
      </c>
      <c r="AB542" s="626">
        <v>62.01</v>
      </c>
      <c r="AC542" s="626" t="s">
        <v>78</v>
      </c>
      <c r="AJ542" s="622">
        <v>108.03</v>
      </c>
      <c r="AK542" s="625" t="s">
        <v>78</v>
      </c>
      <c r="AP542" s="1837"/>
      <c r="AQ542" s="1837"/>
      <c r="AZ542" s="622">
        <v>136.02000000000001</v>
      </c>
      <c r="BA542" s="625" t="s">
        <v>91</v>
      </c>
      <c r="BF542" s="1837"/>
      <c r="BG542" s="1837"/>
      <c r="BI542" s="1365"/>
      <c r="BJ542" s="1365"/>
      <c r="BK542" s="1365"/>
      <c r="BL542" s="1365"/>
      <c r="BM542" s="1365"/>
      <c r="BN542" s="1365"/>
      <c r="BO542" s="1365"/>
      <c r="BP542" s="1365"/>
      <c r="BQ542" s="1365"/>
      <c r="BR542" s="1365"/>
      <c r="BS542" s="1365"/>
    </row>
    <row r="543" spans="6:71">
      <c r="F543" s="622">
        <v>165.08</v>
      </c>
      <c r="G543" s="625" t="s">
        <v>85</v>
      </c>
      <c r="L543" s="626">
        <v>28.04</v>
      </c>
      <c r="M543" s="626" t="s">
        <v>51</v>
      </c>
      <c r="V543" s="622">
        <v>185</v>
      </c>
      <c r="W543" s="625" t="s">
        <v>85</v>
      </c>
      <c r="AB543" s="626">
        <v>62.02</v>
      </c>
      <c r="AC543" s="626" t="s">
        <v>87</v>
      </c>
      <c r="AJ543" s="622">
        <v>108.04</v>
      </c>
      <c r="AK543" s="625" t="s">
        <v>78</v>
      </c>
      <c r="AP543" s="1837"/>
      <c r="AQ543" s="1837"/>
      <c r="AZ543" s="622">
        <v>136.05000000000001</v>
      </c>
      <c r="BA543" s="625" t="s">
        <v>85</v>
      </c>
      <c r="BF543" s="1837"/>
      <c r="BG543" s="1837"/>
      <c r="BI543" s="1365"/>
      <c r="BJ543" s="1365"/>
      <c r="BK543" s="1365"/>
      <c r="BL543" s="1365"/>
      <c r="BM543" s="1365"/>
      <c r="BN543" s="1365"/>
      <c r="BO543" s="1365"/>
      <c r="BP543" s="1365"/>
      <c r="BQ543" s="1365"/>
      <c r="BR543" s="1365"/>
      <c r="BS543" s="1365"/>
    </row>
    <row r="544" spans="6:71">
      <c r="F544" s="622">
        <v>165.1</v>
      </c>
      <c r="G544" s="625" t="s">
        <v>85</v>
      </c>
      <c r="L544" s="626">
        <v>32.04</v>
      </c>
      <c r="M544" s="626" t="s">
        <v>51</v>
      </c>
      <c r="V544" s="622">
        <v>187</v>
      </c>
      <c r="W544" s="625" t="s">
        <v>85</v>
      </c>
      <c r="AB544" s="626">
        <v>62.03</v>
      </c>
      <c r="AC544" s="626" t="s">
        <v>78</v>
      </c>
      <c r="AJ544" s="622">
        <v>108.05</v>
      </c>
      <c r="AK544" s="625" t="s">
        <v>78</v>
      </c>
      <c r="AP544" s="1837"/>
      <c r="AQ544" s="1837"/>
      <c r="AZ544" s="622">
        <v>136.06</v>
      </c>
      <c r="BA544" s="625" t="s">
        <v>85</v>
      </c>
      <c r="BF544" s="1837"/>
      <c r="BG544" s="1837"/>
      <c r="BI544" s="1365"/>
      <c r="BJ544" s="1365"/>
      <c r="BK544" s="1365"/>
      <c r="BL544" s="1365"/>
      <c r="BM544" s="1365"/>
      <c r="BN544" s="1365"/>
      <c r="BO544" s="1365"/>
      <c r="BP544" s="1365"/>
      <c r="BQ544" s="1365"/>
      <c r="BR544" s="1365"/>
      <c r="BS544" s="1365"/>
    </row>
    <row r="545" spans="6:71">
      <c r="F545" s="622">
        <v>165.11</v>
      </c>
      <c r="G545" s="625" t="s">
        <v>85</v>
      </c>
      <c r="L545" s="626">
        <v>33.01</v>
      </c>
      <c r="M545" s="626" t="s">
        <v>51</v>
      </c>
      <c r="V545" s="622">
        <v>189</v>
      </c>
      <c r="W545" s="625" t="s">
        <v>85</v>
      </c>
      <c r="AB545" s="626">
        <v>62.05</v>
      </c>
      <c r="AC545" s="626" t="s">
        <v>78</v>
      </c>
      <c r="AJ545" s="622">
        <v>108.06</v>
      </c>
      <c r="AK545" s="625" t="s">
        <v>78</v>
      </c>
      <c r="AP545" s="1837"/>
      <c r="AQ545" s="1837"/>
      <c r="AZ545" s="622">
        <v>137.01</v>
      </c>
      <c r="BA545" s="625" t="s">
        <v>91</v>
      </c>
      <c r="BF545" s="1837"/>
      <c r="BG545" s="1837"/>
      <c r="BI545" s="1365"/>
      <c r="BJ545" s="1365"/>
      <c r="BK545" s="1365"/>
      <c r="BL545" s="1365"/>
      <c r="BM545" s="1365"/>
      <c r="BN545" s="1365"/>
      <c r="BO545" s="1365"/>
      <c r="BP545" s="1365"/>
      <c r="BQ545" s="1365"/>
      <c r="BR545" s="1365"/>
      <c r="BS545" s="1365"/>
    </row>
    <row r="546" spans="6:71">
      <c r="F546" s="622">
        <v>167.09</v>
      </c>
      <c r="G546" s="625" t="s">
        <v>85</v>
      </c>
      <c r="L546" s="626">
        <v>33.049999999999997</v>
      </c>
      <c r="M546" s="626" t="s">
        <v>51</v>
      </c>
      <c r="V546" s="622">
        <v>201.01</v>
      </c>
      <c r="W546" s="625" t="s">
        <v>89</v>
      </c>
      <c r="AB546" s="626">
        <v>62.06</v>
      </c>
      <c r="AC546" s="626" t="s">
        <v>78</v>
      </c>
      <c r="AJ546" s="622">
        <v>109</v>
      </c>
      <c r="AK546" s="625" t="s">
        <v>78</v>
      </c>
      <c r="AP546" s="1837"/>
      <c r="AQ546" s="1837"/>
      <c r="AZ546" s="622">
        <v>138.01</v>
      </c>
      <c r="BA546" s="622" t="s">
        <v>63</v>
      </c>
      <c r="BF546" s="1837"/>
      <c r="BG546" s="1837"/>
      <c r="BI546" s="1365"/>
      <c r="BJ546" s="1365"/>
      <c r="BK546" s="1365"/>
      <c r="BL546" s="1365"/>
      <c r="BM546" s="1365"/>
      <c r="BN546" s="1365"/>
      <c r="BO546" s="1365"/>
      <c r="BP546" s="1365"/>
      <c r="BQ546" s="1365"/>
      <c r="BR546" s="1365"/>
      <c r="BS546" s="1365"/>
    </row>
    <row r="547" spans="6:71">
      <c r="F547" s="622">
        <v>167.12</v>
      </c>
      <c r="G547" s="625" t="s">
        <v>85</v>
      </c>
      <c r="L547" s="626">
        <v>33.08</v>
      </c>
      <c r="M547" s="626" t="s">
        <v>51</v>
      </c>
      <c r="V547" s="622">
        <v>201.01</v>
      </c>
      <c r="W547" s="625" t="s">
        <v>97</v>
      </c>
      <c r="AB547" s="626">
        <v>63</v>
      </c>
      <c r="AC547" s="626" t="s">
        <v>63</v>
      </c>
      <c r="AJ547" s="622">
        <v>110.1</v>
      </c>
      <c r="AK547" s="625" t="s">
        <v>78</v>
      </c>
      <c r="AP547" s="1837"/>
      <c r="AQ547" s="1837"/>
      <c r="AZ547" s="622">
        <v>138.01</v>
      </c>
      <c r="BA547" s="625" t="s">
        <v>78</v>
      </c>
      <c r="BF547" s="1837"/>
      <c r="BG547" s="1837"/>
      <c r="BI547" s="1365"/>
      <c r="BJ547" s="1365"/>
      <c r="BK547" s="1365"/>
      <c r="BL547" s="1365"/>
      <c r="BM547" s="1365"/>
      <c r="BN547" s="1365"/>
      <c r="BO547" s="1365"/>
      <c r="BP547" s="1365"/>
      <c r="BQ547" s="1365"/>
      <c r="BR547" s="1365"/>
      <c r="BS547" s="1365"/>
    </row>
    <row r="548" spans="6:71">
      <c r="F548" s="622">
        <v>167.24</v>
      </c>
      <c r="G548" s="625" t="s">
        <v>85</v>
      </c>
      <c r="L548" s="626">
        <v>33.090000000000003</v>
      </c>
      <c r="M548" s="626" t="s">
        <v>51</v>
      </c>
      <c r="V548" s="622">
        <v>203</v>
      </c>
      <c r="W548" s="625" t="s">
        <v>70</v>
      </c>
      <c r="AB548" s="626">
        <v>63</v>
      </c>
      <c r="AC548" s="626" t="s">
        <v>87</v>
      </c>
      <c r="AJ548" s="622">
        <v>110.11</v>
      </c>
      <c r="AK548" s="625" t="s">
        <v>78</v>
      </c>
      <c r="AP548" s="1837"/>
      <c r="AQ548" s="1837"/>
      <c r="AZ548" s="622">
        <v>138.02000000000001</v>
      </c>
      <c r="BA548" s="625" t="s">
        <v>78</v>
      </c>
      <c r="BF548" s="1837"/>
      <c r="BG548" s="1837"/>
      <c r="BI548" s="1365"/>
      <c r="BJ548" s="1365"/>
      <c r="BK548" s="1365"/>
      <c r="BL548" s="1365"/>
      <c r="BM548" s="1365"/>
      <c r="BN548" s="1365"/>
      <c r="BO548" s="1365"/>
      <c r="BP548" s="1365"/>
      <c r="BQ548" s="1365"/>
      <c r="BR548" s="1365"/>
      <c r="BS548" s="1365"/>
    </row>
    <row r="549" spans="6:71">
      <c r="F549" s="622">
        <v>167.27</v>
      </c>
      <c r="G549" s="625" t="s">
        <v>85</v>
      </c>
      <c r="L549" s="626">
        <v>35.03</v>
      </c>
      <c r="M549" s="626" t="s">
        <v>51</v>
      </c>
      <c r="V549" s="622">
        <v>203</v>
      </c>
      <c r="W549" s="622" t="s">
        <v>93</v>
      </c>
      <c r="AB549" s="626">
        <v>63.02</v>
      </c>
      <c r="AC549" s="626" t="s">
        <v>78</v>
      </c>
      <c r="AJ549" s="622">
        <v>111.03</v>
      </c>
      <c r="AK549" s="625" t="s">
        <v>78</v>
      </c>
      <c r="AP549" s="1837"/>
      <c r="AQ549" s="1837"/>
      <c r="AZ549" s="622">
        <v>138.03</v>
      </c>
      <c r="BA549" s="625" t="s">
        <v>63</v>
      </c>
      <c r="BF549" s="1837"/>
      <c r="BG549" s="1837"/>
      <c r="BI549" s="1365"/>
      <c r="BJ549" s="1365"/>
      <c r="BK549" s="1365"/>
      <c r="BL549" s="1365"/>
      <c r="BM549" s="1365"/>
      <c r="BN549" s="1365"/>
      <c r="BO549" s="1365"/>
      <c r="BP549" s="1365"/>
      <c r="BQ549" s="1365"/>
      <c r="BR549" s="1365"/>
      <c r="BS549" s="1365"/>
    </row>
    <row r="550" spans="6:71">
      <c r="F550" s="622">
        <v>169.02</v>
      </c>
      <c r="G550" s="625" t="s">
        <v>85</v>
      </c>
      <c r="L550" s="626">
        <v>35.06</v>
      </c>
      <c r="M550" s="626" t="s">
        <v>51</v>
      </c>
      <c r="V550" s="622">
        <v>204</v>
      </c>
      <c r="W550" s="622" t="s">
        <v>93</v>
      </c>
      <c r="AB550" s="626">
        <v>64</v>
      </c>
      <c r="AC550" s="626" t="s">
        <v>63</v>
      </c>
      <c r="AJ550" s="622">
        <v>111.04</v>
      </c>
      <c r="AK550" s="625" t="s">
        <v>78</v>
      </c>
      <c r="AP550" s="1837"/>
      <c r="AQ550" s="1837"/>
      <c r="AZ550" s="622">
        <v>140.02000000000001</v>
      </c>
      <c r="BA550" s="622" t="s">
        <v>63</v>
      </c>
      <c r="BF550" s="1837"/>
      <c r="BG550" s="1837"/>
      <c r="BI550" s="1365"/>
      <c r="BJ550" s="1365"/>
      <c r="BK550" s="1365"/>
      <c r="BL550" s="1365"/>
      <c r="BM550" s="1365"/>
      <c r="BN550" s="1365"/>
      <c r="BO550" s="1365"/>
      <c r="BP550" s="1365"/>
      <c r="BQ550" s="1365"/>
      <c r="BR550" s="1365"/>
      <c r="BS550" s="1365"/>
    </row>
    <row r="551" spans="6:71">
      <c r="F551" s="622">
        <v>169.03</v>
      </c>
      <c r="G551" s="625" t="s">
        <v>85</v>
      </c>
      <c r="L551" s="626">
        <v>36.03</v>
      </c>
      <c r="M551" s="626" t="s">
        <v>51</v>
      </c>
      <c r="V551" s="622">
        <v>204.05</v>
      </c>
      <c r="W551" s="622" t="s">
        <v>36</v>
      </c>
      <c r="AB551" s="626">
        <v>64.010000000000005</v>
      </c>
      <c r="AC551" s="626" t="s">
        <v>87</v>
      </c>
      <c r="AJ551" s="622">
        <v>112.03</v>
      </c>
      <c r="AK551" s="625" t="s">
        <v>78</v>
      </c>
      <c r="AP551" s="1837"/>
      <c r="AQ551" s="1837"/>
      <c r="AZ551" s="622">
        <v>140.13</v>
      </c>
      <c r="BA551" s="622" t="s">
        <v>63</v>
      </c>
      <c r="BF551" s="1837"/>
      <c r="BG551" s="1837"/>
      <c r="BI551" s="1365"/>
      <c r="BJ551" s="1365"/>
      <c r="BK551" s="1365"/>
      <c r="BL551" s="1365"/>
      <c r="BM551" s="1365"/>
      <c r="BN551" s="1365"/>
      <c r="BO551" s="1365"/>
      <c r="BP551" s="1365"/>
      <c r="BQ551" s="1365"/>
      <c r="BR551" s="1365"/>
      <c r="BS551" s="1365"/>
    </row>
    <row r="552" spans="6:71">
      <c r="F552" s="622">
        <v>169.04</v>
      </c>
      <c r="G552" s="625" t="s">
        <v>85</v>
      </c>
      <c r="L552" s="626">
        <v>36.08</v>
      </c>
      <c r="M552" s="626" t="s">
        <v>51</v>
      </c>
      <c r="V552" s="622">
        <v>204.12</v>
      </c>
      <c r="W552" s="622" t="s">
        <v>36</v>
      </c>
      <c r="AB552" s="626">
        <v>64.02</v>
      </c>
      <c r="AC552" s="626" t="s">
        <v>87</v>
      </c>
      <c r="AJ552" s="622">
        <v>112.04</v>
      </c>
      <c r="AK552" s="625" t="s">
        <v>78</v>
      </c>
      <c r="AP552" s="1837"/>
      <c r="AQ552" s="1837"/>
      <c r="AZ552" s="622">
        <v>141.08000000000001</v>
      </c>
      <c r="BA552" s="625" t="s">
        <v>63</v>
      </c>
      <c r="BF552" s="1837"/>
      <c r="BG552" s="1837"/>
      <c r="BI552" s="1365"/>
      <c r="BJ552" s="1365"/>
      <c r="BK552" s="1365"/>
      <c r="BL552" s="1365"/>
      <c r="BM552" s="1365"/>
      <c r="BN552" s="1365"/>
      <c r="BO552" s="1365"/>
      <c r="BP552" s="1365"/>
      <c r="BQ552" s="1365"/>
      <c r="BR552" s="1365"/>
      <c r="BS552" s="1365"/>
    </row>
    <row r="553" spans="6:71">
      <c r="F553" s="622">
        <v>169.06</v>
      </c>
      <c r="G553" s="625" t="s">
        <v>85</v>
      </c>
      <c r="L553" s="626">
        <v>36.090000000000003</v>
      </c>
      <c r="M553" s="626" t="s">
        <v>51</v>
      </c>
      <c r="V553" s="622">
        <v>205</v>
      </c>
      <c r="W553" s="625" t="s">
        <v>89</v>
      </c>
      <c r="AB553" s="626">
        <v>65.010000000000005</v>
      </c>
      <c r="AC553" s="626" t="s">
        <v>63</v>
      </c>
      <c r="AJ553" s="622">
        <v>112.05</v>
      </c>
      <c r="AK553" s="625" t="s">
        <v>78</v>
      </c>
      <c r="AP553" s="1837"/>
      <c r="AQ553" s="1837"/>
      <c r="AZ553" s="622">
        <v>141.21</v>
      </c>
      <c r="BA553" s="622" t="s">
        <v>91</v>
      </c>
      <c r="BF553" s="1837"/>
      <c r="BG553" s="1837"/>
      <c r="BI553" s="1365"/>
      <c r="BJ553" s="1365"/>
      <c r="BK553" s="1365"/>
      <c r="BL553" s="1365"/>
      <c r="BM553" s="1365"/>
      <c r="BN553" s="1365"/>
      <c r="BO553" s="1365"/>
      <c r="BP553" s="1365"/>
      <c r="BQ553" s="1365"/>
      <c r="BR553" s="1365"/>
      <c r="BS553" s="1365"/>
    </row>
    <row r="554" spans="6:71">
      <c r="F554" s="622">
        <v>169.07</v>
      </c>
      <c r="G554" s="625" t="s">
        <v>85</v>
      </c>
      <c r="L554" s="626">
        <v>36.1</v>
      </c>
      <c r="M554" s="626" t="s">
        <v>51</v>
      </c>
      <c r="V554" s="622">
        <v>205</v>
      </c>
      <c r="W554" s="625" t="s">
        <v>97</v>
      </c>
      <c r="AB554" s="626">
        <v>65.010000000000005</v>
      </c>
      <c r="AC554" s="626" t="s">
        <v>78</v>
      </c>
      <c r="AJ554" s="622">
        <v>112.06</v>
      </c>
      <c r="AK554" s="625" t="s">
        <v>78</v>
      </c>
      <c r="AP554" s="1837"/>
      <c r="AQ554" s="1837"/>
      <c r="AZ554" s="622">
        <v>142</v>
      </c>
      <c r="BA554" s="625" t="s">
        <v>63</v>
      </c>
      <c r="BF554" s="1837"/>
      <c r="BG554" s="1837"/>
      <c r="BI554" s="1365"/>
      <c r="BJ554" s="1365"/>
      <c r="BK554" s="1365"/>
      <c r="BL554" s="1365"/>
      <c r="BM554" s="1365"/>
      <c r="BN554" s="1365"/>
      <c r="BO554" s="1365"/>
      <c r="BP554" s="1365"/>
      <c r="BQ554" s="1365"/>
      <c r="BR554" s="1365"/>
      <c r="BS554" s="1365"/>
    </row>
    <row r="555" spans="6:71">
      <c r="F555" s="622">
        <v>173</v>
      </c>
      <c r="G555" s="625" t="s">
        <v>85</v>
      </c>
      <c r="L555" s="626">
        <v>36.11</v>
      </c>
      <c r="M555" s="626" t="s">
        <v>51</v>
      </c>
      <c r="V555" s="622">
        <v>205.01</v>
      </c>
      <c r="W555" s="625" t="s">
        <v>70</v>
      </c>
      <c r="AB555" s="626">
        <v>65.03</v>
      </c>
      <c r="AC555" s="626" t="s">
        <v>78</v>
      </c>
      <c r="AJ555" s="622">
        <v>113.01</v>
      </c>
      <c r="AK555" s="625" t="s">
        <v>78</v>
      </c>
      <c r="AP555" s="1837"/>
      <c r="AQ555" s="1837"/>
      <c r="AZ555" s="622">
        <v>142.01</v>
      </c>
      <c r="BA555" s="622" t="s">
        <v>91</v>
      </c>
      <c r="BF555" s="1837"/>
      <c r="BG555" s="1837"/>
      <c r="BI555" s="1365"/>
      <c r="BJ555" s="1365"/>
      <c r="BK555" s="1365"/>
      <c r="BL555" s="1365"/>
      <c r="BM555" s="1365"/>
      <c r="BN555" s="1365"/>
      <c r="BO555" s="1365"/>
      <c r="BP555" s="1365"/>
      <c r="BQ555" s="1365"/>
      <c r="BR555" s="1365"/>
      <c r="BS555" s="1365"/>
    </row>
    <row r="556" spans="6:71">
      <c r="F556" s="622">
        <v>176</v>
      </c>
      <c r="G556" s="625" t="s">
        <v>85</v>
      </c>
      <c r="L556" s="626">
        <v>36.119999999999997</v>
      </c>
      <c r="M556" s="626" t="s">
        <v>51</v>
      </c>
      <c r="V556" s="622">
        <v>206</v>
      </c>
      <c r="W556" s="625" t="s">
        <v>89</v>
      </c>
      <c r="AB556" s="626">
        <v>65.040000000000006</v>
      </c>
      <c r="AC556" s="626" t="s">
        <v>78</v>
      </c>
      <c r="AJ556" s="622">
        <v>113.02</v>
      </c>
      <c r="AK556" s="625" t="s">
        <v>78</v>
      </c>
      <c r="AP556" s="1837"/>
      <c r="AQ556" s="1837"/>
      <c r="AZ556" s="622">
        <v>142.03</v>
      </c>
      <c r="BA556" s="622" t="s">
        <v>91</v>
      </c>
      <c r="BF556" s="1837"/>
      <c r="BG556" s="1837"/>
      <c r="BI556" s="1365"/>
      <c r="BJ556" s="1365"/>
      <c r="BK556" s="1365"/>
      <c r="BL556" s="1365"/>
      <c r="BM556" s="1365"/>
      <c r="BN556" s="1365"/>
      <c r="BO556" s="1365"/>
      <c r="BP556" s="1365"/>
      <c r="BQ556" s="1365"/>
      <c r="BR556" s="1365"/>
      <c r="BS556" s="1365"/>
    </row>
    <row r="557" spans="6:71">
      <c r="F557" s="622">
        <v>180</v>
      </c>
      <c r="G557" s="625" t="s">
        <v>85</v>
      </c>
      <c r="L557" s="626">
        <v>36.130000000000003</v>
      </c>
      <c r="M557" s="626" t="s">
        <v>51</v>
      </c>
      <c r="V557" s="622">
        <v>207</v>
      </c>
      <c r="W557" s="625" t="s">
        <v>41</v>
      </c>
      <c r="AB557" s="626">
        <v>66</v>
      </c>
      <c r="AC557" s="626" t="s">
        <v>63</v>
      </c>
      <c r="AJ557" s="622">
        <v>114.05</v>
      </c>
      <c r="AK557" s="625" t="s">
        <v>78</v>
      </c>
      <c r="AP557" s="1837"/>
      <c r="AQ557" s="1837"/>
      <c r="AZ557" s="622">
        <v>143.01</v>
      </c>
      <c r="BA557" s="622" t="s">
        <v>91</v>
      </c>
      <c r="BF557" s="1837"/>
      <c r="BG557" s="1837"/>
      <c r="BI557" s="1365"/>
      <c r="BJ557" s="1365"/>
      <c r="BK557" s="1365"/>
      <c r="BL557" s="1365"/>
      <c r="BM557" s="1365"/>
      <c r="BN557" s="1365"/>
      <c r="BO557" s="1365"/>
      <c r="BP557" s="1365"/>
      <c r="BQ557" s="1365"/>
      <c r="BR557" s="1365"/>
      <c r="BS557" s="1365"/>
    </row>
    <row r="558" spans="6:71">
      <c r="F558" s="622">
        <v>185</v>
      </c>
      <c r="G558" s="625" t="s">
        <v>85</v>
      </c>
      <c r="L558" s="626">
        <v>36.14</v>
      </c>
      <c r="M558" s="626" t="s">
        <v>51</v>
      </c>
      <c r="V558" s="622">
        <v>207</v>
      </c>
      <c r="W558" s="625" t="s">
        <v>89</v>
      </c>
      <c r="AB558" s="626">
        <v>66.010000000000005</v>
      </c>
      <c r="AC558" s="626" t="s">
        <v>78</v>
      </c>
      <c r="AJ558" s="622">
        <v>114.06</v>
      </c>
      <c r="AK558" s="625" t="s">
        <v>78</v>
      </c>
      <c r="AP558" s="1837"/>
      <c r="AQ558" s="1837"/>
      <c r="AZ558" s="622">
        <v>143.02000000000001</v>
      </c>
      <c r="BA558" s="625" t="s">
        <v>85</v>
      </c>
      <c r="BF558" s="1837"/>
      <c r="BG558" s="1837"/>
      <c r="BI558" s="1365"/>
      <c r="BJ558" s="1365"/>
      <c r="BK558" s="1365"/>
      <c r="BL558" s="1365"/>
      <c r="BM558" s="1365"/>
      <c r="BN558" s="1365"/>
      <c r="BO558" s="1365"/>
      <c r="BP558" s="1365"/>
      <c r="BQ558" s="1365"/>
      <c r="BR558" s="1365"/>
      <c r="BS558" s="1365"/>
    </row>
    <row r="559" spans="6:71">
      <c r="F559" s="622">
        <v>187</v>
      </c>
      <c r="G559" s="625" t="s">
        <v>85</v>
      </c>
      <c r="L559" s="626">
        <v>37</v>
      </c>
      <c r="M559" s="626" t="s">
        <v>51</v>
      </c>
      <c r="V559" s="622">
        <v>207.01</v>
      </c>
      <c r="W559" s="625" t="s">
        <v>54</v>
      </c>
      <c r="AB559" s="626">
        <v>66.02</v>
      </c>
      <c r="AC559" s="626" t="s">
        <v>78</v>
      </c>
      <c r="AJ559" s="622">
        <v>114.07</v>
      </c>
      <c r="AK559" s="625" t="s">
        <v>78</v>
      </c>
      <c r="AP559" s="1837"/>
      <c r="AQ559" s="1837"/>
      <c r="AZ559" s="622">
        <v>143.11000000000001</v>
      </c>
      <c r="BA559" s="625" t="s">
        <v>49</v>
      </c>
      <c r="BF559" s="1837"/>
      <c r="BG559" s="1837"/>
      <c r="BI559" s="1365"/>
      <c r="BJ559" s="1365"/>
      <c r="BK559" s="1365"/>
      <c r="BL559" s="1365"/>
      <c r="BM559" s="1365"/>
      <c r="BN559" s="1365"/>
      <c r="BO559" s="1365"/>
      <c r="BP559" s="1365"/>
      <c r="BQ559" s="1365"/>
      <c r="BR559" s="1365"/>
      <c r="BS559" s="1365"/>
    </row>
    <row r="560" spans="6:71">
      <c r="F560" s="622">
        <v>189</v>
      </c>
      <c r="G560" s="625" t="s">
        <v>85</v>
      </c>
      <c r="L560" s="626">
        <v>39</v>
      </c>
      <c r="M560" s="626" t="s">
        <v>51</v>
      </c>
      <c r="V560" s="622">
        <v>207.02</v>
      </c>
      <c r="W560" s="625" t="s">
        <v>54</v>
      </c>
      <c r="AB560" s="626">
        <v>66.02</v>
      </c>
      <c r="AC560" s="626" t="s">
        <v>87</v>
      </c>
      <c r="AJ560" s="622">
        <v>114.08</v>
      </c>
      <c r="AK560" s="625" t="s">
        <v>78</v>
      </c>
      <c r="AP560" s="1837"/>
      <c r="AQ560" s="1837"/>
      <c r="AZ560" s="622">
        <v>145.02000000000001</v>
      </c>
      <c r="BA560" s="625" t="s">
        <v>85</v>
      </c>
      <c r="BF560" s="1837"/>
      <c r="BG560" s="1837"/>
      <c r="BI560" s="1365"/>
      <c r="BJ560" s="1365"/>
      <c r="BK560" s="1365"/>
      <c r="BL560" s="1365"/>
      <c r="BM560" s="1365"/>
      <c r="BN560" s="1365"/>
      <c r="BO560" s="1365"/>
      <c r="BP560" s="1365"/>
      <c r="BQ560" s="1365"/>
      <c r="BR560" s="1365"/>
      <c r="BS560" s="1365"/>
    </row>
    <row r="561" spans="6:71">
      <c r="F561" s="622">
        <v>409.02</v>
      </c>
      <c r="G561" s="625" t="s">
        <v>86</v>
      </c>
      <c r="L561" s="626">
        <v>601.03</v>
      </c>
      <c r="M561" s="626" t="s">
        <v>52</v>
      </c>
      <c r="V561" s="622">
        <v>208</v>
      </c>
      <c r="W561" s="625" t="s">
        <v>70</v>
      </c>
      <c r="AB561" s="626">
        <v>66.03</v>
      </c>
      <c r="AC561" s="626" t="s">
        <v>87</v>
      </c>
      <c r="AJ561" s="622">
        <v>117.01</v>
      </c>
      <c r="AK561" s="625" t="s">
        <v>78</v>
      </c>
      <c r="AP561" s="1837"/>
      <c r="AQ561" s="1837"/>
      <c r="AZ561" s="622">
        <v>145.02000000000001</v>
      </c>
      <c r="BA561" s="622" t="s">
        <v>91</v>
      </c>
      <c r="BF561" s="1837"/>
      <c r="BG561" s="1837"/>
      <c r="BI561" s="1365"/>
      <c r="BJ561" s="1365"/>
      <c r="BK561" s="1365"/>
      <c r="BL561" s="1365"/>
      <c r="BM561" s="1365"/>
      <c r="BN561" s="1365"/>
      <c r="BO561" s="1365"/>
      <c r="BP561" s="1365"/>
      <c r="BQ561" s="1365"/>
      <c r="BR561" s="1365"/>
      <c r="BS561" s="1365"/>
    </row>
    <row r="562" spans="6:71">
      <c r="F562" s="622">
        <v>416</v>
      </c>
      <c r="G562" s="625" t="s">
        <v>86</v>
      </c>
      <c r="L562" s="626">
        <v>601.04999999999995</v>
      </c>
      <c r="M562" s="626" t="s">
        <v>52</v>
      </c>
      <c r="V562" s="622">
        <v>208</v>
      </c>
      <c r="W562" s="625" t="s">
        <v>89</v>
      </c>
      <c r="AB562" s="626">
        <v>66.05</v>
      </c>
      <c r="AC562" s="626" t="s">
        <v>87</v>
      </c>
      <c r="AJ562" s="622">
        <v>117.02</v>
      </c>
      <c r="AK562" s="625" t="s">
        <v>78</v>
      </c>
      <c r="AP562" s="1837"/>
      <c r="AQ562" s="1837"/>
      <c r="AZ562" s="622">
        <v>145.03</v>
      </c>
      <c r="BA562" s="625" t="s">
        <v>85</v>
      </c>
      <c r="BF562" s="1837"/>
      <c r="BG562" s="1837"/>
      <c r="BI562" s="1365"/>
      <c r="BJ562" s="1365"/>
      <c r="BK562" s="1365"/>
      <c r="BL562" s="1365"/>
      <c r="BM562" s="1365"/>
      <c r="BN562" s="1365"/>
      <c r="BO562" s="1365"/>
      <c r="BP562" s="1365"/>
      <c r="BQ562" s="1365"/>
      <c r="BR562" s="1365"/>
      <c r="BS562" s="1365"/>
    </row>
    <row r="563" spans="6:71">
      <c r="F563" s="622">
        <v>417</v>
      </c>
      <c r="G563" s="625" t="s">
        <v>86</v>
      </c>
      <c r="L563" s="626">
        <v>601.05999999999995</v>
      </c>
      <c r="M563" s="626" t="s">
        <v>52</v>
      </c>
      <c r="V563" s="622">
        <v>210.02</v>
      </c>
      <c r="W563" s="622" t="s">
        <v>93</v>
      </c>
      <c r="AB563" s="626">
        <v>67</v>
      </c>
      <c r="AC563" s="626" t="s">
        <v>63</v>
      </c>
      <c r="AJ563" s="622">
        <v>120.01</v>
      </c>
      <c r="AK563" s="625" t="s">
        <v>78</v>
      </c>
      <c r="AP563" s="1837"/>
      <c r="AQ563" s="1837"/>
      <c r="AZ563" s="622">
        <v>146.01</v>
      </c>
      <c r="BA563" s="625" t="s">
        <v>78</v>
      </c>
      <c r="BF563" s="1837"/>
      <c r="BG563" s="1837"/>
      <c r="BI563" s="1365"/>
      <c r="BJ563" s="1365"/>
      <c r="BK563" s="1365"/>
      <c r="BL563" s="1365"/>
      <c r="BM563" s="1365"/>
      <c r="BN563" s="1365"/>
      <c r="BO563" s="1365"/>
      <c r="BP563" s="1365"/>
      <c r="BQ563" s="1365"/>
      <c r="BR563" s="1365"/>
      <c r="BS563" s="1365"/>
    </row>
    <row r="564" spans="6:71">
      <c r="F564" s="622">
        <v>418</v>
      </c>
      <c r="G564" s="625" t="s">
        <v>86</v>
      </c>
      <c r="L564" s="626">
        <v>602.04</v>
      </c>
      <c r="M564" s="626" t="s">
        <v>52</v>
      </c>
      <c r="V564" s="622">
        <v>212</v>
      </c>
      <c r="W564" s="625" t="s">
        <v>89</v>
      </c>
      <c r="AB564" s="626">
        <v>67.02</v>
      </c>
      <c r="AC564" s="626" t="s">
        <v>78</v>
      </c>
      <c r="AJ564" s="622">
        <v>120.02</v>
      </c>
      <c r="AK564" s="625" t="s">
        <v>78</v>
      </c>
      <c r="AP564" s="1837"/>
      <c r="AQ564" s="1837"/>
      <c r="AZ564" s="622">
        <v>146.01</v>
      </c>
      <c r="BA564" s="625" t="s">
        <v>85</v>
      </c>
      <c r="BF564" s="1837"/>
      <c r="BG564" s="1837"/>
      <c r="BI564" s="1365"/>
      <c r="BJ564" s="1365"/>
      <c r="BK564" s="1365"/>
      <c r="BL564" s="1365"/>
      <c r="BM564" s="1365"/>
      <c r="BN564" s="1365"/>
      <c r="BO564" s="1365"/>
      <c r="BP564" s="1365"/>
      <c r="BQ564" s="1365"/>
      <c r="BR564" s="1365"/>
      <c r="BS564" s="1365"/>
    </row>
    <row r="565" spans="6:71">
      <c r="F565" s="622">
        <v>419</v>
      </c>
      <c r="G565" s="625" t="s">
        <v>86</v>
      </c>
      <c r="L565" s="626">
        <v>602.04999999999995</v>
      </c>
      <c r="M565" s="626" t="s">
        <v>52</v>
      </c>
      <c r="V565" s="622">
        <v>216</v>
      </c>
      <c r="W565" s="625" t="s">
        <v>89</v>
      </c>
      <c r="AB565" s="626">
        <v>67.05</v>
      </c>
      <c r="AC565" s="626" t="s">
        <v>78</v>
      </c>
      <c r="AJ565" s="622">
        <v>134</v>
      </c>
      <c r="AK565" s="625" t="s">
        <v>78</v>
      </c>
      <c r="AP565" s="1837"/>
      <c r="AQ565" s="1837"/>
      <c r="AZ565" s="622">
        <v>146.05000000000001</v>
      </c>
      <c r="BA565" s="625" t="s">
        <v>85</v>
      </c>
      <c r="BF565" s="1837"/>
      <c r="BG565" s="1837"/>
      <c r="BI565" s="1365"/>
      <c r="BJ565" s="1365"/>
      <c r="BK565" s="1365"/>
      <c r="BL565" s="1365"/>
      <c r="BM565" s="1365"/>
      <c r="BN565" s="1365"/>
      <c r="BO565" s="1365"/>
      <c r="BP565" s="1365"/>
      <c r="BQ565" s="1365"/>
      <c r="BR565" s="1365"/>
      <c r="BS565" s="1365"/>
    </row>
    <row r="566" spans="6:71">
      <c r="F566" s="622">
        <v>420</v>
      </c>
      <c r="G566" s="625" t="s">
        <v>86</v>
      </c>
      <c r="L566" s="626">
        <v>602.07000000000005</v>
      </c>
      <c r="M566" s="626" t="s">
        <v>52</v>
      </c>
      <c r="V566" s="622">
        <v>220</v>
      </c>
      <c r="W566" s="625" t="s">
        <v>89</v>
      </c>
      <c r="AB566" s="626">
        <v>67.06</v>
      </c>
      <c r="AC566" s="626" t="s">
        <v>78</v>
      </c>
      <c r="AJ566" s="622">
        <v>135</v>
      </c>
      <c r="AK566" s="625" t="s">
        <v>78</v>
      </c>
      <c r="AP566" s="1837"/>
      <c r="AQ566" s="1837"/>
      <c r="AZ566" s="622">
        <v>146.06</v>
      </c>
      <c r="BA566" s="625" t="s">
        <v>85</v>
      </c>
      <c r="BF566" s="1837"/>
      <c r="BG566" s="1837"/>
      <c r="BI566" s="1365"/>
      <c r="BJ566" s="1365"/>
      <c r="BK566" s="1365"/>
      <c r="BL566" s="1365"/>
      <c r="BM566" s="1365"/>
      <c r="BN566" s="1365"/>
      <c r="BO566" s="1365"/>
      <c r="BP566" s="1365"/>
      <c r="BQ566" s="1365"/>
      <c r="BR566" s="1365"/>
      <c r="BS566" s="1365"/>
    </row>
    <row r="567" spans="6:71">
      <c r="F567" s="622">
        <v>421</v>
      </c>
      <c r="G567" s="625" t="s">
        <v>86</v>
      </c>
      <c r="L567" s="626">
        <v>602.08000000000004</v>
      </c>
      <c r="M567" s="626" t="s">
        <v>52</v>
      </c>
      <c r="V567" s="622">
        <v>220.01</v>
      </c>
      <c r="W567" s="625" t="s">
        <v>97</v>
      </c>
      <c r="AB567" s="626">
        <v>67.069999999999993</v>
      </c>
      <c r="AC567" s="626" t="s">
        <v>78</v>
      </c>
      <c r="AJ567" s="622">
        <v>136</v>
      </c>
      <c r="AK567" s="625" t="s">
        <v>78</v>
      </c>
      <c r="AP567" s="1837"/>
      <c r="AQ567" s="1837"/>
      <c r="AZ567" s="622">
        <v>146.08000000000001</v>
      </c>
      <c r="BA567" s="625" t="s">
        <v>85</v>
      </c>
      <c r="BF567" s="1837"/>
      <c r="BG567" s="1837"/>
      <c r="BI567" s="1365"/>
      <c r="BJ567" s="1365"/>
      <c r="BK567" s="1365"/>
      <c r="BL567" s="1365"/>
      <c r="BM567" s="1365"/>
      <c r="BN567" s="1365"/>
      <c r="BO567" s="1365"/>
      <c r="BP567" s="1365"/>
      <c r="BQ567" s="1365"/>
      <c r="BR567" s="1365"/>
      <c r="BS567" s="1365"/>
    </row>
    <row r="568" spans="6:71">
      <c r="F568" s="622">
        <v>422</v>
      </c>
      <c r="G568" s="625" t="s">
        <v>86</v>
      </c>
      <c r="L568" s="626">
        <v>602.1</v>
      </c>
      <c r="M568" s="626" t="s">
        <v>52</v>
      </c>
      <c r="V568" s="622">
        <v>221.01</v>
      </c>
      <c r="W568" s="625" t="s">
        <v>97</v>
      </c>
      <c r="AB568" s="626">
        <v>67.09</v>
      </c>
      <c r="AC568" s="626" t="s">
        <v>78</v>
      </c>
      <c r="AJ568" s="622">
        <v>138.01</v>
      </c>
      <c r="AK568" s="625" t="s">
        <v>78</v>
      </c>
      <c r="AP568" s="1837"/>
      <c r="AQ568" s="1837"/>
      <c r="AZ568" s="622">
        <v>146.09</v>
      </c>
      <c r="BA568" s="625" t="s">
        <v>85</v>
      </c>
      <c r="BF568" s="1837"/>
      <c r="BG568" s="1837"/>
      <c r="BI568" s="1365"/>
      <c r="BJ568" s="1365"/>
      <c r="BK568" s="1365"/>
      <c r="BL568" s="1365"/>
      <c r="BM568" s="1365"/>
      <c r="BN568" s="1365"/>
      <c r="BO568" s="1365"/>
      <c r="BP568" s="1365"/>
      <c r="BQ568" s="1365"/>
      <c r="BR568" s="1365"/>
      <c r="BS568" s="1365"/>
    </row>
    <row r="569" spans="6:71">
      <c r="F569" s="622">
        <v>423</v>
      </c>
      <c r="G569" s="625" t="s">
        <v>86</v>
      </c>
      <c r="L569" s="626">
        <v>602.14</v>
      </c>
      <c r="M569" s="626" t="s">
        <v>52</v>
      </c>
      <c r="V569" s="622">
        <v>226</v>
      </c>
      <c r="W569" s="622" t="s">
        <v>83</v>
      </c>
      <c r="AB569" s="626">
        <v>67.11</v>
      </c>
      <c r="AC569" s="626" t="s">
        <v>78</v>
      </c>
      <c r="AJ569" s="622">
        <v>138.02000000000001</v>
      </c>
      <c r="AK569" s="625" t="s">
        <v>78</v>
      </c>
      <c r="AP569" s="1837"/>
      <c r="AQ569" s="1837"/>
      <c r="AZ569" s="622">
        <v>147.01</v>
      </c>
      <c r="BA569" s="625" t="s">
        <v>85</v>
      </c>
      <c r="BF569" s="1837"/>
      <c r="BG569" s="1837"/>
      <c r="BI569" s="1365"/>
      <c r="BJ569" s="1365"/>
      <c r="BK569" s="1365"/>
      <c r="BL569" s="1365"/>
      <c r="BM569" s="1365"/>
      <c r="BN569" s="1365"/>
      <c r="BO569" s="1365"/>
      <c r="BP569" s="1365"/>
      <c r="BQ569" s="1365"/>
      <c r="BR569" s="1365"/>
      <c r="BS569" s="1365"/>
    </row>
    <row r="570" spans="6:71">
      <c r="F570" s="622">
        <v>427.01</v>
      </c>
      <c r="G570" s="625" t="s">
        <v>86</v>
      </c>
      <c r="L570" s="626">
        <v>603.01</v>
      </c>
      <c r="M570" s="626" t="s">
        <v>52</v>
      </c>
      <c r="V570" s="622">
        <v>228</v>
      </c>
      <c r="W570" s="622" t="s">
        <v>83</v>
      </c>
      <c r="AB570" s="626">
        <v>67.13</v>
      </c>
      <c r="AC570" s="626" t="s">
        <v>78</v>
      </c>
      <c r="AJ570" s="622">
        <v>146.01</v>
      </c>
      <c r="AK570" s="625" t="s">
        <v>78</v>
      </c>
      <c r="AP570" s="1837"/>
      <c r="AQ570" s="1837"/>
      <c r="AZ570" s="622">
        <v>148</v>
      </c>
      <c r="BA570" s="622" t="s">
        <v>49</v>
      </c>
      <c r="BF570" s="1837"/>
      <c r="BG570" s="1837"/>
      <c r="BI570" s="1365"/>
      <c r="BJ570" s="1365"/>
      <c r="BK570" s="1365"/>
      <c r="BL570" s="1365"/>
      <c r="BM570" s="1365"/>
      <c r="BN570" s="1365"/>
      <c r="BO570" s="1365"/>
      <c r="BP570" s="1365"/>
      <c r="BQ570" s="1365"/>
      <c r="BR570" s="1365"/>
      <c r="BS570" s="1365"/>
    </row>
    <row r="571" spans="6:71">
      <c r="F571" s="622">
        <v>427.02</v>
      </c>
      <c r="G571" s="625" t="s">
        <v>86</v>
      </c>
      <c r="L571" s="626">
        <v>603.02</v>
      </c>
      <c r="M571" s="626" t="s">
        <v>52</v>
      </c>
      <c r="V571" s="622">
        <v>245.1</v>
      </c>
      <c r="W571" s="625" t="s">
        <v>89</v>
      </c>
      <c r="AB571" s="626">
        <v>67.14</v>
      </c>
      <c r="AC571" s="626" t="s">
        <v>78</v>
      </c>
      <c r="AJ571" s="622">
        <v>148</v>
      </c>
      <c r="AK571" s="625" t="s">
        <v>78</v>
      </c>
      <c r="AP571" s="1837"/>
      <c r="AQ571" s="1837"/>
      <c r="AZ571" s="622">
        <v>148</v>
      </c>
      <c r="BA571" s="625" t="s">
        <v>78</v>
      </c>
      <c r="BF571" s="1837"/>
      <c r="BG571" s="1837"/>
      <c r="BI571" s="1365"/>
      <c r="BJ571" s="1365"/>
      <c r="BK571" s="1365"/>
      <c r="BL571" s="1365"/>
      <c r="BM571" s="1365"/>
      <c r="BN571" s="1365"/>
      <c r="BO571" s="1365"/>
      <c r="BP571" s="1365"/>
      <c r="BQ571" s="1365"/>
      <c r="BR571" s="1365"/>
      <c r="BS571" s="1365"/>
    </row>
    <row r="572" spans="6:71">
      <c r="F572" s="622">
        <v>434</v>
      </c>
      <c r="G572" s="625" t="s">
        <v>86</v>
      </c>
      <c r="L572" s="626">
        <v>603.03</v>
      </c>
      <c r="M572" s="626" t="s">
        <v>52</v>
      </c>
      <c r="V572" s="622">
        <v>245.14</v>
      </c>
      <c r="W572" s="625" t="s">
        <v>89</v>
      </c>
      <c r="AB572" s="626">
        <v>68.010000000000005</v>
      </c>
      <c r="AC572" s="626" t="s">
        <v>63</v>
      </c>
      <c r="AJ572" s="622">
        <v>175</v>
      </c>
      <c r="AK572" s="625" t="s">
        <v>78</v>
      </c>
      <c r="AP572" s="1837"/>
      <c r="AQ572" s="1837"/>
      <c r="AZ572" s="622">
        <v>148.12</v>
      </c>
      <c r="BA572" s="625" t="s">
        <v>85</v>
      </c>
      <c r="BF572" s="1837"/>
      <c r="BG572" s="1837"/>
      <c r="BI572" s="1365"/>
      <c r="BJ572" s="1365"/>
      <c r="BK572" s="1365"/>
      <c r="BL572" s="1365"/>
      <c r="BM572" s="1365"/>
      <c r="BN572" s="1365"/>
      <c r="BO572" s="1365"/>
      <c r="BP572" s="1365"/>
      <c r="BQ572" s="1365"/>
      <c r="BR572" s="1365"/>
      <c r="BS572" s="1365"/>
    </row>
    <row r="573" spans="6:71">
      <c r="F573" s="622">
        <v>13.01</v>
      </c>
      <c r="G573" s="625" t="s">
        <v>87</v>
      </c>
      <c r="L573" s="626">
        <v>603.04</v>
      </c>
      <c r="M573" s="626" t="s">
        <v>52</v>
      </c>
      <c r="V573" s="622">
        <v>246.02</v>
      </c>
      <c r="W573" s="625" t="s">
        <v>89</v>
      </c>
      <c r="AB573" s="626">
        <v>68.010000000000005</v>
      </c>
      <c r="AC573" s="626" t="s">
        <v>78</v>
      </c>
      <c r="AJ573" s="622">
        <v>9807</v>
      </c>
      <c r="AK573" s="625" t="s">
        <v>78</v>
      </c>
      <c r="AP573" s="1837"/>
      <c r="AQ573" s="1837"/>
      <c r="AZ573" s="622">
        <v>149.03</v>
      </c>
      <c r="BA573" s="622" t="s">
        <v>91</v>
      </c>
      <c r="BF573" s="1837"/>
      <c r="BG573" s="1837"/>
      <c r="BI573" s="1365"/>
      <c r="BJ573" s="1365"/>
      <c r="BK573" s="1365"/>
      <c r="BL573" s="1365"/>
      <c r="BM573" s="1365"/>
      <c r="BN573" s="1365"/>
      <c r="BO573" s="1365"/>
      <c r="BP573" s="1365"/>
      <c r="BQ573" s="1365"/>
      <c r="BR573" s="1365"/>
      <c r="BS573" s="1365"/>
    </row>
    <row r="574" spans="6:71">
      <c r="F574" s="622">
        <v>13.02</v>
      </c>
      <c r="G574" s="625" t="s">
        <v>87</v>
      </c>
      <c r="L574" s="626">
        <v>9702</v>
      </c>
      <c r="M574" s="626" t="s">
        <v>53</v>
      </c>
      <c r="V574" s="622">
        <v>247.01</v>
      </c>
      <c r="W574" s="625" t="s">
        <v>89</v>
      </c>
      <c r="AB574" s="626">
        <v>68.02</v>
      </c>
      <c r="AC574" s="626" t="s">
        <v>63</v>
      </c>
      <c r="AJ574" s="622">
        <v>226</v>
      </c>
      <c r="AK574" s="625" t="s">
        <v>83</v>
      </c>
      <c r="AP574" s="1837"/>
      <c r="AQ574" s="1837"/>
      <c r="AZ574" s="622">
        <v>149.04</v>
      </c>
      <c r="BA574" s="625" t="s">
        <v>85</v>
      </c>
      <c r="BF574" s="1837"/>
      <c r="BG574" s="1837"/>
      <c r="BI574" s="1365"/>
      <c r="BJ574" s="1365"/>
      <c r="BK574" s="1365"/>
      <c r="BL574" s="1365"/>
      <c r="BM574" s="1365"/>
      <c r="BN574" s="1365"/>
      <c r="BO574" s="1365"/>
      <c r="BP574" s="1365"/>
      <c r="BQ574" s="1365"/>
      <c r="BR574" s="1365"/>
      <c r="BS574" s="1365"/>
    </row>
    <row r="575" spans="6:71">
      <c r="F575" s="622">
        <v>14.02</v>
      </c>
      <c r="G575" s="625" t="s">
        <v>87</v>
      </c>
      <c r="L575" s="626">
        <v>9703.0400000000009</v>
      </c>
      <c r="M575" s="626" t="s">
        <v>53</v>
      </c>
      <c r="V575" s="622">
        <v>247.02</v>
      </c>
      <c r="W575" s="625" t="s">
        <v>89</v>
      </c>
      <c r="AB575" s="626">
        <v>68.02</v>
      </c>
      <c r="AC575" s="626" t="s">
        <v>78</v>
      </c>
      <c r="AJ575" s="622">
        <v>228</v>
      </c>
      <c r="AK575" s="625" t="s">
        <v>83</v>
      </c>
      <c r="AP575" s="1837"/>
      <c r="AQ575" s="1837"/>
      <c r="AZ575" s="622">
        <v>149.04</v>
      </c>
      <c r="BA575" s="622" t="s">
        <v>91</v>
      </c>
      <c r="BF575" s="1837"/>
      <c r="BG575" s="1837"/>
      <c r="BI575" s="1365"/>
      <c r="BJ575" s="1365"/>
      <c r="BK575" s="1365"/>
      <c r="BL575" s="1365"/>
      <c r="BM575" s="1365"/>
      <c r="BN575" s="1365"/>
      <c r="BO575" s="1365"/>
      <c r="BP575" s="1365"/>
      <c r="BQ575" s="1365"/>
      <c r="BR575" s="1365"/>
      <c r="BS575" s="1365"/>
    </row>
    <row r="576" spans="6:71">
      <c r="F576" s="622">
        <v>14.03</v>
      </c>
      <c r="G576" s="625" t="s">
        <v>87</v>
      </c>
      <c r="L576" s="626">
        <v>201.01</v>
      </c>
      <c r="M576" s="626" t="s">
        <v>54</v>
      </c>
      <c r="V576" s="622">
        <v>248.04</v>
      </c>
      <c r="W576" s="625" t="s">
        <v>89</v>
      </c>
      <c r="AB576" s="626">
        <v>69</v>
      </c>
      <c r="AC576" s="626" t="s">
        <v>63</v>
      </c>
      <c r="AJ576" s="622">
        <v>104</v>
      </c>
      <c r="AK576" s="625" t="s">
        <v>85</v>
      </c>
      <c r="AP576" s="1837"/>
      <c r="AQ576" s="1837"/>
      <c r="AZ576" s="622">
        <v>150.01</v>
      </c>
      <c r="BA576" s="625" t="s">
        <v>85</v>
      </c>
      <c r="BF576" s="1837"/>
      <c r="BG576" s="1837"/>
      <c r="BI576" s="1365"/>
      <c r="BJ576" s="1365"/>
      <c r="BK576" s="1365"/>
      <c r="BL576" s="1365"/>
      <c r="BM576" s="1365"/>
      <c r="BN576" s="1365"/>
      <c r="BO576" s="1365"/>
      <c r="BP576" s="1365"/>
      <c r="BQ576" s="1365"/>
      <c r="BR576" s="1365"/>
      <c r="BS576" s="1365"/>
    </row>
    <row r="577" spans="6:71">
      <c r="F577" s="622">
        <v>14.04</v>
      </c>
      <c r="G577" s="625" t="s">
        <v>87</v>
      </c>
      <c r="L577" s="626">
        <v>201.02</v>
      </c>
      <c r="M577" s="626" t="s">
        <v>54</v>
      </c>
      <c r="V577" s="622">
        <v>250.17</v>
      </c>
      <c r="W577" s="625" t="s">
        <v>89</v>
      </c>
      <c r="AB577" s="626">
        <v>69</v>
      </c>
      <c r="AC577" s="626" t="s">
        <v>78</v>
      </c>
      <c r="AJ577" s="622">
        <v>105</v>
      </c>
      <c r="AK577" s="625" t="s">
        <v>85</v>
      </c>
      <c r="AP577" s="1837"/>
      <c r="AQ577" s="1837"/>
      <c r="AZ577" s="622">
        <v>152</v>
      </c>
      <c r="BA577" s="622" t="s">
        <v>91</v>
      </c>
      <c r="BF577" s="1837"/>
      <c r="BG577" s="1837"/>
      <c r="BI577" s="1365"/>
      <c r="BJ577" s="1365"/>
      <c r="BK577" s="1365"/>
      <c r="BL577" s="1365"/>
      <c r="BM577" s="1365"/>
      <c r="BN577" s="1365"/>
      <c r="BO577" s="1365"/>
      <c r="BP577" s="1365"/>
      <c r="BQ577" s="1365"/>
      <c r="BR577" s="1365"/>
      <c r="BS577" s="1365"/>
    </row>
    <row r="578" spans="6:71">
      <c r="F578" s="622">
        <v>16</v>
      </c>
      <c r="G578" s="625" t="s">
        <v>87</v>
      </c>
      <c r="L578" s="626">
        <v>203</v>
      </c>
      <c r="M578" s="626" t="s">
        <v>54</v>
      </c>
      <c r="V578" s="622">
        <v>251.15</v>
      </c>
      <c r="W578" s="625" t="s">
        <v>89</v>
      </c>
      <c r="AB578" s="626">
        <v>69.06</v>
      </c>
      <c r="AC578" s="626" t="s">
        <v>87</v>
      </c>
      <c r="AJ578" s="622">
        <v>110</v>
      </c>
      <c r="AK578" s="625" t="s">
        <v>85</v>
      </c>
      <c r="AP578" s="1837"/>
      <c r="AQ578" s="1837"/>
      <c r="AZ578" s="622">
        <v>154</v>
      </c>
      <c r="BA578" s="625" t="s">
        <v>49</v>
      </c>
      <c r="BF578" s="1837"/>
      <c r="BG578" s="1837"/>
      <c r="BI578" s="1365"/>
      <c r="BJ578" s="1365"/>
      <c r="BK578" s="1365"/>
      <c r="BL578" s="1365"/>
      <c r="BM578" s="1365"/>
      <c r="BN578" s="1365"/>
      <c r="BO578" s="1365"/>
      <c r="BP578" s="1365"/>
      <c r="BQ578" s="1365"/>
      <c r="BR578" s="1365"/>
      <c r="BS578" s="1365"/>
    </row>
    <row r="579" spans="6:71">
      <c r="F579" s="622">
        <v>19.09</v>
      </c>
      <c r="G579" s="625" t="s">
        <v>87</v>
      </c>
      <c r="L579" s="626">
        <v>205</v>
      </c>
      <c r="M579" s="626" t="s">
        <v>54</v>
      </c>
      <c r="V579" s="622">
        <v>253.05</v>
      </c>
      <c r="W579" s="625" t="s">
        <v>89</v>
      </c>
      <c r="AB579" s="626">
        <v>69.11</v>
      </c>
      <c r="AC579" s="626" t="s">
        <v>87</v>
      </c>
      <c r="AJ579" s="622">
        <v>116</v>
      </c>
      <c r="AK579" s="625" t="s">
        <v>85</v>
      </c>
      <c r="AP579" s="1837"/>
      <c r="AQ579" s="1837"/>
      <c r="AZ579" s="622">
        <v>154.05000000000001</v>
      </c>
      <c r="BA579" s="622" t="s">
        <v>91</v>
      </c>
      <c r="BF579" s="1837"/>
      <c r="BG579" s="1837"/>
      <c r="BI579" s="1365"/>
      <c r="BJ579" s="1365"/>
      <c r="BK579" s="1365"/>
      <c r="BL579" s="1365"/>
      <c r="BM579" s="1365"/>
      <c r="BN579" s="1365"/>
      <c r="BO579" s="1365"/>
      <c r="BP579" s="1365"/>
      <c r="BQ579" s="1365"/>
      <c r="BR579" s="1365"/>
      <c r="BS579" s="1365"/>
    </row>
    <row r="580" spans="6:71">
      <c r="F580" s="622">
        <v>19.100000000000001</v>
      </c>
      <c r="G580" s="625" t="s">
        <v>87</v>
      </c>
      <c r="L580" s="626">
        <v>206</v>
      </c>
      <c r="M580" s="626" t="s">
        <v>54</v>
      </c>
      <c r="V580" s="622">
        <v>255.05</v>
      </c>
      <c r="W580" s="625" t="s">
        <v>89</v>
      </c>
      <c r="AB580" s="626">
        <v>69.12</v>
      </c>
      <c r="AC580" s="626" t="s">
        <v>87</v>
      </c>
      <c r="AJ580" s="622">
        <v>117.02</v>
      </c>
      <c r="AK580" s="625" t="s">
        <v>85</v>
      </c>
      <c r="AP580" s="1837"/>
      <c r="AQ580" s="1837"/>
      <c r="AZ580" s="622">
        <v>155</v>
      </c>
      <c r="BA580" s="622" t="s">
        <v>91</v>
      </c>
      <c r="BF580" s="1837"/>
      <c r="BG580" s="1837"/>
      <c r="BI580" s="1365"/>
      <c r="BJ580" s="1365"/>
      <c r="BK580" s="1365"/>
      <c r="BL580" s="1365"/>
      <c r="BM580" s="1365"/>
      <c r="BN580" s="1365"/>
      <c r="BO580" s="1365"/>
      <c r="BP580" s="1365"/>
      <c r="BQ580" s="1365"/>
      <c r="BR580" s="1365"/>
      <c r="BS580" s="1365"/>
    </row>
    <row r="581" spans="6:71">
      <c r="F581" s="622">
        <v>19.11</v>
      </c>
      <c r="G581" s="625" t="s">
        <v>87</v>
      </c>
      <c r="L581" s="626">
        <v>9502.01</v>
      </c>
      <c r="M581" s="626" t="s">
        <v>55</v>
      </c>
      <c r="V581" s="622">
        <v>256.02</v>
      </c>
      <c r="W581" s="625" t="s">
        <v>89</v>
      </c>
      <c r="AB581" s="626">
        <v>70.010000000000005</v>
      </c>
      <c r="AC581" s="626" t="s">
        <v>78</v>
      </c>
      <c r="AJ581" s="622">
        <v>120</v>
      </c>
      <c r="AK581" s="625" t="s">
        <v>85</v>
      </c>
      <c r="AP581" s="1837"/>
      <c r="AQ581" s="1837"/>
      <c r="AZ581" s="622">
        <v>155.02000000000001</v>
      </c>
      <c r="BA581" s="625" t="s">
        <v>49</v>
      </c>
      <c r="BF581" s="1837"/>
      <c r="BG581" s="1837"/>
      <c r="BI581" s="1365"/>
      <c r="BJ581" s="1365"/>
      <c r="BK581" s="1365"/>
      <c r="BL581" s="1365"/>
      <c r="BM581" s="1365"/>
      <c r="BN581" s="1365"/>
      <c r="BO581" s="1365"/>
      <c r="BP581" s="1365"/>
      <c r="BQ581" s="1365"/>
      <c r="BR581" s="1365"/>
      <c r="BS581" s="1365"/>
    </row>
    <row r="582" spans="6:71">
      <c r="F582" s="622">
        <v>21</v>
      </c>
      <c r="G582" s="625" t="s">
        <v>87</v>
      </c>
      <c r="L582" s="626">
        <v>9502.02</v>
      </c>
      <c r="M582" s="626" t="s">
        <v>55</v>
      </c>
      <c r="V582" s="622">
        <v>258</v>
      </c>
      <c r="W582" s="625" t="s">
        <v>89</v>
      </c>
      <c r="AB582" s="626">
        <v>70.02</v>
      </c>
      <c r="AC582" s="626" t="s">
        <v>87</v>
      </c>
      <c r="AJ582" s="622">
        <v>121</v>
      </c>
      <c r="AK582" s="625" t="s">
        <v>85</v>
      </c>
      <c r="AP582" s="1837"/>
      <c r="AQ582" s="1837"/>
      <c r="AZ582" s="622">
        <v>158.02000000000001</v>
      </c>
      <c r="BA582" s="622" t="s">
        <v>91</v>
      </c>
      <c r="BF582" s="1837"/>
      <c r="BG582" s="1837"/>
      <c r="BI582" s="1365"/>
      <c r="BJ582" s="1365"/>
      <c r="BK582" s="1365"/>
      <c r="BL582" s="1365"/>
      <c r="BM582" s="1365"/>
      <c r="BN582" s="1365"/>
      <c r="BO582" s="1365"/>
      <c r="BP582" s="1365"/>
      <c r="BQ582" s="1365"/>
      <c r="BR582" s="1365"/>
      <c r="BS582" s="1365"/>
    </row>
    <row r="583" spans="6:71">
      <c r="F583" s="622">
        <v>22</v>
      </c>
      <c r="G583" s="625" t="s">
        <v>87</v>
      </c>
      <c r="L583" s="626">
        <v>9502.0300000000007</v>
      </c>
      <c r="M583" s="626" t="s">
        <v>55</v>
      </c>
      <c r="V583" s="622">
        <v>259</v>
      </c>
      <c r="W583" s="625" t="s">
        <v>89</v>
      </c>
      <c r="AB583" s="626">
        <v>70.05</v>
      </c>
      <c r="AC583" s="626" t="s">
        <v>87</v>
      </c>
      <c r="AJ583" s="622">
        <v>122.01</v>
      </c>
      <c r="AK583" s="625" t="s">
        <v>85</v>
      </c>
      <c r="AP583" s="1837"/>
      <c r="AQ583" s="1837"/>
      <c r="AZ583" s="622">
        <v>160.01</v>
      </c>
      <c r="BA583" s="625" t="s">
        <v>49</v>
      </c>
      <c r="BF583" s="1837"/>
      <c r="BG583" s="1837"/>
      <c r="BI583" s="1365"/>
      <c r="BJ583" s="1365"/>
      <c r="BK583" s="1365"/>
      <c r="BL583" s="1365"/>
      <c r="BM583" s="1365"/>
      <c r="BN583" s="1365"/>
      <c r="BO583" s="1365"/>
      <c r="BP583" s="1365"/>
      <c r="BQ583" s="1365"/>
      <c r="BR583" s="1365"/>
      <c r="BS583" s="1365"/>
    </row>
    <row r="584" spans="6:71">
      <c r="F584" s="622">
        <v>24</v>
      </c>
      <c r="G584" s="625" t="s">
        <v>87</v>
      </c>
      <c r="L584" s="626">
        <v>9502.0400000000009</v>
      </c>
      <c r="M584" s="626" t="s">
        <v>55</v>
      </c>
      <c r="V584" s="622">
        <v>262</v>
      </c>
      <c r="W584" s="625" t="s">
        <v>89</v>
      </c>
      <c r="AB584" s="626">
        <v>70.06</v>
      </c>
      <c r="AC584" s="626" t="s">
        <v>87</v>
      </c>
      <c r="AJ584" s="622">
        <v>122.02</v>
      </c>
      <c r="AK584" s="625" t="s">
        <v>85</v>
      </c>
      <c r="AP584" s="1837"/>
      <c r="AQ584" s="1837"/>
      <c r="AZ584" s="622">
        <v>160.02000000000001</v>
      </c>
      <c r="BA584" s="625" t="s">
        <v>49</v>
      </c>
      <c r="BF584" s="1837"/>
      <c r="BG584" s="1837"/>
      <c r="BI584" s="1365"/>
      <c r="BJ584" s="1365"/>
      <c r="BK584" s="1365"/>
      <c r="BL584" s="1365"/>
      <c r="BM584" s="1365"/>
      <c r="BN584" s="1365"/>
      <c r="BO584" s="1365"/>
      <c r="BP584" s="1365"/>
      <c r="BQ584" s="1365"/>
      <c r="BR584" s="1365"/>
      <c r="BS584" s="1365"/>
    </row>
    <row r="585" spans="6:71">
      <c r="F585" s="622">
        <v>29</v>
      </c>
      <c r="G585" s="625" t="s">
        <v>87</v>
      </c>
      <c r="L585" s="626">
        <v>1</v>
      </c>
      <c r="M585" s="626" t="s">
        <v>56</v>
      </c>
      <c r="V585" s="622">
        <v>263</v>
      </c>
      <c r="W585" s="625" t="s">
        <v>89</v>
      </c>
      <c r="AB585" s="626">
        <v>70.069999999999993</v>
      </c>
      <c r="AC585" s="626" t="s">
        <v>87</v>
      </c>
      <c r="AJ585" s="622">
        <v>123.07</v>
      </c>
      <c r="AK585" s="625" t="s">
        <v>85</v>
      </c>
      <c r="AP585" s="1837"/>
      <c r="AQ585" s="1837"/>
      <c r="AZ585" s="622">
        <v>163</v>
      </c>
      <c r="BA585" s="625" t="s">
        <v>49</v>
      </c>
      <c r="BF585" s="1837"/>
      <c r="BG585" s="1837"/>
      <c r="BI585" s="1365"/>
      <c r="BJ585" s="1365"/>
      <c r="BK585" s="1365"/>
      <c r="BL585" s="1365"/>
      <c r="BM585" s="1365"/>
      <c r="BN585" s="1365"/>
      <c r="BO585" s="1365"/>
      <c r="BP585" s="1365"/>
      <c r="BQ585" s="1365"/>
      <c r="BR585" s="1365"/>
      <c r="BS585" s="1365"/>
    </row>
    <row r="586" spans="6:71">
      <c r="F586" s="622">
        <v>30</v>
      </c>
      <c r="G586" s="625" t="s">
        <v>87</v>
      </c>
      <c r="L586" s="626">
        <v>9602</v>
      </c>
      <c r="M586" s="626" t="s">
        <v>57</v>
      </c>
      <c r="V586" s="622">
        <v>269.08999999999997</v>
      </c>
      <c r="W586" s="625" t="s">
        <v>89</v>
      </c>
      <c r="AB586" s="626">
        <v>70.08</v>
      </c>
      <c r="AC586" s="626" t="s">
        <v>87</v>
      </c>
      <c r="AJ586" s="622">
        <v>124.02</v>
      </c>
      <c r="AK586" s="625" t="s">
        <v>85</v>
      </c>
      <c r="AP586" s="1837"/>
      <c r="AQ586" s="1837"/>
      <c r="AZ586" s="622">
        <v>163.02000000000001</v>
      </c>
      <c r="BA586" s="625" t="s">
        <v>85</v>
      </c>
      <c r="BF586" s="1837"/>
      <c r="BG586" s="1837"/>
      <c r="BI586" s="1365"/>
      <c r="BJ586" s="1365"/>
      <c r="BK586" s="1365"/>
      <c r="BL586" s="1365"/>
      <c r="BM586" s="1365"/>
      <c r="BN586" s="1365"/>
      <c r="BO586" s="1365"/>
      <c r="BP586" s="1365"/>
      <c r="BQ586" s="1365"/>
      <c r="BR586" s="1365"/>
      <c r="BS586" s="1365"/>
    </row>
    <row r="587" spans="6:71">
      <c r="F587" s="622">
        <v>31.02</v>
      </c>
      <c r="G587" s="625" t="s">
        <v>87</v>
      </c>
      <c r="L587" s="626">
        <v>9603</v>
      </c>
      <c r="M587" s="626" t="s">
        <v>57</v>
      </c>
      <c r="V587" s="622">
        <v>271.01</v>
      </c>
      <c r="W587" s="625" t="s">
        <v>89</v>
      </c>
      <c r="AB587" s="626">
        <v>70.09</v>
      </c>
      <c r="AC587" s="626" t="s">
        <v>87</v>
      </c>
      <c r="AJ587" s="622">
        <v>124.03</v>
      </c>
      <c r="AK587" s="625" t="s">
        <v>85</v>
      </c>
      <c r="AP587" s="1837"/>
      <c r="AQ587" s="1837"/>
      <c r="AZ587" s="622">
        <v>164</v>
      </c>
      <c r="BA587" s="622" t="s">
        <v>91</v>
      </c>
      <c r="BF587" s="1837"/>
      <c r="BG587" s="1837"/>
      <c r="BI587" s="1365"/>
      <c r="BJ587" s="1365"/>
      <c r="BK587" s="1365"/>
      <c r="BL587" s="1365"/>
      <c r="BM587" s="1365"/>
      <c r="BN587" s="1365"/>
      <c r="BO587" s="1365"/>
      <c r="BP587" s="1365"/>
      <c r="BQ587" s="1365"/>
      <c r="BR587" s="1365"/>
      <c r="BS587" s="1365"/>
    </row>
    <row r="588" spans="6:71">
      <c r="F588" s="622">
        <v>37</v>
      </c>
      <c r="G588" s="625" t="s">
        <v>87</v>
      </c>
      <c r="L588" s="626">
        <v>9701.01</v>
      </c>
      <c r="M588" s="626" t="s">
        <v>59</v>
      </c>
      <c r="V588" s="622">
        <v>274.02</v>
      </c>
      <c r="W588" s="625" t="s">
        <v>89</v>
      </c>
      <c r="AB588" s="626">
        <v>70.099999999999994</v>
      </c>
      <c r="AC588" s="626" t="s">
        <v>87</v>
      </c>
      <c r="AJ588" s="622">
        <v>134.03</v>
      </c>
      <c r="AK588" s="625" t="s">
        <v>85</v>
      </c>
      <c r="AP588" s="1837"/>
      <c r="AQ588" s="1837"/>
      <c r="AZ588" s="622">
        <v>164.07</v>
      </c>
      <c r="BA588" s="625" t="s">
        <v>85</v>
      </c>
      <c r="BF588" s="1837"/>
      <c r="BG588" s="1837"/>
      <c r="BI588" s="1365"/>
      <c r="BJ588" s="1365"/>
      <c r="BK588" s="1365"/>
      <c r="BL588" s="1365"/>
      <c r="BM588" s="1365"/>
      <c r="BN588" s="1365"/>
      <c r="BO588" s="1365"/>
      <c r="BP588" s="1365"/>
      <c r="BQ588" s="1365"/>
      <c r="BR588" s="1365"/>
      <c r="BS588" s="1365"/>
    </row>
    <row r="589" spans="6:71">
      <c r="F589" s="622">
        <v>40.07</v>
      </c>
      <c r="G589" s="625" t="s">
        <v>87</v>
      </c>
      <c r="L589" s="626">
        <v>9701.02</v>
      </c>
      <c r="M589" s="626" t="s">
        <v>59</v>
      </c>
      <c r="V589" s="622">
        <v>287</v>
      </c>
      <c r="W589" s="625" t="s">
        <v>89</v>
      </c>
      <c r="AB589" s="626">
        <v>70.11</v>
      </c>
      <c r="AC589" s="626" t="s">
        <v>87</v>
      </c>
      <c r="AJ589" s="622">
        <v>134.05000000000001</v>
      </c>
      <c r="AK589" s="625" t="s">
        <v>85</v>
      </c>
      <c r="AP589" s="1837"/>
      <c r="AQ589" s="1837"/>
      <c r="AZ589" s="622">
        <v>165.03</v>
      </c>
      <c r="BA589" s="625" t="s">
        <v>85</v>
      </c>
      <c r="BF589" s="1837"/>
      <c r="BG589" s="1837"/>
      <c r="BI589" s="1365"/>
      <c r="BJ589" s="1365"/>
      <c r="BK589" s="1365"/>
      <c r="BL589" s="1365"/>
      <c r="BM589" s="1365"/>
      <c r="BN589" s="1365"/>
      <c r="BO589" s="1365"/>
      <c r="BP589" s="1365"/>
      <c r="BQ589" s="1365"/>
      <c r="BR589" s="1365"/>
      <c r="BS589" s="1365"/>
    </row>
    <row r="590" spans="6:71">
      <c r="F590" s="622">
        <v>40.090000000000003</v>
      </c>
      <c r="G590" s="625" t="s">
        <v>87</v>
      </c>
      <c r="L590" s="626">
        <v>9702.02</v>
      </c>
      <c r="M590" s="626" t="s">
        <v>59</v>
      </c>
      <c r="V590" s="622">
        <v>301.02</v>
      </c>
      <c r="W590" s="625" t="s">
        <v>69</v>
      </c>
      <c r="AB590" s="626">
        <v>71.010000000000005</v>
      </c>
      <c r="AC590" s="626" t="s">
        <v>78</v>
      </c>
      <c r="AJ590" s="622">
        <v>135.03</v>
      </c>
      <c r="AK590" s="625" t="s">
        <v>85</v>
      </c>
      <c r="AP590" s="1837"/>
      <c r="AQ590" s="1837"/>
      <c r="AZ590" s="622">
        <v>165.1</v>
      </c>
      <c r="BA590" s="625" t="s">
        <v>85</v>
      </c>
      <c r="BF590" s="1837"/>
      <c r="BG590" s="1837"/>
      <c r="BI590" s="1365"/>
      <c r="BJ590" s="1365"/>
      <c r="BK590" s="1365"/>
      <c r="BL590" s="1365"/>
      <c r="BM590" s="1365"/>
      <c r="BN590" s="1365"/>
      <c r="BO590" s="1365"/>
      <c r="BP590" s="1365"/>
      <c r="BQ590" s="1365"/>
      <c r="BR590" s="1365"/>
      <c r="BS590" s="1365"/>
    </row>
    <row r="591" spans="6:71">
      <c r="F591" s="622">
        <v>44.02</v>
      </c>
      <c r="G591" s="625" t="s">
        <v>87</v>
      </c>
      <c r="L591" s="626">
        <v>9703</v>
      </c>
      <c r="M591" s="626" t="s">
        <v>59</v>
      </c>
      <c r="V591" s="622">
        <v>301.02</v>
      </c>
      <c r="W591" s="625" t="s">
        <v>88</v>
      </c>
      <c r="AB591" s="626">
        <v>71.02</v>
      </c>
      <c r="AC591" s="626" t="s">
        <v>63</v>
      </c>
      <c r="AJ591" s="622">
        <v>135.11000000000001</v>
      </c>
      <c r="AK591" s="625" t="s">
        <v>85</v>
      </c>
      <c r="AP591" s="1837"/>
      <c r="AQ591" s="1837"/>
      <c r="AZ591" s="622">
        <v>165.11</v>
      </c>
      <c r="BA591" s="625" t="s">
        <v>85</v>
      </c>
      <c r="BF591" s="1837"/>
      <c r="BG591" s="1837"/>
      <c r="BI591" s="1365"/>
      <c r="BJ591" s="1365"/>
      <c r="BK591" s="1365"/>
      <c r="BL591" s="1365"/>
      <c r="BM591" s="1365"/>
      <c r="BN591" s="1365"/>
      <c r="BO591" s="1365"/>
      <c r="BP591" s="1365"/>
      <c r="BQ591" s="1365"/>
      <c r="BR591" s="1365"/>
      <c r="BS591" s="1365"/>
    </row>
    <row r="592" spans="6:71">
      <c r="F592" s="622">
        <v>45</v>
      </c>
      <c r="G592" s="625" t="s">
        <v>87</v>
      </c>
      <c r="L592" s="626">
        <v>1</v>
      </c>
      <c r="M592" s="626" t="s">
        <v>60</v>
      </c>
      <c r="V592" s="622">
        <v>301.06</v>
      </c>
      <c r="W592" s="625" t="s">
        <v>69</v>
      </c>
      <c r="AB592" s="626">
        <v>71.03</v>
      </c>
      <c r="AC592" s="626" t="s">
        <v>63</v>
      </c>
      <c r="AJ592" s="622">
        <v>135.12</v>
      </c>
      <c r="AK592" s="625" t="s">
        <v>85</v>
      </c>
      <c r="AP592" s="1837"/>
      <c r="AQ592" s="1837"/>
      <c r="AZ592" s="622">
        <v>165.12</v>
      </c>
      <c r="BA592" s="625" t="s">
        <v>85</v>
      </c>
      <c r="BF592" s="1837"/>
      <c r="BG592" s="1837"/>
      <c r="BI592" s="1365"/>
      <c r="BJ592" s="1365"/>
      <c r="BK592" s="1365"/>
      <c r="BL592" s="1365"/>
      <c r="BM592" s="1365"/>
      <c r="BN592" s="1365"/>
      <c r="BO592" s="1365"/>
      <c r="BP592" s="1365"/>
      <c r="BQ592" s="1365"/>
      <c r="BR592" s="1365"/>
      <c r="BS592" s="1365"/>
    </row>
    <row r="593" spans="6:71">
      <c r="F593" s="622">
        <v>46.02</v>
      </c>
      <c r="G593" s="625" t="s">
        <v>87</v>
      </c>
      <c r="L593" s="626">
        <v>4.01</v>
      </c>
      <c r="M593" s="626" t="s">
        <v>60</v>
      </c>
      <c r="V593" s="622">
        <v>302.02</v>
      </c>
      <c r="W593" s="622" t="s">
        <v>36</v>
      </c>
      <c r="AB593" s="626">
        <v>71.03</v>
      </c>
      <c r="AC593" s="626" t="s">
        <v>78</v>
      </c>
      <c r="AJ593" s="622">
        <v>136.05000000000001</v>
      </c>
      <c r="AK593" s="625" t="s">
        <v>85</v>
      </c>
      <c r="AP593" s="1837"/>
      <c r="AQ593" s="1837"/>
      <c r="AZ593" s="622">
        <v>165.13</v>
      </c>
      <c r="BA593" s="625" t="s">
        <v>85</v>
      </c>
      <c r="BF593" s="1837"/>
      <c r="BG593" s="1837"/>
      <c r="BI593" s="1365"/>
      <c r="BJ593" s="1365"/>
      <c r="BK593" s="1365"/>
      <c r="BL593" s="1365"/>
      <c r="BM593" s="1365"/>
      <c r="BN593" s="1365"/>
      <c r="BO593" s="1365"/>
      <c r="BP593" s="1365"/>
      <c r="BQ593" s="1365"/>
      <c r="BR593" s="1365"/>
      <c r="BS593" s="1365"/>
    </row>
    <row r="594" spans="6:71">
      <c r="F594" s="622">
        <v>47.04</v>
      </c>
      <c r="G594" s="625" t="s">
        <v>87</v>
      </c>
      <c r="L594" s="626">
        <v>4.0199999999999996</v>
      </c>
      <c r="M594" s="626" t="s">
        <v>60</v>
      </c>
      <c r="V594" s="622">
        <v>302.02999999999997</v>
      </c>
      <c r="W594" s="625" t="s">
        <v>88</v>
      </c>
      <c r="AB594" s="626">
        <v>71.040000000000006</v>
      </c>
      <c r="AC594" s="626" t="s">
        <v>78</v>
      </c>
      <c r="AJ594" s="622">
        <v>136.06</v>
      </c>
      <c r="AK594" s="625" t="s">
        <v>85</v>
      </c>
      <c r="AP594" s="1837"/>
      <c r="AQ594" s="1837"/>
      <c r="AZ594" s="622">
        <v>166.05</v>
      </c>
      <c r="BA594" s="625" t="s">
        <v>49</v>
      </c>
      <c r="BF594" s="1837"/>
      <c r="BG594" s="1837"/>
      <c r="BI594" s="1365"/>
      <c r="BJ594" s="1365"/>
      <c r="BK594" s="1365"/>
      <c r="BL594" s="1365"/>
      <c r="BM594" s="1365"/>
      <c r="BN594" s="1365"/>
      <c r="BO594" s="1365"/>
      <c r="BP594" s="1365"/>
      <c r="BQ594" s="1365"/>
      <c r="BR594" s="1365"/>
      <c r="BS594" s="1365"/>
    </row>
    <row r="595" spans="6:71">
      <c r="F595" s="622">
        <v>47.05</v>
      </c>
      <c r="G595" s="625" t="s">
        <v>87</v>
      </c>
      <c r="L595" s="626">
        <v>402.01</v>
      </c>
      <c r="M595" s="626" t="s">
        <v>61</v>
      </c>
      <c r="V595" s="622">
        <v>302.04000000000002</v>
      </c>
      <c r="W595" s="625" t="s">
        <v>88</v>
      </c>
      <c r="AB595" s="626">
        <v>72</v>
      </c>
      <c r="AC595" s="626" t="s">
        <v>63</v>
      </c>
      <c r="AJ595" s="622">
        <v>143.02000000000001</v>
      </c>
      <c r="AK595" s="625" t="s">
        <v>85</v>
      </c>
      <c r="AP595" s="1837"/>
      <c r="AQ595" s="1837"/>
      <c r="AZ595" s="622">
        <v>166.06</v>
      </c>
      <c r="BA595" s="622" t="s">
        <v>49</v>
      </c>
      <c r="BF595" s="1837"/>
      <c r="BG595" s="1837"/>
      <c r="BI595" s="1365"/>
      <c r="BJ595" s="1365"/>
      <c r="BK595" s="1365"/>
      <c r="BL595" s="1365"/>
      <c r="BM595" s="1365"/>
      <c r="BN595" s="1365"/>
      <c r="BO595" s="1365"/>
      <c r="BP595" s="1365"/>
      <c r="BQ595" s="1365"/>
      <c r="BR595" s="1365"/>
      <c r="BS595" s="1365"/>
    </row>
    <row r="596" spans="6:71">
      <c r="F596" s="622">
        <v>49.03</v>
      </c>
      <c r="G596" s="625" t="s">
        <v>87</v>
      </c>
      <c r="L596" s="626">
        <v>402.02</v>
      </c>
      <c r="M596" s="626" t="s">
        <v>61</v>
      </c>
      <c r="V596" s="622">
        <v>302.06</v>
      </c>
      <c r="W596" s="625" t="s">
        <v>69</v>
      </c>
      <c r="AB596" s="626">
        <v>72.010000000000005</v>
      </c>
      <c r="AC596" s="626" t="s">
        <v>87</v>
      </c>
      <c r="AJ596" s="622">
        <v>145.02000000000001</v>
      </c>
      <c r="AK596" s="625" t="s">
        <v>85</v>
      </c>
      <c r="AP596" s="1837"/>
      <c r="AQ596" s="1837"/>
      <c r="AZ596" s="622">
        <v>167.09</v>
      </c>
      <c r="BA596" s="625" t="s">
        <v>85</v>
      </c>
      <c r="BF596" s="1837"/>
      <c r="BG596" s="1837"/>
      <c r="BI596" s="1365"/>
      <c r="BJ596" s="1365"/>
      <c r="BK596" s="1365"/>
      <c r="BL596" s="1365"/>
      <c r="BM596" s="1365"/>
      <c r="BN596" s="1365"/>
      <c r="BO596" s="1365"/>
      <c r="BP596" s="1365"/>
      <c r="BQ596" s="1365"/>
      <c r="BR596" s="1365"/>
      <c r="BS596" s="1365"/>
    </row>
    <row r="597" spans="6:71">
      <c r="F597" s="622">
        <v>51.01</v>
      </c>
      <c r="G597" s="625" t="s">
        <v>87</v>
      </c>
      <c r="L597" s="626">
        <v>403.01</v>
      </c>
      <c r="M597" s="626" t="s">
        <v>61</v>
      </c>
      <c r="V597" s="622">
        <v>302.08999999999997</v>
      </c>
      <c r="W597" s="625" t="s">
        <v>69</v>
      </c>
      <c r="AB597" s="626">
        <v>72.02</v>
      </c>
      <c r="AC597" s="626" t="s">
        <v>87</v>
      </c>
      <c r="AJ597" s="622">
        <v>145.03</v>
      </c>
      <c r="AK597" s="625" t="s">
        <v>85</v>
      </c>
      <c r="AP597" s="1837"/>
      <c r="AQ597" s="1837"/>
      <c r="AZ597" s="622">
        <v>167.38</v>
      </c>
      <c r="BA597" s="622" t="s">
        <v>85</v>
      </c>
      <c r="BF597" s="1837"/>
      <c r="BG597" s="1837"/>
      <c r="BI597" s="1365"/>
      <c r="BJ597" s="1365"/>
      <c r="BK597" s="1365"/>
      <c r="BL597" s="1365"/>
      <c r="BM597" s="1365"/>
      <c r="BN597" s="1365"/>
      <c r="BO597" s="1365"/>
      <c r="BP597" s="1365"/>
      <c r="BQ597" s="1365"/>
      <c r="BR597" s="1365"/>
      <c r="BS597" s="1365"/>
    </row>
    <row r="598" spans="6:71">
      <c r="F598" s="622">
        <v>51.02</v>
      </c>
      <c r="G598" s="625" t="s">
        <v>87</v>
      </c>
      <c r="L598" s="626">
        <v>403.02</v>
      </c>
      <c r="M598" s="626" t="s">
        <v>61</v>
      </c>
      <c r="V598" s="622">
        <v>303.01</v>
      </c>
      <c r="W598" s="622" t="s">
        <v>36</v>
      </c>
      <c r="AB598" s="626">
        <v>72.03</v>
      </c>
      <c r="AC598" s="626" t="s">
        <v>87</v>
      </c>
      <c r="AJ598" s="622">
        <v>146.01</v>
      </c>
      <c r="AK598" s="625" t="s">
        <v>85</v>
      </c>
      <c r="AP598" s="1837"/>
      <c r="AQ598" s="1837"/>
      <c r="AZ598" s="622">
        <v>167.39</v>
      </c>
      <c r="BA598" s="625" t="s">
        <v>85</v>
      </c>
      <c r="BF598" s="1837"/>
      <c r="BG598" s="1837"/>
      <c r="BI598" s="1365"/>
      <c r="BJ598" s="1365"/>
      <c r="BK598" s="1365"/>
      <c r="BL598" s="1365"/>
      <c r="BM598" s="1365"/>
      <c r="BN598" s="1365"/>
      <c r="BO598" s="1365"/>
      <c r="BP598" s="1365"/>
      <c r="BQ598" s="1365"/>
      <c r="BR598" s="1365"/>
      <c r="BS598" s="1365"/>
    </row>
    <row r="599" spans="6:71">
      <c r="F599" s="622">
        <v>52.02</v>
      </c>
      <c r="G599" s="625" t="s">
        <v>87</v>
      </c>
      <c r="L599" s="626">
        <v>403.03</v>
      </c>
      <c r="M599" s="626" t="s">
        <v>61</v>
      </c>
      <c r="V599" s="622">
        <v>303.02</v>
      </c>
      <c r="W599" s="622" t="s">
        <v>36</v>
      </c>
      <c r="AB599" s="626">
        <v>73</v>
      </c>
      <c r="AC599" s="626" t="s">
        <v>78</v>
      </c>
      <c r="AJ599" s="622">
        <v>146.05000000000001</v>
      </c>
      <c r="AK599" s="625" t="s">
        <v>85</v>
      </c>
      <c r="AP599" s="1837"/>
      <c r="AQ599" s="1837"/>
      <c r="AZ599" s="622">
        <v>167.4</v>
      </c>
      <c r="BA599" s="625" t="s">
        <v>85</v>
      </c>
      <c r="BF599" s="1837"/>
      <c r="BG599" s="1837"/>
      <c r="BI599" s="1365"/>
      <c r="BJ599" s="1365"/>
      <c r="BK599" s="1365"/>
      <c r="BL599" s="1365"/>
      <c r="BM599" s="1365"/>
      <c r="BN599" s="1365"/>
      <c r="BO599" s="1365"/>
      <c r="BP599" s="1365"/>
      <c r="BQ599" s="1365"/>
      <c r="BR599" s="1365"/>
      <c r="BS599" s="1365"/>
    </row>
    <row r="600" spans="6:71">
      <c r="F600" s="622">
        <v>57.01</v>
      </c>
      <c r="G600" s="625" t="s">
        <v>87</v>
      </c>
      <c r="L600" s="626">
        <v>407.02</v>
      </c>
      <c r="M600" s="626" t="s">
        <v>61</v>
      </c>
      <c r="V600" s="622">
        <v>303.02</v>
      </c>
      <c r="W600" s="625" t="s">
        <v>88</v>
      </c>
      <c r="AB600" s="626">
        <v>73.010000000000005</v>
      </c>
      <c r="AC600" s="626" t="s">
        <v>87</v>
      </c>
      <c r="AJ600" s="622">
        <v>146.06</v>
      </c>
      <c r="AK600" s="625" t="s">
        <v>85</v>
      </c>
      <c r="AP600" s="1837"/>
      <c r="AQ600" s="1837"/>
      <c r="AZ600" s="622">
        <v>167.41</v>
      </c>
      <c r="BA600" s="622" t="s">
        <v>85</v>
      </c>
      <c r="BF600" s="1837"/>
      <c r="BG600" s="1837"/>
      <c r="BI600" s="1365"/>
      <c r="BJ600" s="1365"/>
      <c r="BK600" s="1365"/>
      <c r="BL600" s="1365"/>
      <c r="BM600" s="1365"/>
      <c r="BN600" s="1365"/>
      <c r="BO600" s="1365"/>
      <c r="BP600" s="1365"/>
      <c r="BQ600" s="1365"/>
      <c r="BR600" s="1365"/>
      <c r="BS600" s="1365"/>
    </row>
    <row r="601" spans="6:71">
      <c r="F601" s="622">
        <v>57.02</v>
      </c>
      <c r="G601" s="625" t="s">
        <v>87</v>
      </c>
      <c r="L601" s="626">
        <v>409.05</v>
      </c>
      <c r="M601" s="626" t="s">
        <v>61</v>
      </c>
      <c r="V601" s="622">
        <v>304</v>
      </c>
      <c r="W601" s="622" t="s">
        <v>43</v>
      </c>
      <c r="AB601" s="626">
        <v>74</v>
      </c>
      <c r="AC601" s="626" t="s">
        <v>78</v>
      </c>
      <c r="AJ601" s="622">
        <v>146.08000000000001</v>
      </c>
      <c r="AK601" s="625" t="s">
        <v>85</v>
      </c>
      <c r="AP601" s="1837"/>
      <c r="AQ601" s="1837"/>
      <c r="AZ601" s="622">
        <v>167.42</v>
      </c>
      <c r="BA601" s="622" t="s">
        <v>85</v>
      </c>
      <c r="BF601" s="1837"/>
      <c r="BG601" s="1837"/>
      <c r="BI601" s="1365"/>
      <c r="BJ601" s="1365"/>
      <c r="BK601" s="1365"/>
      <c r="BL601" s="1365"/>
      <c r="BM601" s="1365"/>
      <c r="BN601" s="1365"/>
      <c r="BO601" s="1365"/>
      <c r="BP601" s="1365"/>
      <c r="BQ601" s="1365"/>
      <c r="BR601" s="1365"/>
      <c r="BS601" s="1365"/>
    </row>
    <row r="602" spans="6:71">
      <c r="F602" s="622">
        <v>58.14</v>
      </c>
      <c r="G602" s="625" t="s">
        <v>87</v>
      </c>
      <c r="L602" s="626">
        <v>409.06</v>
      </c>
      <c r="M602" s="626" t="s">
        <v>61</v>
      </c>
      <c r="V602" s="622">
        <v>304.02</v>
      </c>
      <c r="W602" s="622" t="s">
        <v>36</v>
      </c>
      <c r="AB602" s="626">
        <v>74.069999999999993</v>
      </c>
      <c r="AC602" s="626" t="s">
        <v>87</v>
      </c>
      <c r="AJ602" s="622">
        <v>146.09</v>
      </c>
      <c r="AK602" s="625" t="s">
        <v>85</v>
      </c>
      <c r="AP602" s="1837"/>
      <c r="AQ602" s="1837"/>
      <c r="AZ602" s="622">
        <v>169.02</v>
      </c>
      <c r="BA602" s="625" t="s">
        <v>85</v>
      </c>
      <c r="BF602" s="1837"/>
      <c r="BG602" s="1837"/>
      <c r="BI602" s="1365"/>
      <c r="BJ602" s="1365"/>
      <c r="BK602" s="1365"/>
      <c r="BL602" s="1365"/>
      <c r="BM602" s="1365"/>
      <c r="BN602" s="1365"/>
      <c r="BO602" s="1365"/>
      <c r="BP602" s="1365"/>
      <c r="BQ602" s="1365"/>
      <c r="BR602" s="1365"/>
      <c r="BS602" s="1365"/>
    </row>
    <row r="603" spans="6:71">
      <c r="F603" s="622">
        <v>68.02</v>
      </c>
      <c r="G603" s="625" t="s">
        <v>87</v>
      </c>
      <c r="L603" s="626">
        <v>409.07</v>
      </c>
      <c r="M603" s="626" t="s">
        <v>61</v>
      </c>
      <c r="V603" s="622">
        <v>304.07</v>
      </c>
      <c r="W603" s="625" t="s">
        <v>88</v>
      </c>
      <c r="AB603" s="626">
        <v>74.099999999999994</v>
      </c>
      <c r="AC603" s="626" t="s">
        <v>87</v>
      </c>
      <c r="AJ603" s="622">
        <v>147.01</v>
      </c>
      <c r="AK603" s="625" t="s">
        <v>85</v>
      </c>
      <c r="AP603" s="1837"/>
      <c r="AQ603" s="1837"/>
      <c r="AZ603" s="622">
        <v>169.04</v>
      </c>
      <c r="BA603" s="625" t="s">
        <v>85</v>
      </c>
      <c r="BF603" s="1837"/>
      <c r="BG603" s="1837"/>
      <c r="BI603" s="1365"/>
      <c r="BJ603" s="1365"/>
      <c r="BK603" s="1365"/>
      <c r="BL603" s="1365"/>
      <c r="BM603" s="1365"/>
      <c r="BN603" s="1365"/>
      <c r="BO603" s="1365"/>
      <c r="BP603" s="1365"/>
      <c r="BQ603" s="1365"/>
      <c r="BR603" s="1365"/>
      <c r="BS603" s="1365"/>
    </row>
    <row r="604" spans="6:71">
      <c r="F604" s="622">
        <v>77.459999999999994</v>
      </c>
      <c r="G604" s="625" t="s">
        <v>87</v>
      </c>
      <c r="L604" s="626">
        <v>409.08</v>
      </c>
      <c r="M604" s="626" t="s">
        <v>61</v>
      </c>
      <c r="V604" s="622">
        <v>304.08</v>
      </c>
      <c r="W604" s="625" t="s">
        <v>88</v>
      </c>
      <c r="AB604" s="626">
        <v>74.12</v>
      </c>
      <c r="AC604" s="626" t="s">
        <v>87</v>
      </c>
      <c r="AJ604" s="622">
        <v>148.12</v>
      </c>
      <c r="AK604" s="625" t="s">
        <v>85</v>
      </c>
      <c r="AP604" s="1837"/>
      <c r="AQ604" s="1837"/>
      <c r="AZ604" s="622">
        <v>169.06</v>
      </c>
      <c r="BA604" s="622" t="s">
        <v>85</v>
      </c>
      <c r="BF604" s="1837"/>
      <c r="BG604" s="1837"/>
      <c r="BI604" s="1365"/>
      <c r="BJ604" s="1365"/>
      <c r="BK604" s="1365"/>
      <c r="BL604" s="1365"/>
      <c r="BM604" s="1365"/>
      <c r="BN604" s="1365"/>
      <c r="BO604" s="1365"/>
      <c r="BP604" s="1365"/>
      <c r="BQ604" s="1365"/>
      <c r="BR604" s="1365"/>
      <c r="BS604" s="1365"/>
    </row>
    <row r="605" spans="6:71">
      <c r="F605" s="622">
        <v>78.33</v>
      </c>
      <c r="G605" s="625" t="s">
        <v>87</v>
      </c>
      <c r="L605" s="626">
        <v>409.09</v>
      </c>
      <c r="M605" s="626" t="s">
        <v>61</v>
      </c>
      <c r="V605" s="622">
        <v>304.10000000000002</v>
      </c>
      <c r="W605" s="625" t="s">
        <v>88</v>
      </c>
      <c r="AB605" s="626">
        <v>74.14</v>
      </c>
      <c r="AC605" s="626" t="s">
        <v>87</v>
      </c>
      <c r="AJ605" s="622">
        <v>149.04</v>
      </c>
      <c r="AK605" s="625" t="s">
        <v>85</v>
      </c>
      <c r="AP605" s="1837"/>
      <c r="AQ605" s="1837"/>
      <c r="AZ605" s="622">
        <v>169.07</v>
      </c>
      <c r="BA605" s="622" t="s">
        <v>85</v>
      </c>
      <c r="BF605" s="1837"/>
      <c r="BG605" s="1837"/>
      <c r="BI605" s="1365"/>
      <c r="BJ605" s="1365"/>
      <c r="BK605" s="1365"/>
      <c r="BL605" s="1365"/>
      <c r="BM605" s="1365"/>
      <c r="BN605" s="1365"/>
      <c r="BO605" s="1365"/>
      <c r="BP605" s="1365"/>
      <c r="BQ605" s="1365"/>
      <c r="BR605" s="1365"/>
      <c r="BS605" s="1365"/>
    </row>
    <row r="606" spans="6:71">
      <c r="F606" s="622">
        <v>80.010000000000005</v>
      </c>
      <c r="G606" s="625" t="s">
        <v>87</v>
      </c>
      <c r="L606" s="626">
        <v>409.1</v>
      </c>
      <c r="M606" s="626" t="s">
        <v>61</v>
      </c>
      <c r="V606" s="622">
        <v>304.11</v>
      </c>
      <c r="W606" s="625" t="s">
        <v>88</v>
      </c>
      <c r="AB606" s="626">
        <v>74.16</v>
      </c>
      <c r="AC606" s="626" t="s">
        <v>87</v>
      </c>
      <c r="AJ606" s="622">
        <v>150.01</v>
      </c>
      <c r="AK606" s="625" t="s">
        <v>85</v>
      </c>
      <c r="AP606" s="1837"/>
      <c r="AQ606" s="1837"/>
      <c r="AZ606" s="622">
        <v>172</v>
      </c>
      <c r="BA606" s="625" t="s">
        <v>49</v>
      </c>
      <c r="BF606" s="1837"/>
      <c r="BG606" s="1837"/>
      <c r="BI606" s="1365"/>
      <c r="BJ606" s="1365"/>
      <c r="BK606" s="1365"/>
      <c r="BL606" s="1365"/>
      <c r="BM606" s="1365"/>
      <c r="BN606" s="1365"/>
      <c r="BO606" s="1365"/>
      <c r="BP606" s="1365"/>
      <c r="BQ606" s="1365"/>
      <c r="BR606" s="1365"/>
      <c r="BS606" s="1365"/>
    </row>
    <row r="607" spans="6:71">
      <c r="F607" s="622">
        <v>80.02</v>
      </c>
      <c r="G607" s="625" t="s">
        <v>87</v>
      </c>
      <c r="L607" s="626">
        <v>409.11</v>
      </c>
      <c r="M607" s="626" t="s">
        <v>61</v>
      </c>
      <c r="V607" s="622">
        <v>304.12</v>
      </c>
      <c r="W607" s="625" t="s">
        <v>88</v>
      </c>
      <c r="AB607" s="626">
        <v>74.180000000000007</v>
      </c>
      <c r="AC607" s="626" t="s">
        <v>87</v>
      </c>
      <c r="AJ607" s="622">
        <v>163.02000000000001</v>
      </c>
      <c r="AK607" s="625" t="s">
        <v>85</v>
      </c>
      <c r="AP607" s="1837"/>
      <c r="AQ607" s="1837"/>
      <c r="AZ607" s="622">
        <v>174</v>
      </c>
      <c r="BA607" s="625" t="s">
        <v>49</v>
      </c>
      <c r="BF607" s="1837"/>
      <c r="BG607" s="1837"/>
      <c r="BI607" s="1365"/>
      <c r="BJ607" s="1365"/>
      <c r="BK607" s="1365"/>
      <c r="BL607" s="1365"/>
      <c r="BM607" s="1365"/>
      <c r="BN607" s="1365"/>
      <c r="BO607" s="1365"/>
      <c r="BP607" s="1365"/>
      <c r="BQ607" s="1365"/>
      <c r="BR607" s="1365"/>
      <c r="BS607" s="1365"/>
    </row>
    <row r="608" spans="6:71">
      <c r="F608" s="622">
        <v>81.010000000000005</v>
      </c>
      <c r="G608" s="625" t="s">
        <v>87</v>
      </c>
      <c r="L608" s="626">
        <v>410.04</v>
      </c>
      <c r="M608" s="626" t="s">
        <v>61</v>
      </c>
      <c r="V608" s="622">
        <v>305</v>
      </c>
      <c r="W608" s="622" t="s">
        <v>36</v>
      </c>
      <c r="AB608" s="626">
        <v>74.2</v>
      </c>
      <c r="AC608" s="626" t="s">
        <v>87</v>
      </c>
      <c r="AJ608" s="622">
        <v>164.07</v>
      </c>
      <c r="AK608" s="625" t="s">
        <v>85</v>
      </c>
      <c r="AP608" s="1837"/>
      <c r="AQ608" s="1837"/>
      <c r="AZ608" s="622">
        <v>175</v>
      </c>
      <c r="BA608" s="625" t="s">
        <v>78</v>
      </c>
      <c r="BF608" s="1837"/>
      <c r="BG608" s="1837"/>
      <c r="BI608" s="1365"/>
      <c r="BJ608" s="1365"/>
      <c r="BK608" s="1365"/>
      <c r="BL608" s="1365"/>
      <c r="BM608" s="1365"/>
      <c r="BN608" s="1365"/>
      <c r="BO608" s="1365"/>
      <c r="BP608" s="1365"/>
      <c r="BQ608" s="1365"/>
      <c r="BR608" s="1365"/>
      <c r="BS608" s="1365"/>
    </row>
    <row r="609" spans="6:71">
      <c r="F609" s="622">
        <v>82.01</v>
      </c>
      <c r="G609" s="625" t="s">
        <v>87</v>
      </c>
      <c r="L609" s="626">
        <v>410.05</v>
      </c>
      <c r="M609" s="626" t="s">
        <v>61</v>
      </c>
      <c r="V609" s="622">
        <v>305.02999999999997</v>
      </c>
      <c r="W609" s="625" t="s">
        <v>69</v>
      </c>
      <c r="AB609" s="626">
        <v>75.010000000000005</v>
      </c>
      <c r="AC609" s="626" t="s">
        <v>78</v>
      </c>
      <c r="AJ609" s="622">
        <v>165.03</v>
      </c>
      <c r="AK609" s="625" t="s">
        <v>85</v>
      </c>
      <c r="AP609" s="1837"/>
      <c r="AQ609" s="1837"/>
      <c r="AZ609" s="622">
        <v>176</v>
      </c>
      <c r="BA609" s="622" t="s">
        <v>85</v>
      </c>
      <c r="BF609" s="1837"/>
      <c r="BG609" s="1837"/>
      <c r="BI609" s="1365"/>
      <c r="BJ609" s="1365"/>
      <c r="BK609" s="1365"/>
      <c r="BL609" s="1365"/>
      <c r="BM609" s="1365"/>
      <c r="BN609" s="1365"/>
      <c r="BO609" s="1365"/>
      <c r="BP609" s="1365"/>
      <c r="BQ609" s="1365"/>
      <c r="BR609" s="1365"/>
      <c r="BS609" s="1365"/>
    </row>
    <row r="610" spans="6:71">
      <c r="F610" s="622">
        <v>82.02</v>
      </c>
      <c r="G610" s="625" t="s">
        <v>87</v>
      </c>
      <c r="L610" s="626">
        <v>410.06</v>
      </c>
      <c r="M610" s="626" t="s">
        <v>61</v>
      </c>
      <c r="V610" s="622">
        <v>306.01</v>
      </c>
      <c r="W610" s="625" t="s">
        <v>69</v>
      </c>
      <c r="AB610" s="626">
        <v>75.010000000000005</v>
      </c>
      <c r="AC610" s="626" t="s">
        <v>87</v>
      </c>
      <c r="AJ610" s="622">
        <v>165.1</v>
      </c>
      <c r="AK610" s="625" t="s">
        <v>85</v>
      </c>
      <c r="AP610" s="1837"/>
      <c r="AQ610" s="1837"/>
      <c r="AZ610" s="622">
        <v>180</v>
      </c>
      <c r="BA610" s="622" t="s">
        <v>85</v>
      </c>
      <c r="BF610" s="1837"/>
      <c r="BG610" s="1837"/>
      <c r="BI610" s="1365"/>
      <c r="BJ610" s="1365"/>
      <c r="BK610" s="1365"/>
      <c r="BL610" s="1365"/>
      <c r="BM610" s="1365"/>
      <c r="BN610" s="1365"/>
      <c r="BO610" s="1365"/>
      <c r="BP610" s="1365"/>
      <c r="BQ610" s="1365"/>
      <c r="BR610" s="1365"/>
      <c r="BS610" s="1365"/>
    </row>
    <row r="611" spans="6:71">
      <c r="F611" s="622">
        <v>82.03</v>
      </c>
      <c r="G611" s="625" t="s">
        <v>87</v>
      </c>
      <c r="L611" s="626">
        <v>411.04</v>
      </c>
      <c r="M611" s="626" t="s">
        <v>61</v>
      </c>
      <c r="V611" s="622">
        <v>306.02</v>
      </c>
      <c r="W611" s="625" t="s">
        <v>69</v>
      </c>
      <c r="AB611" s="626">
        <v>75.03</v>
      </c>
      <c r="AC611" s="626" t="s">
        <v>78</v>
      </c>
      <c r="AJ611" s="622">
        <v>165.11</v>
      </c>
      <c r="AK611" s="625" t="s">
        <v>85</v>
      </c>
      <c r="AP611" s="1837"/>
      <c r="AQ611" s="1837"/>
      <c r="AZ611" s="622">
        <v>185</v>
      </c>
      <c r="BA611" s="622" t="s">
        <v>85</v>
      </c>
      <c r="BF611" s="1837"/>
      <c r="BG611" s="1837"/>
      <c r="BI611" s="1365"/>
      <c r="BJ611" s="1365"/>
      <c r="BK611" s="1365"/>
      <c r="BL611" s="1365"/>
      <c r="BM611" s="1365"/>
      <c r="BN611" s="1365"/>
      <c r="BO611" s="1365"/>
      <c r="BP611" s="1365"/>
      <c r="BQ611" s="1365"/>
      <c r="BR611" s="1365"/>
      <c r="BS611" s="1365"/>
    </row>
    <row r="612" spans="6:71">
      <c r="F612" s="622">
        <v>83.01</v>
      </c>
      <c r="G612" s="625" t="s">
        <v>87</v>
      </c>
      <c r="L612" s="626">
        <v>411.06</v>
      </c>
      <c r="M612" s="626" t="s">
        <v>61</v>
      </c>
      <c r="V612" s="622">
        <v>306.02</v>
      </c>
      <c r="W612" s="625" t="s">
        <v>88</v>
      </c>
      <c r="AB612" s="626">
        <v>75.040000000000006</v>
      </c>
      <c r="AC612" s="626" t="s">
        <v>87</v>
      </c>
      <c r="AJ612" s="622">
        <v>165.12</v>
      </c>
      <c r="AK612" s="625" t="s">
        <v>85</v>
      </c>
      <c r="AP612" s="1837"/>
      <c r="AQ612" s="1837"/>
      <c r="AZ612" s="622">
        <v>187</v>
      </c>
      <c r="BA612" s="625" t="s">
        <v>85</v>
      </c>
      <c r="BF612" s="1837"/>
      <c r="BG612" s="1837"/>
      <c r="BI612" s="1365"/>
      <c r="BJ612" s="1365"/>
      <c r="BK612" s="1365"/>
      <c r="BL612" s="1365"/>
      <c r="BM612" s="1365"/>
      <c r="BN612" s="1365"/>
      <c r="BO612" s="1365"/>
      <c r="BP612" s="1365"/>
      <c r="BQ612" s="1365"/>
      <c r="BR612" s="1365"/>
      <c r="BS612" s="1365"/>
    </row>
    <row r="613" spans="6:71">
      <c r="F613" s="622">
        <v>83.02</v>
      </c>
      <c r="G613" s="625" t="s">
        <v>87</v>
      </c>
      <c r="L613" s="626">
        <v>412.01</v>
      </c>
      <c r="M613" s="626" t="s">
        <v>61</v>
      </c>
      <c r="V613" s="622">
        <v>308</v>
      </c>
      <c r="W613" s="625" t="s">
        <v>88</v>
      </c>
      <c r="AB613" s="626">
        <v>75.05</v>
      </c>
      <c r="AC613" s="626" t="s">
        <v>87</v>
      </c>
      <c r="AJ613" s="622">
        <v>165.13</v>
      </c>
      <c r="AK613" s="625" t="s">
        <v>85</v>
      </c>
      <c r="AP613" s="1837"/>
      <c r="AQ613" s="1837"/>
      <c r="AZ613" s="622">
        <v>189.01</v>
      </c>
      <c r="BA613" s="622" t="s">
        <v>85</v>
      </c>
      <c r="BF613" s="1837"/>
      <c r="BG613" s="1837"/>
      <c r="BI613" s="1365"/>
      <c r="BJ613" s="1365"/>
      <c r="BK613" s="1365"/>
      <c r="BL613" s="1365"/>
      <c r="BM613" s="1365"/>
      <c r="BN613" s="1365"/>
      <c r="BO613" s="1365"/>
      <c r="BP613" s="1365"/>
      <c r="BQ613" s="1365"/>
      <c r="BR613" s="1365"/>
      <c r="BS613" s="1365"/>
    </row>
    <row r="614" spans="6:71">
      <c r="F614" s="622">
        <v>301.02</v>
      </c>
      <c r="G614" s="625" t="s">
        <v>88</v>
      </c>
      <c r="L614" s="626">
        <v>412.03</v>
      </c>
      <c r="M614" s="626" t="s">
        <v>61</v>
      </c>
      <c r="V614" s="622">
        <v>308.01</v>
      </c>
      <c r="W614" s="622" t="s">
        <v>36</v>
      </c>
      <c r="AB614" s="626">
        <v>76.010000000000005</v>
      </c>
      <c r="AC614" s="626" t="s">
        <v>78</v>
      </c>
      <c r="AJ614" s="622">
        <v>167.09</v>
      </c>
      <c r="AK614" s="625" t="s">
        <v>85</v>
      </c>
      <c r="AP614" s="1837"/>
      <c r="AQ614" s="1837"/>
      <c r="AZ614" s="622">
        <v>189.02</v>
      </c>
      <c r="BA614" s="625" t="s">
        <v>85</v>
      </c>
      <c r="BF614" s="1837"/>
      <c r="BG614" s="1837"/>
      <c r="BI614" s="1365"/>
      <c r="BJ614" s="1365"/>
      <c r="BK614" s="1365"/>
      <c r="BL614" s="1365"/>
      <c r="BM614" s="1365"/>
      <c r="BN614" s="1365"/>
      <c r="BO614" s="1365"/>
      <c r="BP614" s="1365"/>
      <c r="BQ614" s="1365"/>
      <c r="BR614" s="1365"/>
      <c r="BS614" s="1365"/>
    </row>
    <row r="615" spans="6:71">
      <c r="F615" s="622">
        <v>302.02999999999997</v>
      </c>
      <c r="G615" s="625" t="s">
        <v>88</v>
      </c>
      <c r="L615" s="626">
        <v>413.03</v>
      </c>
      <c r="M615" s="626" t="s">
        <v>61</v>
      </c>
      <c r="V615" s="622">
        <v>310.05</v>
      </c>
      <c r="W615" s="625" t="s">
        <v>88</v>
      </c>
      <c r="AB615" s="626">
        <v>76.03</v>
      </c>
      <c r="AC615" s="626" t="s">
        <v>87</v>
      </c>
      <c r="AJ615" s="622">
        <v>167.38</v>
      </c>
      <c r="AK615" s="625" t="s">
        <v>85</v>
      </c>
      <c r="AP615" s="1837"/>
      <c r="AQ615" s="1837"/>
      <c r="AZ615" s="622">
        <v>201.01</v>
      </c>
      <c r="BA615" s="622" t="s">
        <v>97</v>
      </c>
      <c r="BF615" s="1837"/>
      <c r="BG615" s="1837"/>
      <c r="BI615" s="1365"/>
      <c r="BJ615" s="1365"/>
      <c r="BK615" s="1365"/>
      <c r="BL615" s="1365"/>
      <c r="BM615" s="1365"/>
      <c r="BN615" s="1365"/>
      <c r="BO615" s="1365"/>
      <c r="BP615" s="1365"/>
      <c r="BQ615" s="1365"/>
      <c r="BR615" s="1365"/>
      <c r="BS615" s="1365"/>
    </row>
    <row r="616" spans="6:71">
      <c r="F616" s="622">
        <v>302.04000000000002</v>
      </c>
      <c r="G616" s="625" t="s">
        <v>88</v>
      </c>
      <c r="L616" s="626">
        <v>413.05</v>
      </c>
      <c r="M616" s="626" t="s">
        <v>61</v>
      </c>
      <c r="V616" s="622">
        <v>310.08</v>
      </c>
      <c r="W616" s="625" t="s">
        <v>88</v>
      </c>
      <c r="AB616" s="626">
        <v>76.040000000000006</v>
      </c>
      <c r="AC616" s="626" t="s">
        <v>78</v>
      </c>
      <c r="AJ616" s="622">
        <v>167.39</v>
      </c>
      <c r="AK616" s="625" t="s">
        <v>85</v>
      </c>
      <c r="AP616" s="1837"/>
      <c r="AQ616" s="1837"/>
      <c r="AZ616" s="622">
        <v>201.09</v>
      </c>
      <c r="BA616" s="625" t="s">
        <v>89</v>
      </c>
      <c r="BF616" s="1837"/>
      <c r="BG616" s="1837"/>
      <c r="BI616" s="1365"/>
      <c r="BJ616" s="1365"/>
      <c r="BK616" s="1365"/>
      <c r="BL616" s="1365"/>
      <c r="BM616" s="1365"/>
      <c r="BN616" s="1365"/>
      <c r="BO616" s="1365"/>
      <c r="BP616" s="1365"/>
      <c r="BQ616" s="1365"/>
      <c r="BR616" s="1365"/>
      <c r="BS616" s="1365"/>
    </row>
    <row r="617" spans="6:71">
      <c r="F617" s="622">
        <v>303.02</v>
      </c>
      <c r="G617" s="625" t="s">
        <v>88</v>
      </c>
      <c r="L617" s="626">
        <v>414.02</v>
      </c>
      <c r="M617" s="626" t="s">
        <v>61</v>
      </c>
      <c r="V617" s="622">
        <v>310.08999999999997</v>
      </c>
      <c r="W617" s="625" t="s">
        <v>88</v>
      </c>
      <c r="AB617" s="626">
        <v>76.040000000000006</v>
      </c>
      <c r="AC617" s="626" t="s">
        <v>87</v>
      </c>
      <c r="AJ617" s="622">
        <v>167.4</v>
      </c>
      <c r="AK617" s="625" t="s">
        <v>85</v>
      </c>
      <c r="AP617" s="1837"/>
      <c r="AQ617" s="1837"/>
      <c r="AZ617" s="622">
        <v>201.1</v>
      </c>
      <c r="BA617" s="625" t="s">
        <v>89</v>
      </c>
      <c r="BF617" s="1837"/>
      <c r="BG617" s="1837"/>
      <c r="BI617" s="1365"/>
      <c r="BJ617" s="1365"/>
      <c r="BK617" s="1365"/>
      <c r="BL617" s="1365"/>
      <c r="BM617" s="1365"/>
      <c r="BN617" s="1365"/>
      <c r="BO617" s="1365"/>
      <c r="BP617" s="1365"/>
      <c r="BQ617" s="1365"/>
      <c r="BR617" s="1365"/>
      <c r="BS617" s="1365"/>
    </row>
    <row r="618" spans="6:71">
      <c r="F618" s="622">
        <v>304.07</v>
      </c>
      <c r="G618" s="625" t="s">
        <v>88</v>
      </c>
      <c r="L618" s="626">
        <v>415.01</v>
      </c>
      <c r="M618" s="626" t="s">
        <v>61</v>
      </c>
      <c r="V618" s="622">
        <v>310.10000000000002</v>
      </c>
      <c r="W618" s="625" t="s">
        <v>88</v>
      </c>
      <c r="AB618" s="626">
        <v>76.05</v>
      </c>
      <c r="AC618" s="626" t="s">
        <v>78</v>
      </c>
      <c r="AJ618" s="622">
        <v>167.41</v>
      </c>
      <c r="AK618" s="625" t="s">
        <v>85</v>
      </c>
      <c r="AP618" s="1837"/>
      <c r="AQ618" s="1837"/>
      <c r="AZ618" s="622">
        <v>202.01</v>
      </c>
      <c r="BA618" s="622" t="s">
        <v>97</v>
      </c>
      <c r="BF618" s="1837"/>
      <c r="BG618" s="1837"/>
      <c r="BI618" s="1365"/>
      <c r="BJ618" s="1365"/>
      <c r="BK618" s="1365"/>
      <c r="BL618" s="1365"/>
      <c r="BM618" s="1365"/>
      <c r="BN618" s="1365"/>
      <c r="BO618" s="1365"/>
      <c r="BP618" s="1365"/>
      <c r="BQ618" s="1365"/>
      <c r="BR618" s="1365"/>
      <c r="BS618" s="1365"/>
    </row>
    <row r="619" spans="6:71">
      <c r="F619" s="622">
        <v>304.08</v>
      </c>
      <c r="G619" s="625" t="s">
        <v>88</v>
      </c>
      <c r="L619" s="626">
        <v>415.02</v>
      </c>
      <c r="M619" s="626" t="s">
        <v>61</v>
      </c>
      <c r="V619" s="622">
        <v>314.04000000000002</v>
      </c>
      <c r="W619" s="625" t="s">
        <v>88</v>
      </c>
      <c r="AB619" s="626">
        <v>76.05</v>
      </c>
      <c r="AC619" s="626" t="s">
        <v>87</v>
      </c>
      <c r="AJ619" s="622">
        <v>167.42</v>
      </c>
      <c r="AK619" s="625" t="s">
        <v>85</v>
      </c>
      <c r="AP619" s="1837"/>
      <c r="AQ619" s="1837"/>
      <c r="AZ619" s="622">
        <v>203</v>
      </c>
      <c r="BA619" s="625" t="s">
        <v>93</v>
      </c>
      <c r="BF619" s="1837"/>
      <c r="BG619" s="1837"/>
      <c r="BI619" s="1365"/>
      <c r="BJ619" s="1365"/>
      <c r="BK619" s="1365"/>
      <c r="BL619" s="1365"/>
      <c r="BM619" s="1365"/>
      <c r="BN619" s="1365"/>
      <c r="BO619" s="1365"/>
      <c r="BP619" s="1365"/>
      <c r="BQ619" s="1365"/>
      <c r="BR619" s="1365"/>
      <c r="BS619" s="1365"/>
    </row>
    <row r="620" spans="6:71">
      <c r="F620" s="622">
        <v>304.10000000000002</v>
      </c>
      <c r="G620" s="625" t="s">
        <v>88</v>
      </c>
      <c r="L620" s="626">
        <v>416</v>
      </c>
      <c r="M620" s="626" t="s">
        <v>61</v>
      </c>
      <c r="V620" s="622">
        <v>314.05</v>
      </c>
      <c r="W620" s="625" t="s">
        <v>88</v>
      </c>
      <c r="AB620" s="626">
        <v>76.06</v>
      </c>
      <c r="AC620" s="626" t="s">
        <v>78</v>
      </c>
      <c r="AJ620" s="622">
        <v>169.02</v>
      </c>
      <c r="AK620" s="625" t="s">
        <v>85</v>
      </c>
      <c r="AP620" s="1837"/>
      <c r="AQ620" s="1837"/>
      <c r="AZ620" s="622">
        <v>203.01</v>
      </c>
      <c r="BA620" s="625" t="s">
        <v>70</v>
      </c>
      <c r="BF620" s="1837"/>
      <c r="BG620" s="1837"/>
      <c r="BI620" s="1365"/>
      <c r="BJ620" s="1365"/>
      <c r="BK620" s="1365"/>
      <c r="BL620" s="1365"/>
      <c r="BM620" s="1365"/>
      <c r="BN620" s="1365"/>
      <c r="BO620" s="1365"/>
      <c r="BP620" s="1365"/>
      <c r="BQ620" s="1365"/>
      <c r="BR620" s="1365"/>
      <c r="BS620" s="1365"/>
    </row>
    <row r="621" spans="6:71">
      <c r="F621" s="622">
        <v>304.11</v>
      </c>
      <c r="G621" s="625" t="s">
        <v>88</v>
      </c>
      <c r="L621" s="626">
        <v>9601.01</v>
      </c>
      <c r="M621" s="626" t="s">
        <v>62</v>
      </c>
      <c r="V621" s="622">
        <v>314.06</v>
      </c>
      <c r="W621" s="625" t="s">
        <v>88</v>
      </c>
      <c r="AB621" s="626">
        <v>76.069999999999993</v>
      </c>
      <c r="AC621" s="626" t="s">
        <v>87</v>
      </c>
      <c r="AJ621" s="622">
        <v>169.04</v>
      </c>
      <c r="AK621" s="625" t="s">
        <v>85</v>
      </c>
      <c r="AP621" s="1837"/>
      <c r="AQ621" s="1837"/>
      <c r="AZ621" s="622">
        <v>203.02</v>
      </c>
      <c r="BA621" s="625" t="s">
        <v>70</v>
      </c>
      <c r="BF621" s="1837"/>
      <c r="BG621" s="1837"/>
      <c r="BI621" s="1365"/>
      <c r="BJ621" s="1365"/>
      <c r="BK621" s="1365"/>
      <c r="BL621" s="1365"/>
      <c r="BM621" s="1365"/>
      <c r="BN621" s="1365"/>
      <c r="BO621" s="1365"/>
      <c r="BP621" s="1365"/>
      <c r="BQ621" s="1365"/>
      <c r="BR621" s="1365"/>
      <c r="BS621" s="1365"/>
    </row>
    <row r="622" spans="6:71">
      <c r="F622" s="622">
        <v>304.12</v>
      </c>
      <c r="G622" s="625" t="s">
        <v>88</v>
      </c>
      <c r="L622" s="626">
        <v>9604</v>
      </c>
      <c r="M622" s="626" t="s">
        <v>62</v>
      </c>
      <c r="V622" s="622">
        <v>314.08</v>
      </c>
      <c r="W622" s="625" t="s">
        <v>88</v>
      </c>
      <c r="AB622" s="626">
        <v>76.099999999999994</v>
      </c>
      <c r="AC622" s="626" t="s">
        <v>87</v>
      </c>
      <c r="AJ622" s="622">
        <v>169.06</v>
      </c>
      <c r="AK622" s="625" t="s">
        <v>85</v>
      </c>
      <c r="AP622" s="1837"/>
      <c r="AQ622" s="1837"/>
      <c r="AZ622" s="622">
        <v>204</v>
      </c>
      <c r="BA622" s="622" t="s">
        <v>93</v>
      </c>
      <c r="BF622" s="1837"/>
      <c r="BG622" s="1837"/>
      <c r="BI622" s="1365"/>
      <c r="BJ622" s="1365"/>
      <c r="BK622" s="1365"/>
      <c r="BL622" s="1365"/>
      <c r="BM622" s="1365"/>
      <c r="BN622" s="1365"/>
      <c r="BO622" s="1365"/>
      <c r="BP622" s="1365"/>
      <c r="BQ622" s="1365"/>
      <c r="BR622" s="1365"/>
      <c r="BS622" s="1365"/>
    </row>
    <row r="623" spans="6:71">
      <c r="F623" s="622">
        <v>306.02</v>
      </c>
      <c r="G623" s="625" t="s">
        <v>88</v>
      </c>
      <c r="L623" s="626">
        <v>9605.02</v>
      </c>
      <c r="M623" s="626" t="s">
        <v>62</v>
      </c>
      <c r="V623" s="622">
        <v>317.02999999999997</v>
      </c>
      <c r="W623" s="625" t="s">
        <v>88</v>
      </c>
      <c r="AB623" s="626">
        <v>76.12</v>
      </c>
      <c r="AC623" s="626" t="s">
        <v>87</v>
      </c>
      <c r="AJ623" s="622">
        <v>169.07</v>
      </c>
      <c r="AK623" s="625" t="s">
        <v>85</v>
      </c>
      <c r="AP623" s="1837"/>
      <c r="AQ623" s="1837"/>
      <c r="AZ623" s="622">
        <v>204.05</v>
      </c>
      <c r="BA623" s="625" t="s">
        <v>36</v>
      </c>
      <c r="BF623" s="1837"/>
      <c r="BG623" s="1837"/>
      <c r="BI623" s="1365"/>
      <c r="BJ623" s="1365"/>
      <c r="BK623" s="1365"/>
      <c r="BL623" s="1365"/>
      <c r="BM623" s="1365"/>
      <c r="BN623" s="1365"/>
      <c r="BO623" s="1365"/>
      <c r="BP623" s="1365"/>
      <c r="BQ623" s="1365"/>
      <c r="BR623" s="1365"/>
      <c r="BS623" s="1365"/>
    </row>
    <row r="624" spans="6:71">
      <c r="F624" s="622">
        <v>308</v>
      </c>
      <c r="G624" s="625" t="s">
        <v>88</v>
      </c>
      <c r="L624" s="626">
        <v>9606.01</v>
      </c>
      <c r="M624" s="626" t="s">
        <v>62</v>
      </c>
      <c r="V624" s="622">
        <v>318.06</v>
      </c>
      <c r="W624" s="625" t="s">
        <v>88</v>
      </c>
      <c r="AB624" s="626">
        <v>76.13</v>
      </c>
      <c r="AC624" s="626" t="s">
        <v>87</v>
      </c>
      <c r="AJ624" s="622">
        <v>176</v>
      </c>
      <c r="AK624" s="625" t="s">
        <v>85</v>
      </c>
      <c r="AP624" s="1837"/>
      <c r="AQ624" s="1837"/>
      <c r="AZ624" s="622">
        <v>204.12</v>
      </c>
      <c r="BA624" s="625" t="s">
        <v>36</v>
      </c>
      <c r="BF624" s="1837"/>
      <c r="BG624" s="1837"/>
      <c r="BI624" s="1365"/>
      <c r="BJ624" s="1365"/>
      <c r="BK624" s="1365"/>
      <c r="BL624" s="1365"/>
      <c r="BM624" s="1365"/>
      <c r="BN624" s="1365"/>
      <c r="BO624" s="1365"/>
      <c r="BP624" s="1365"/>
      <c r="BQ624" s="1365"/>
      <c r="BR624" s="1365"/>
      <c r="BS624" s="1365"/>
    </row>
    <row r="625" spans="6:71">
      <c r="F625" s="622">
        <v>310.05</v>
      </c>
      <c r="G625" s="625" t="s">
        <v>88</v>
      </c>
      <c r="L625" s="626">
        <v>9606.02</v>
      </c>
      <c r="M625" s="626" t="s">
        <v>62</v>
      </c>
      <c r="V625" s="622">
        <v>318.07</v>
      </c>
      <c r="W625" s="625" t="s">
        <v>88</v>
      </c>
      <c r="AB625" s="626">
        <v>76.14</v>
      </c>
      <c r="AC625" s="626" t="s">
        <v>87</v>
      </c>
      <c r="AJ625" s="622">
        <v>180</v>
      </c>
      <c r="AK625" s="625" t="s">
        <v>85</v>
      </c>
      <c r="AP625" s="1837"/>
      <c r="AQ625" s="1837"/>
      <c r="AZ625" s="622">
        <v>205</v>
      </c>
      <c r="BA625" s="625" t="s">
        <v>89</v>
      </c>
      <c r="BF625" s="1837"/>
      <c r="BG625" s="1837"/>
      <c r="BI625" s="1365"/>
      <c r="BJ625" s="1365"/>
      <c r="BK625" s="1365"/>
      <c r="BL625" s="1365"/>
      <c r="BM625" s="1365"/>
      <c r="BN625" s="1365"/>
      <c r="BO625" s="1365"/>
      <c r="BP625" s="1365"/>
      <c r="BQ625" s="1365"/>
      <c r="BR625" s="1365"/>
      <c r="BS625" s="1365"/>
    </row>
    <row r="626" spans="6:71">
      <c r="F626" s="622">
        <v>310.08</v>
      </c>
      <c r="G626" s="625" t="s">
        <v>88</v>
      </c>
      <c r="L626" s="626">
        <v>9607</v>
      </c>
      <c r="M626" s="626" t="s">
        <v>62</v>
      </c>
      <c r="V626" s="622">
        <v>318.08999999999997</v>
      </c>
      <c r="W626" s="625" t="s">
        <v>88</v>
      </c>
      <c r="AB626" s="626">
        <v>76.16</v>
      </c>
      <c r="AC626" s="626" t="s">
        <v>87</v>
      </c>
      <c r="AJ626" s="622">
        <v>185</v>
      </c>
      <c r="AK626" s="625" t="s">
        <v>85</v>
      </c>
      <c r="AP626" s="1837"/>
      <c r="AQ626" s="1837"/>
      <c r="AZ626" s="622">
        <v>205</v>
      </c>
      <c r="BA626" s="625" t="s">
        <v>97</v>
      </c>
      <c r="BF626" s="1837"/>
      <c r="BG626" s="1837"/>
      <c r="BI626" s="1365"/>
      <c r="BJ626" s="1365"/>
      <c r="BK626" s="1365"/>
      <c r="BL626" s="1365"/>
      <c r="BM626" s="1365"/>
      <c r="BN626" s="1365"/>
      <c r="BO626" s="1365"/>
      <c r="BP626" s="1365"/>
      <c r="BQ626" s="1365"/>
      <c r="BR626" s="1365"/>
      <c r="BS626" s="1365"/>
    </row>
    <row r="627" spans="6:71">
      <c r="F627" s="622">
        <v>310.08999999999997</v>
      </c>
      <c r="G627" s="625" t="s">
        <v>88</v>
      </c>
      <c r="L627" s="626">
        <v>9610</v>
      </c>
      <c r="M627" s="626" t="s">
        <v>62</v>
      </c>
      <c r="V627" s="622">
        <v>324.02</v>
      </c>
      <c r="W627" s="625" t="s">
        <v>88</v>
      </c>
      <c r="AB627" s="626">
        <v>76.17</v>
      </c>
      <c r="AC627" s="626" t="s">
        <v>87</v>
      </c>
      <c r="AJ627" s="622">
        <v>187</v>
      </c>
      <c r="AK627" s="625" t="s">
        <v>85</v>
      </c>
      <c r="AP627" s="1837"/>
      <c r="AQ627" s="1837"/>
      <c r="AZ627" s="622">
        <v>205.01</v>
      </c>
      <c r="BA627" s="625" t="s">
        <v>70</v>
      </c>
      <c r="BF627" s="1837"/>
      <c r="BG627" s="1837"/>
      <c r="BI627" s="1365"/>
      <c r="BJ627" s="1365"/>
      <c r="BK627" s="1365"/>
      <c r="BL627" s="1365"/>
      <c r="BM627" s="1365"/>
      <c r="BN627" s="1365"/>
      <c r="BO627" s="1365"/>
      <c r="BP627" s="1365"/>
      <c r="BQ627" s="1365"/>
      <c r="BR627" s="1365"/>
      <c r="BS627" s="1365"/>
    </row>
    <row r="628" spans="6:71">
      <c r="F628" s="622">
        <v>310.10000000000002</v>
      </c>
      <c r="G628" s="625" t="s">
        <v>88</v>
      </c>
      <c r="L628" s="626">
        <v>9613.01</v>
      </c>
      <c r="M628" s="626" t="s">
        <v>62</v>
      </c>
      <c r="V628" s="622">
        <v>326.01</v>
      </c>
      <c r="W628" s="625" t="s">
        <v>88</v>
      </c>
      <c r="AB628" s="626">
        <v>76.180000000000007</v>
      </c>
      <c r="AC628" s="626" t="s">
        <v>87</v>
      </c>
      <c r="AJ628" s="622">
        <v>189.01</v>
      </c>
      <c r="AK628" s="625" t="s">
        <v>85</v>
      </c>
      <c r="AP628" s="1837"/>
      <c r="AQ628" s="1837"/>
      <c r="AZ628" s="622">
        <v>206</v>
      </c>
      <c r="BA628" s="622" t="s">
        <v>89</v>
      </c>
      <c r="BF628" s="1837"/>
      <c r="BG628" s="1837"/>
      <c r="BI628" s="1365"/>
      <c r="BJ628" s="1365"/>
      <c r="BK628" s="1365"/>
      <c r="BL628" s="1365"/>
      <c r="BM628" s="1365"/>
      <c r="BN628" s="1365"/>
      <c r="BO628" s="1365"/>
      <c r="BP628" s="1365"/>
      <c r="BQ628" s="1365"/>
      <c r="BR628" s="1365"/>
      <c r="BS628" s="1365"/>
    </row>
    <row r="629" spans="6:71">
      <c r="F629" s="622">
        <v>314.04000000000002</v>
      </c>
      <c r="G629" s="625" t="s">
        <v>88</v>
      </c>
      <c r="L629" s="626">
        <v>9613.02</v>
      </c>
      <c r="M629" s="626" t="s">
        <v>62</v>
      </c>
      <c r="V629" s="622">
        <v>326.02</v>
      </c>
      <c r="W629" s="625" t="s">
        <v>88</v>
      </c>
      <c r="AB629" s="626">
        <v>77.010000000000005</v>
      </c>
      <c r="AC629" s="626" t="s">
        <v>78</v>
      </c>
      <c r="AJ629" s="622">
        <v>189.02</v>
      </c>
      <c r="AK629" s="625" t="s">
        <v>85</v>
      </c>
      <c r="AP629" s="1837"/>
      <c r="AQ629" s="1837"/>
      <c r="AZ629" s="622">
        <v>207</v>
      </c>
      <c r="BA629" s="625" t="s">
        <v>41</v>
      </c>
      <c r="BF629" s="1837"/>
      <c r="BG629" s="1837"/>
      <c r="BI629" s="1365"/>
      <c r="BJ629" s="1365"/>
      <c r="BK629" s="1365"/>
      <c r="BL629" s="1365"/>
      <c r="BM629" s="1365"/>
      <c r="BN629" s="1365"/>
      <c r="BO629" s="1365"/>
      <c r="BP629" s="1365"/>
      <c r="BQ629" s="1365"/>
      <c r="BR629" s="1365"/>
      <c r="BS629" s="1365"/>
    </row>
    <row r="630" spans="6:71">
      <c r="F630" s="622">
        <v>314.05</v>
      </c>
      <c r="G630" s="625" t="s">
        <v>88</v>
      </c>
      <c r="L630" s="626">
        <v>9614</v>
      </c>
      <c r="M630" s="626" t="s">
        <v>62</v>
      </c>
      <c r="V630" s="622">
        <v>328.04</v>
      </c>
      <c r="W630" s="625" t="s">
        <v>88</v>
      </c>
      <c r="AB630" s="626">
        <v>77.02</v>
      </c>
      <c r="AC630" s="626" t="s">
        <v>78</v>
      </c>
      <c r="AJ630" s="622">
        <v>416</v>
      </c>
      <c r="AK630" s="625" t="s">
        <v>86</v>
      </c>
      <c r="AP630" s="1837"/>
      <c r="AQ630" s="1837"/>
      <c r="AZ630" s="622">
        <v>207</v>
      </c>
      <c r="BA630" s="622" t="s">
        <v>89</v>
      </c>
      <c r="BF630" s="1837"/>
      <c r="BG630" s="1837"/>
      <c r="BI630" s="1365"/>
      <c r="BJ630" s="1365"/>
      <c r="BK630" s="1365"/>
      <c r="BL630" s="1365"/>
      <c r="BM630" s="1365"/>
      <c r="BN630" s="1365"/>
      <c r="BO630" s="1365"/>
      <c r="BP630" s="1365"/>
      <c r="BQ630" s="1365"/>
      <c r="BR630" s="1365"/>
      <c r="BS630" s="1365"/>
    </row>
    <row r="631" spans="6:71">
      <c r="F631" s="622">
        <v>314.06</v>
      </c>
      <c r="G631" s="625" t="s">
        <v>88</v>
      </c>
      <c r="L631" s="626">
        <v>9616.01</v>
      </c>
      <c r="M631" s="626" t="s">
        <v>62</v>
      </c>
      <c r="V631" s="622">
        <v>329.01</v>
      </c>
      <c r="W631" s="625" t="s">
        <v>88</v>
      </c>
      <c r="AB631" s="626">
        <v>77.040000000000006</v>
      </c>
      <c r="AC631" s="626" t="s">
        <v>78</v>
      </c>
      <c r="AJ631" s="622">
        <v>418</v>
      </c>
      <c r="AK631" s="625" t="s">
        <v>86</v>
      </c>
      <c r="AP631" s="1837"/>
      <c r="AQ631" s="1837"/>
      <c r="AZ631" s="622">
        <v>207.01</v>
      </c>
      <c r="BA631" s="625" t="s">
        <v>54</v>
      </c>
      <c r="BF631" s="1837"/>
      <c r="BG631" s="1837"/>
      <c r="BI631" s="1365"/>
      <c r="BJ631" s="1365"/>
      <c r="BK631" s="1365"/>
      <c r="BL631" s="1365"/>
      <c r="BM631" s="1365"/>
      <c r="BN631" s="1365"/>
      <c r="BO631" s="1365"/>
      <c r="BP631" s="1365"/>
      <c r="BQ631" s="1365"/>
      <c r="BR631" s="1365"/>
      <c r="BS631" s="1365"/>
    </row>
    <row r="632" spans="6:71">
      <c r="F632" s="622">
        <v>314.08</v>
      </c>
      <c r="G632" s="625" t="s">
        <v>88</v>
      </c>
      <c r="L632" s="626">
        <v>9616.02</v>
      </c>
      <c r="M632" s="626" t="s">
        <v>62</v>
      </c>
      <c r="V632" s="622">
        <v>330.08</v>
      </c>
      <c r="W632" s="625" t="s">
        <v>88</v>
      </c>
      <c r="AB632" s="626">
        <v>77.05</v>
      </c>
      <c r="AC632" s="626" t="s">
        <v>78</v>
      </c>
      <c r="AJ632" s="622">
        <v>419</v>
      </c>
      <c r="AK632" s="625" t="s">
        <v>86</v>
      </c>
      <c r="AP632" s="1837"/>
      <c r="AQ632" s="1837"/>
      <c r="AZ632" s="622">
        <v>207.02</v>
      </c>
      <c r="BA632" s="625" t="s">
        <v>54</v>
      </c>
      <c r="BF632" s="1837"/>
      <c r="BG632" s="1837"/>
      <c r="BI632" s="1365"/>
      <c r="BJ632" s="1365"/>
      <c r="BK632" s="1365"/>
      <c r="BL632" s="1365"/>
      <c r="BM632" s="1365"/>
      <c r="BN632" s="1365"/>
      <c r="BO632" s="1365"/>
      <c r="BP632" s="1365"/>
      <c r="BQ632" s="1365"/>
      <c r="BR632" s="1365"/>
      <c r="BS632" s="1365"/>
    </row>
    <row r="633" spans="6:71">
      <c r="F633" s="622">
        <v>317.02999999999997</v>
      </c>
      <c r="G633" s="625" t="s">
        <v>88</v>
      </c>
      <c r="L633" s="626">
        <v>5</v>
      </c>
      <c r="M633" s="626" t="s">
        <v>63</v>
      </c>
      <c r="V633" s="622">
        <v>330.09</v>
      </c>
      <c r="W633" s="625" t="s">
        <v>88</v>
      </c>
      <c r="AB633" s="626">
        <v>77.05</v>
      </c>
      <c r="AC633" s="626" t="s">
        <v>87</v>
      </c>
      <c r="AJ633" s="622">
        <v>420</v>
      </c>
      <c r="AK633" s="625" t="s">
        <v>86</v>
      </c>
      <c r="AP633" s="1837"/>
      <c r="AQ633" s="1837"/>
      <c r="AZ633" s="622">
        <v>208</v>
      </c>
      <c r="BA633" s="622" t="s">
        <v>89</v>
      </c>
      <c r="BF633" s="1837"/>
      <c r="BG633" s="1837"/>
      <c r="BI633" s="1365"/>
      <c r="BJ633" s="1365"/>
      <c r="BK633" s="1365"/>
      <c r="BL633" s="1365"/>
      <c r="BM633" s="1365"/>
      <c r="BN633" s="1365"/>
      <c r="BO633" s="1365"/>
      <c r="BP633" s="1365"/>
      <c r="BQ633" s="1365"/>
      <c r="BR633" s="1365"/>
      <c r="BS633" s="1365"/>
    </row>
    <row r="634" spans="6:71">
      <c r="F634" s="622">
        <v>318.06</v>
      </c>
      <c r="G634" s="625" t="s">
        <v>88</v>
      </c>
      <c r="L634" s="626">
        <v>11</v>
      </c>
      <c r="M634" s="626" t="s">
        <v>63</v>
      </c>
      <c r="V634" s="622">
        <v>330.12</v>
      </c>
      <c r="W634" s="625" t="s">
        <v>88</v>
      </c>
      <c r="AB634" s="626">
        <v>77.099999999999994</v>
      </c>
      <c r="AC634" s="626" t="s">
        <v>87</v>
      </c>
      <c r="AJ634" s="622">
        <v>421</v>
      </c>
      <c r="AK634" s="625" t="s">
        <v>86</v>
      </c>
      <c r="AP634" s="1837"/>
      <c r="AQ634" s="1837"/>
      <c r="AZ634" s="622">
        <v>208.01</v>
      </c>
      <c r="BA634" s="625" t="s">
        <v>70</v>
      </c>
      <c r="BF634" s="1837"/>
      <c r="BG634" s="1837"/>
      <c r="BI634" s="1365"/>
      <c r="BJ634" s="1365"/>
      <c r="BK634" s="1365"/>
      <c r="BL634" s="1365"/>
      <c r="BM634" s="1365"/>
      <c r="BN634" s="1365"/>
      <c r="BO634" s="1365"/>
      <c r="BP634" s="1365"/>
      <c r="BQ634" s="1365"/>
      <c r="BR634" s="1365"/>
      <c r="BS634" s="1365"/>
    </row>
    <row r="635" spans="6:71">
      <c r="F635" s="622">
        <v>318.07</v>
      </c>
      <c r="G635" s="625" t="s">
        <v>88</v>
      </c>
      <c r="L635" s="626">
        <v>15</v>
      </c>
      <c r="M635" s="626" t="s">
        <v>63</v>
      </c>
      <c r="V635" s="622">
        <v>330.13</v>
      </c>
      <c r="W635" s="625" t="s">
        <v>88</v>
      </c>
      <c r="AB635" s="626">
        <v>77.13</v>
      </c>
      <c r="AC635" s="626" t="s">
        <v>87</v>
      </c>
      <c r="AJ635" s="622">
        <v>422.02</v>
      </c>
      <c r="AK635" s="625" t="s">
        <v>86</v>
      </c>
      <c r="AP635" s="1837"/>
      <c r="AQ635" s="1837"/>
      <c r="AZ635" s="622">
        <v>208.02</v>
      </c>
      <c r="BA635" s="625" t="s">
        <v>70</v>
      </c>
      <c r="BF635" s="1837"/>
      <c r="BG635" s="1837"/>
      <c r="BI635" s="1365"/>
      <c r="BJ635" s="1365"/>
      <c r="BK635" s="1365"/>
      <c r="BL635" s="1365"/>
      <c r="BM635" s="1365"/>
      <c r="BN635" s="1365"/>
      <c r="BO635" s="1365"/>
      <c r="BP635" s="1365"/>
      <c r="BQ635" s="1365"/>
      <c r="BR635" s="1365"/>
      <c r="BS635" s="1365"/>
    </row>
    <row r="636" spans="6:71">
      <c r="F636" s="622">
        <v>318.08999999999997</v>
      </c>
      <c r="G636" s="625" t="s">
        <v>88</v>
      </c>
      <c r="L636" s="626">
        <v>16</v>
      </c>
      <c r="M636" s="626" t="s">
        <v>63</v>
      </c>
      <c r="V636" s="622">
        <v>330.14</v>
      </c>
      <c r="W636" s="625" t="s">
        <v>88</v>
      </c>
      <c r="AB636" s="626">
        <v>77.209999999999994</v>
      </c>
      <c r="AC636" s="626" t="s">
        <v>87</v>
      </c>
      <c r="AJ636" s="622">
        <v>423</v>
      </c>
      <c r="AK636" s="625" t="s">
        <v>86</v>
      </c>
      <c r="AP636" s="1837"/>
      <c r="AQ636" s="1837"/>
      <c r="AZ636" s="622">
        <v>210.02</v>
      </c>
      <c r="BA636" s="622" t="s">
        <v>93</v>
      </c>
      <c r="BF636" s="1837"/>
      <c r="BG636" s="1837"/>
      <c r="BI636" s="1365"/>
      <c r="BJ636" s="1365"/>
      <c r="BK636" s="1365"/>
      <c r="BL636" s="1365"/>
      <c r="BM636" s="1365"/>
      <c r="BN636" s="1365"/>
      <c r="BO636" s="1365"/>
      <c r="BP636" s="1365"/>
      <c r="BQ636" s="1365"/>
      <c r="BR636" s="1365"/>
      <c r="BS636" s="1365"/>
    </row>
    <row r="637" spans="6:71">
      <c r="F637" s="622">
        <v>324.02</v>
      </c>
      <c r="G637" s="625" t="s">
        <v>88</v>
      </c>
      <c r="L637" s="626">
        <v>17</v>
      </c>
      <c r="M637" s="626" t="s">
        <v>63</v>
      </c>
      <c r="V637" s="622">
        <v>401.09</v>
      </c>
      <c r="W637" s="625" t="s">
        <v>70</v>
      </c>
      <c r="AB637" s="626">
        <v>77.23</v>
      </c>
      <c r="AC637" s="626" t="s">
        <v>87</v>
      </c>
      <c r="AJ637" s="622">
        <v>427.02</v>
      </c>
      <c r="AK637" s="625" t="s">
        <v>86</v>
      </c>
      <c r="AP637" s="1837"/>
      <c r="AQ637" s="1837"/>
      <c r="AZ637" s="622">
        <v>212</v>
      </c>
      <c r="BA637" s="622" t="s">
        <v>89</v>
      </c>
      <c r="BF637" s="1837"/>
      <c r="BG637" s="1837"/>
      <c r="BI637" s="1365"/>
      <c r="BJ637" s="1365"/>
      <c r="BK637" s="1365"/>
      <c r="BL637" s="1365"/>
      <c r="BM637" s="1365"/>
      <c r="BN637" s="1365"/>
      <c r="BO637" s="1365"/>
      <c r="BP637" s="1365"/>
      <c r="BQ637" s="1365"/>
      <c r="BR637" s="1365"/>
      <c r="BS637" s="1365"/>
    </row>
    <row r="638" spans="6:71">
      <c r="F638" s="622">
        <v>326.01</v>
      </c>
      <c r="G638" s="625" t="s">
        <v>88</v>
      </c>
      <c r="L638" s="626">
        <v>22</v>
      </c>
      <c r="M638" s="626" t="s">
        <v>63</v>
      </c>
      <c r="V638" s="622">
        <v>401.22</v>
      </c>
      <c r="W638" s="625" t="s">
        <v>70</v>
      </c>
      <c r="AB638" s="626">
        <v>77.239999999999995</v>
      </c>
      <c r="AC638" s="626" t="s">
        <v>87</v>
      </c>
      <c r="AJ638" s="622">
        <v>434</v>
      </c>
      <c r="AK638" s="625" t="s">
        <v>86</v>
      </c>
      <c r="AP638" s="1837"/>
      <c r="AQ638" s="1837"/>
      <c r="AZ638" s="622">
        <v>216</v>
      </c>
      <c r="BA638" s="625" t="s">
        <v>89</v>
      </c>
      <c r="BF638" s="1837"/>
      <c r="BG638" s="1837"/>
      <c r="BI638" s="1365"/>
      <c r="BJ638" s="1365"/>
      <c r="BK638" s="1365"/>
      <c r="BL638" s="1365"/>
      <c r="BM638" s="1365"/>
      <c r="BN638" s="1365"/>
      <c r="BO638" s="1365"/>
      <c r="BP638" s="1365"/>
      <c r="BQ638" s="1365"/>
      <c r="BR638" s="1365"/>
      <c r="BS638" s="1365"/>
    </row>
    <row r="639" spans="6:71">
      <c r="F639" s="622">
        <v>326.02</v>
      </c>
      <c r="G639" s="625" t="s">
        <v>88</v>
      </c>
      <c r="L639" s="626">
        <v>23</v>
      </c>
      <c r="M639" s="626" t="s">
        <v>63</v>
      </c>
      <c r="V639" s="622">
        <v>403.04</v>
      </c>
      <c r="W639" s="625" t="s">
        <v>70</v>
      </c>
      <c r="AB639" s="626">
        <v>77.25</v>
      </c>
      <c r="AC639" s="626" t="s">
        <v>87</v>
      </c>
      <c r="AJ639" s="622">
        <v>13.01</v>
      </c>
      <c r="AK639" s="625" t="s">
        <v>87</v>
      </c>
      <c r="AP639" s="1837"/>
      <c r="AQ639" s="1837"/>
      <c r="AZ639" s="622">
        <v>220.01</v>
      </c>
      <c r="BA639" s="622" t="s">
        <v>97</v>
      </c>
      <c r="BF639" s="1837"/>
      <c r="BG639" s="1837"/>
      <c r="BI639" s="1365"/>
      <c r="BJ639" s="1365"/>
      <c r="BK639" s="1365"/>
      <c r="BL639" s="1365"/>
      <c r="BM639" s="1365"/>
      <c r="BN639" s="1365"/>
      <c r="BO639" s="1365"/>
      <c r="BP639" s="1365"/>
      <c r="BQ639" s="1365"/>
      <c r="BR639" s="1365"/>
      <c r="BS639" s="1365"/>
    </row>
    <row r="640" spans="6:71">
      <c r="F640" s="622">
        <v>328.04</v>
      </c>
      <c r="G640" s="625" t="s">
        <v>88</v>
      </c>
      <c r="L640" s="626">
        <v>28</v>
      </c>
      <c r="M640" s="626" t="s">
        <v>63</v>
      </c>
      <c r="V640" s="622">
        <v>403.05</v>
      </c>
      <c r="W640" s="625" t="s">
        <v>70</v>
      </c>
      <c r="AB640" s="626">
        <v>77.3</v>
      </c>
      <c r="AC640" s="626" t="s">
        <v>87</v>
      </c>
      <c r="AJ640" s="622">
        <v>13.02</v>
      </c>
      <c r="AK640" s="625" t="s">
        <v>87</v>
      </c>
      <c r="AP640" s="1837"/>
      <c r="AQ640" s="1837"/>
      <c r="AZ640" s="622">
        <v>221.01</v>
      </c>
      <c r="BA640" s="622" t="s">
        <v>97</v>
      </c>
      <c r="BF640" s="1837"/>
      <c r="BG640" s="1837"/>
      <c r="BI640" s="1365"/>
      <c r="BJ640" s="1365"/>
      <c r="BK640" s="1365"/>
      <c r="BL640" s="1365"/>
      <c r="BM640" s="1365"/>
      <c r="BN640" s="1365"/>
      <c r="BO640" s="1365"/>
      <c r="BP640" s="1365"/>
      <c r="BQ640" s="1365"/>
      <c r="BR640" s="1365"/>
      <c r="BS640" s="1365"/>
    </row>
    <row r="641" spans="6:71">
      <c r="F641" s="622">
        <v>329.01</v>
      </c>
      <c r="G641" s="625" t="s">
        <v>88</v>
      </c>
      <c r="L641" s="626">
        <v>46</v>
      </c>
      <c r="M641" s="626" t="s">
        <v>63</v>
      </c>
      <c r="V641" s="622">
        <v>403.08</v>
      </c>
      <c r="W641" s="625" t="s">
        <v>70</v>
      </c>
      <c r="AB641" s="626">
        <v>77.31</v>
      </c>
      <c r="AC641" s="626" t="s">
        <v>87</v>
      </c>
      <c r="AJ641" s="622">
        <v>14.02</v>
      </c>
      <c r="AK641" s="625" t="s">
        <v>87</v>
      </c>
      <c r="AP641" s="1837"/>
      <c r="AQ641" s="1837"/>
      <c r="AZ641" s="622">
        <v>226</v>
      </c>
      <c r="BA641" s="625" t="s">
        <v>83</v>
      </c>
      <c r="BF641" s="1837"/>
      <c r="BG641" s="1837"/>
      <c r="BI641" s="1365"/>
      <c r="BJ641" s="1365"/>
      <c r="BK641" s="1365"/>
      <c r="BL641" s="1365"/>
      <c r="BM641" s="1365"/>
      <c r="BN641" s="1365"/>
      <c r="BO641" s="1365"/>
      <c r="BP641" s="1365"/>
      <c r="BQ641" s="1365"/>
      <c r="BR641" s="1365"/>
      <c r="BS641" s="1365"/>
    </row>
    <row r="642" spans="6:71">
      <c r="F642" s="622">
        <v>330.08</v>
      </c>
      <c r="G642" s="625" t="s">
        <v>88</v>
      </c>
      <c r="L642" s="626">
        <v>47</v>
      </c>
      <c r="M642" s="626" t="s">
        <v>63</v>
      </c>
      <c r="V642" s="622">
        <v>403.11</v>
      </c>
      <c r="W642" s="625" t="s">
        <v>70</v>
      </c>
      <c r="AB642" s="626">
        <v>77.33</v>
      </c>
      <c r="AC642" s="626" t="s">
        <v>87</v>
      </c>
      <c r="AJ642" s="622">
        <v>14.03</v>
      </c>
      <c r="AK642" s="625" t="s">
        <v>87</v>
      </c>
      <c r="AP642" s="1837"/>
      <c r="AQ642" s="1837"/>
      <c r="AZ642" s="622">
        <v>228</v>
      </c>
      <c r="BA642" s="622" t="s">
        <v>83</v>
      </c>
      <c r="BF642" s="1837"/>
      <c r="BG642" s="1837"/>
      <c r="BI642" s="1365"/>
      <c r="BJ642" s="1365"/>
      <c r="BK642" s="1365"/>
      <c r="BL642" s="1365"/>
      <c r="BM642" s="1365"/>
      <c r="BN642" s="1365"/>
      <c r="BO642" s="1365"/>
      <c r="BP642" s="1365"/>
      <c r="BQ642" s="1365"/>
      <c r="BR642" s="1365"/>
      <c r="BS642" s="1365"/>
    </row>
    <row r="643" spans="6:71">
      <c r="F643" s="622">
        <v>330.09</v>
      </c>
      <c r="G643" s="625" t="s">
        <v>88</v>
      </c>
      <c r="L643" s="626">
        <v>49</v>
      </c>
      <c r="M643" s="626" t="s">
        <v>63</v>
      </c>
      <c r="V643" s="622">
        <v>404</v>
      </c>
      <c r="W643" s="625" t="s">
        <v>61</v>
      </c>
      <c r="AB643" s="626">
        <v>77.34</v>
      </c>
      <c r="AC643" s="626" t="s">
        <v>87</v>
      </c>
      <c r="AJ643" s="622">
        <v>14.04</v>
      </c>
      <c r="AK643" s="625" t="s">
        <v>87</v>
      </c>
      <c r="AP643" s="1837"/>
      <c r="AQ643" s="1837"/>
      <c r="AZ643" s="622">
        <v>245.1</v>
      </c>
      <c r="BA643" s="622" t="s">
        <v>89</v>
      </c>
      <c r="BF643" s="1837"/>
      <c r="BG643" s="1837"/>
      <c r="BI643" s="1365"/>
      <c r="BJ643" s="1365"/>
      <c r="BK643" s="1365"/>
      <c r="BL643" s="1365"/>
      <c r="BM643" s="1365"/>
      <c r="BN643" s="1365"/>
      <c r="BO643" s="1365"/>
      <c r="BP643" s="1365"/>
      <c r="BQ643" s="1365"/>
      <c r="BR643" s="1365"/>
      <c r="BS643" s="1365"/>
    </row>
    <row r="644" spans="6:71">
      <c r="F644" s="622">
        <v>330.12</v>
      </c>
      <c r="G644" s="625" t="s">
        <v>88</v>
      </c>
      <c r="L644" s="626">
        <v>51.01</v>
      </c>
      <c r="M644" s="626" t="s">
        <v>63</v>
      </c>
      <c r="V644" s="622">
        <v>405.01</v>
      </c>
      <c r="W644" s="625" t="s">
        <v>61</v>
      </c>
      <c r="AB644" s="626">
        <v>77.349999999999994</v>
      </c>
      <c r="AC644" s="626" t="s">
        <v>87</v>
      </c>
      <c r="AJ644" s="622">
        <v>16</v>
      </c>
      <c r="AK644" s="625" t="s">
        <v>87</v>
      </c>
      <c r="AP644" s="1837"/>
      <c r="AQ644" s="1837"/>
      <c r="AZ644" s="622">
        <v>246.03</v>
      </c>
      <c r="BA644" s="622" t="s">
        <v>89</v>
      </c>
      <c r="BF644" s="1837"/>
      <c r="BG644" s="1837"/>
      <c r="BI644" s="1365"/>
      <c r="BJ644" s="1365"/>
      <c r="BK644" s="1365"/>
      <c r="BL644" s="1365"/>
      <c r="BM644" s="1365"/>
      <c r="BN644" s="1365"/>
      <c r="BO644" s="1365"/>
      <c r="BP644" s="1365"/>
      <c r="BQ644" s="1365"/>
      <c r="BR644" s="1365"/>
      <c r="BS644" s="1365"/>
    </row>
    <row r="645" spans="6:71">
      <c r="F645" s="622">
        <v>330.13</v>
      </c>
      <c r="G645" s="625" t="s">
        <v>88</v>
      </c>
      <c r="L645" s="626">
        <v>51.02</v>
      </c>
      <c r="M645" s="626" t="s">
        <v>63</v>
      </c>
      <c r="V645" s="622">
        <v>405.02</v>
      </c>
      <c r="W645" s="625" t="s">
        <v>61</v>
      </c>
      <c r="AB645" s="626">
        <v>77.36</v>
      </c>
      <c r="AC645" s="626" t="s">
        <v>87</v>
      </c>
      <c r="AJ645" s="622">
        <v>19.09</v>
      </c>
      <c r="AK645" s="625" t="s">
        <v>87</v>
      </c>
      <c r="AP645" s="1837"/>
      <c r="AQ645" s="1837"/>
      <c r="AZ645" s="622">
        <v>246.04</v>
      </c>
      <c r="BA645" s="625" t="s">
        <v>89</v>
      </c>
      <c r="BF645" s="1837"/>
      <c r="BG645" s="1837"/>
      <c r="BI645" s="1365"/>
      <c r="BJ645" s="1365"/>
      <c r="BK645" s="1365"/>
      <c r="BL645" s="1365"/>
      <c r="BM645" s="1365"/>
      <c r="BN645" s="1365"/>
      <c r="BO645" s="1365"/>
      <c r="BP645" s="1365"/>
      <c r="BQ645" s="1365"/>
      <c r="BR645" s="1365"/>
      <c r="BS645" s="1365"/>
    </row>
    <row r="646" spans="6:71">
      <c r="F646" s="622">
        <v>330.14</v>
      </c>
      <c r="G646" s="625" t="s">
        <v>88</v>
      </c>
      <c r="L646" s="626">
        <v>53.01</v>
      </c>
      <c r="M646" s="626" t="s">
        <v>63</v>
      </c>
      <c r="V646" s="622">
        <v>408.01</v>
      </c>
      <c r="W646" s="622" t="s">
        <v>36</v>
      </c>
      <c r="AB646" s="626">
        <v>77.400000000000006</v>
      </c>
      <c r="AC646" s="626" t="s">
        <v>87</v>
      </c>
      <c r="AJ646" s="622">
        <v>19.100000000000001</v>
      </c>
      <c r="AK646" s="625" t="s">
        <v>87</v>
      </c>
      <c r="AP646" s="1837"/>
      <c r="AQ646" s="1837"/>
      <c r="AZ646" s="622">
        <v>247.01</v>
      </c>
      <c r="BA646" s="622" t="s">
        <v>89</v>
      </c>
      <c r="BF646" s="1837"/>
      <c r="BG646" s="1837"/>
      <c r="BI646" s="1365"/>
      <c r="BJ646" s="1365"/>
      <c r="BK646" s="1365"/>
      <c r="BL646" s="1365"/>
      <c r="BM646" s="1365"/>
      <c r="BN646" s="1365"/>
      <c r="BO646" s="1365"/>
      <c r="BP646" s="1365"/>
      <c r="BQ646" s="1365"/>
      <c r="BR646" s="1365"/>
      <c r="BS646" s="1365"/>
    </row>
    <row r="647" spans="6:71">
      <c r="F647" s="622">
        <v>201.01</v>
      </c>
      <c r="G647" s="625" t="s">
        <v>89</v>
      </c>
      <c r="L647" s="626">
        <v>54.01</v>
      </c>
      <c r="M647" s="626" t="s">
        <v>63</v>
      </c>
      <c r="V647" s="622">
        <v>409.01</v>
      </c>
      <c r="W647" s="622" t="s">
        <v>36</v>
      </c>
      <c r="AB647" s="626">
        <v>77.430000000000007</v>
      </c>
      <c r="AC647" s="626" t="s">
        <v>87</v>
      </c>
      <c r="AJ647" s="622">
        <v>19.11</v>
      </c>
      <c r="AK647" s="625" t="s">
        <v>87</v>
      </c>
      <c r="AP647" s="1837"/>
      <c r="AQ647" s="1837"/>
      <c r="AZ647" s="622">
        <v>248.04</v>
      </c>
      <c r="BA647" s="625" t="s">
        <v>89</v>
      </c>
      <c r="BF647" s="1837"/>
      <c r="BG647" s="1837"/>
      <c r="BI647" s="1365"/>
      <c r="BJ647" s="1365"/>
      <c r="BK647" s="1365"/>
      <c r="BL647" s="1365"/>
      <c r="BM647" s="1365"/>
      <c r="BN647" s="1365"/>
      <c r="BO647" s="1365"/>
      <c r="BP647" s="1365"/>
      <c r="BQ647" s="1365"/>
      <c r="BR647" s="1365"/>
      <c r="BS647" s="1365"/>
    </row>
    <row r="648" spans="6:71">
      <c r="F648" s="622">
        <v>205</v>
      </c>
      <c r="G648" s="625" t="s">
        <v>89</v>
      </c>
      <c r="L648" s="626">
        <v>55</v>
      </c>
      <c r="M648" s="626" t="s">
        <v>63</v>
      </c>
      <c r="V648" s="622">
        <v>409.02</v>
      </c>
      <c r="W648" s="622" t="s">
        <v>36</v>
      </c>
      <c r="AB648" s="626">
        <v>77.48</v>
      </c>
      <c r="AC648" s="626" t="s">
        <v>87</v>
      </c>
      <c r="AJ648" s="622">
        <v>19.12</v>
      </c>
      <c r="AK648" s="625" t="s">
        <v>87</v>
      </c>
      <c r="AP648" s="1837"/>
      <c r="AQ648" s="1837"/>
      <c r="AZ648" s="622">
        <v>250.17</v>
      </c>
      <c r="BA648" s="622" t="s">
        <v>89</v>
      </c>
      <c r="BF648" s="1837"/>
      <c r="BG648" s="1837"/>
      <c r="BI648" s="1365"/>
      <c r="BJ648" s="1365"/>
      <c r="BK648" s="1365"/>
      <c r="BL648" s="1365"/>
      <c r="BM648" s="1365"/>
      <c r="BN648" s="1365"/>
      <c r="BO648" s="1365"/>
      <c r="BP648" s="1365"/>
      <c r="BQ648" s="1365"/>
      <c r="BR648" s="1365"/>
      <c r="BS648" s="1365"/>
    </row>
    <row r="649" spans="6:71">
      <c r="F649" s="622">
        <v>206</v>
      </c>
      <c r="G649" s="625" t="s">
        <v>89</v>
      </c>
      <c r="L649" s="626">
        <v>57</v>
      </c>
      <c r="M649" s="626" t="s">
        <v>63</v>
      </c>
      <c r="V649" s="622">
        <v>409.02</v>
      </c>
      <c r="W649" s="625" t="s">
        <v>86</v>
      </c>
      <c r="AB649" s="626">
        <v>77.489999999999995</v>
      </c>
      <c r="AC649" s="626" t="s">
        <v>87</v>
      </c>
      <c r="AJ649" s="622">
        <v>21</v>
      </c>
      <c r="AK649" s="625" t="s">
        <v>87</v>
      </c>
      <c r="AP649" s="1837"/>
      <c r="AQ649" s="1837"/>
      <c r="AZ649" s="622">
        <v>251.15</v>
      </c>
      <c r="BA649" s="622" t="s">
        <v>89</v>
      </c>
      <c r="BF649" s="1837"/>
      <c r="BG649" s="1837"/>
      <c r="BI649" s="1365"/>
      <c r="BJ649" s="1365"/>
      <c r="BK649" s="1365"/>
      <c r="BL649" s="1365"/>
      <c r="BM649" s="1365"/>
      <c r="BN649" s="1365"/>
      <c r="BO649" s="1365"/>
      <c r="BP649" s="1365"/>
      <c r="BQ649" s="1365"/>
      <c r="BR649" s="1365"/>
      <c r="BS649" s="1365"/>
    </row>
    <row r="650" spans="6:71">
      <c r="F650" s="622">
        <v>207</v>
      </c>
      <c r="G650" s="625" t="s">
        <v>89</v>
      </c>
      <c r="L650" s="626">
        <v>58</v>
      </c>
      <c r="M650" s="626" t="s">
        <v>63</v>
      </c>
      <c r="V650" s="622">
        <v>410</v>
      </c>
      <c r="W650" s="622" t="s">
        <v>36</v>
      </c>
      <c r="AB650" s="626">
        <v>77.510000000000005</v>
      </c>
      <c r="AC650" s="626" t="s">
        <v>87</v>
      </c>
      <c r="AJ650" s="622">
        <v>22</v>
      </c>
      <c r="AK650" s="625" t="s">
        <v>87</v>
      </c>
      <c r="AP650" s="1837"/>
      <c r="AQ650" s="1837"/>
      <c r="AZ650" s="622">
        <v>253.05</v>
      </c>
      <c r="BA650" s="622" t="s">
        <v>89</v>
      </c>
      <c r="BF650" s="1837"/>
      <c r="BG650" s="1837"/>
      <c r="BI650" s="1365"/>
      <c r="BJ650" s="1365"/>
      <c r="BK650" s="1365"/>
      <c r="BL650" s="1365"/>
      <c r="BM650" s="1365"/>
      <c r="BN650" s="1365"/>
      <c r="BO650" s="1365"/>
      <c r="BP650" s="1365"/>
      <c r="BQ650" s="1365"/>
      <c r="BR650" s="1365"/>
      <c r="BS650" s="1365"/>
    </row>
    <row r="651" spans="6:71">
      <c r="F651" s="622">
        <v>208</v>
      </c>
      <c r="G651" s="625" t="s">
        <v>89</v>
      </c>
      <c r="L651" s="626">
        <v>59</v>
      </c>
      <c r="M651" s="626" t="s">
        <v>63</v>
      </c>
      <c r="V651" s="622">
        <v>412</v>
      </c>
      <c r="W651" s="622" t="s">
        <v>36</v>
      </c>
      <c r="AB651" s="626">
        <v>77.52</v>
      </c>
      <c r="AC651" s="626" t="s">
        <v>87</v>
      </c>
      <c r="AJ651" s="622">
        <v>24</v>
      </c>
      <c r="AK651" s="625" t="s">
        <v>87</v>
      </c>
      <c r="AP651" s="1837"/>
      <c r="AQ651" s="1837"/>
      <c r="AZ651" s="622">
        <v>255.05</v>
      </c>
      <c r="BA651" s="625" t="s">
        <v>89</v>
      </c>
      <c r="BF651" s="1837"/>
      <c r="BG651" s="1837"/>
      <c r="BI651" s="1365"/>
      <c r="BJ651" s="1365"/>
      <c r="BK651" s="1365"/>
      <c r="BL651" s="1365"/>
      <c r="BM651" s="1365"/>
      <c r="BN651" s="1365"/>
      <c r="BO651" s="1365"/>
      <c r="BP651" s="1365"/>
      <c r="BQ651" s="1365"/>
      <c r="BR651" s="1365"/>
      <c r="BS651" s="1365"/>
    </row>
    <row r="652" spans="6:71">
      <c r="F652" s="622">
        <v>212</v>
      </c>
      <c r="G652" s="625" t="s">
        <v>89</v>
      </c>
      <c r="L652" s="626">
        <v>60</v>
      </c>
      <c r="M652" s="626" t="s">
        <v>63</v>
      </c>
      <c r="V652" s="622">
        <v>412.04</v>
      </c>
      <c r="W652" s="625" t="s">
        <v>61</v>
      </c>
      <c r="AB652" s="626">
        <v>77.53</v>
      </c>
      <c r="AC652" s="626" t="s">
        <v>87</v>
      </c>
      <c r="AJ652" s="622">
        <v>29</v>
      </c>
      <c r="AK652" s="625" t="s">
        <v>87</v>
      </c>
      <c r="AP652" s="1837"/>
      <c r="AQ652" s="1837"/>
      <c r="AZ652" s="622">
        <v>256.02</v>
      </c>
      <c r="BA652" s="625" t="s">
        <v>89</v>
      </c>
      <c r="BF652" s="1837"/>
      <c r="BG652" s="1837"/>
      <c r="BI652" s="1365"/>
      <c r="BJ652" s="1365"/>
      <c r="BK652" s="1365"/>
      <c r="BL652" s="1365"/>
      <c r="BM652" s="1365"/>
      <c r="BN652" s="1365"/>
      <c r="BO652" s="1365"/>
      <c r="BP652" s="1365"/>
      <c r="BQ652" s="1365"/>
      <c r="BR652" s="1365"/>
      <c r="BS652" s="1365"/>
    </row>
    <row r="653" spans="6:71">
      <c r="F653" s="622">
        <v>216</v>
      </c>
      <c r="G653" s="625" t="s">
        <v>89</v>
      </c>
      <c r="L653" s="626">
        <v>61.01</v>
      </c>
      <c r="M653" s="626" t="s">
        <v>63</v>
      </c>
      <c r="V653" s="622">
        <v>413</v>
      </c>
      <c r="W653" s="622" t="s">
        <v>36</v>
      </c>
      <c r="AB653" s="626">
        <v>77.540000000000006</v>
      </c>
      <c r="AC653" s="626" t="s">
        <v>87</v>
      </c>
      <c r="AJ653" s="622">
        <v>30</v>
      </c>
      <c r="AK653" s="625" t="s">
        <v>87</v>
      </c>
      <c r="AP653" s="1837"/>
      <c r="AQ653" s="1837"/>
      <c r="AZ653" s="622">
        <v>258</v>
      </c>
      <c r="BA653" s="625" t="s">
        <v>89</v>
      </c>
      <c r="BF653" s="1837"/>
      <c r="BG653" s="1837"/>
      <c r="BI653" s="1365"/>
      <c r="BJ653" s="1365"/>
      <c r="BK653" s="1365"/>
      <c r="BL653" s="1365"/>
      <c r="BM653" s="1365"/>
      <c r="BN653" s="1365"/>
      <c r="BO653" s="1365"/>
      <c r="BP653" s="1365"/>
      <c r="BQ653" s="1365"/>
      <c r="BR653" s="1365"/>
      <c r="BS653" s="1365"/>
    </row>
    <row r="654" spans="6:71">
      <c r="F654" s="622">
        <v>220</v>
      </c>
      <c r="G654" s="625" t="s">
        <v>89</v>
      </c>
      <c r="L654" s="626">
        <v>61.03</v>
      </c>
      <c r="M654" s="626" t="s">
        <v>63</v>
      </c>
      <c r="V654" s="622">
        <v>414</v>
      </c>
      <c r="W654" s="622" t="s">
        <v>36</v>
      </c>
      <c r="AB654" s="626">
        <v>77.56</v>
      </c>
      <c r="AC654" s="626" t="s">
        <v>87</v>
      </c>
      <c r="AJ654" s="622">
        <v>31.02</v>
      </c>
      <c r="AK654" s="625" t="s">
        <v>87</v>
      </c>
      <c r="AP654" s="1837"/>
      <c r="AQ654" s="1837"/>
      <c r="AZ654" s="622">
        <v>259.01</v>
      </c>
      <c r="BA654" s="625" t="s">
        <v>89</v>
      </c>
      <c r="BF654" s="1837"/>
      <c r="BG654" s="1837"/>
      <c r="BI654" s="1365"/>
      <c r="BJ654" s="1365"/>
      <c r="BK654" s="1365"/>
      <c r="BL654" s="1365"/>
      <c r="BM654" s="1365"/>
      <c r="BN654" s="1365"/>
      <c r="BO654" s="1365"/>
      <c r="BP654" s="1365"/>
      <c r="BQ654" s="1365"/>
      <c r="BR654" s="1365"/>
      <c r="BS654" s="1365"/>
    </row>
    <row r="655" spans="6:71">
      <c r="F655" s="622">
        <v>245.1</v>
      </c>
      <c r="G655" s="625" t="s">
        <v>89</v>
      </c>
      <c r="L655" s="626">
        <v>62</v>
      </c>
      <c r="M655" s="626" t="s">
        <v>63</v>
      </c>
      <c r="V655" s="622">
        <v>414.01</v>
      </c>
      <c r="W655" s="625" t="s">
        <v>61</v>
      </c>
      <c r="AB655" s="626">
        <v>77.569999999999993</v>
      </c>
      <c r="AC655" s="626" t="s">
        <v>87</v>
      </c>
      <c r="AJ655" s="622">
        <v>40.07</v>
      </c>
      <c r="AK655" s="625" t="s">
        <v>87</v>
      </c>
      <c r="AP655" s="1837"/>
      <c r="AQ655" s="1837"/>
      <c r="AZ655" s="622">
        <v>259.02</v>
      </c>
      <c r="BA655" s="625" t="s">
        <v>89</v>
      </c>
      <c r="BF655" s="1837"/>
      <c r="BG655" s="1837"/>
      <c r="BI655" s="1365"/>
      <c r="BJ655" s="1365"/>
      <c r="BK655" s="1365"/>
      <c r="BL655" s="1365"/>
      <c r="BM655" s="1365"/>
      <c r="BN655" s="1365"/>
      <c r="BO655" s="1365"/>
      <c r="BP655" s="1365"/>
      <c r="BQ655" s="1365"/>
      <c r="BR655" s="1365"/>
      <c r="BS655" s="1365"/>
    </row>
    <row r="656" spans="6:71">
      <c r="F656" s="622">
        <v>245.14</v>
      </c>
      <c r="G656" s="625" t="s">
        <v>89</v>
      </c>
      <c r="L656" s="626">
        <v>63</v>
      </c>
      <c r="M656" s="626" t="s">
        <v>63</v>
      </c>
      <c r="V656" s="622">
        <v>415</v>
      </c>
      <c r="W656" s="622" t="s">
        <v>36</v>
      </c>
      <c r="AB656" s="626">
        <v>77.58</v>
      </c>
      <c r="AC656" s="626" t="s">
        <v>87</v>
      </c>
      <c r="AJ656" s="622">
        <v>40.090000000000003</v>
      </c>
      <c r="AK656" s="625" t="s">
        <v>87</v>
      </c>
      <c r="AP656" s="1837"/>
      <c r="AQ656" s="1837"/>
      <c r="AZ656" s="622">
        <v>261.01</v>
      </c>
      <c r="BA656" s="625" t="s">
        <v>89</v>
      </c>
      <c r="BF656" s="1837"/>
      <c r="BG656" s="1837"/>
      <c r="BI656" s="1365"/>
      <c r="BJ656" s="1365"/>
      <c r="BK656" s="1365"/>
      <c r="BL656" s="1365"/>
      <c r="BM656" s="1365"/>
      <c r="BN656" s="1365"/>
      <c r="BO656" s="1365"/>
      <c r="BP656" s="1365"/>
      <c r="BQ656" s="1365"/>
      <c r="BR656" s="1365"/>
      <c r="BS656" s="1365"/>
    </row>
    <row r="657" spans="6:71">
      <c r="F657" s="622">
        <v>246.02</v>
      </c>
      <c r="G657" s="625" t="s">
        <v>89</v>
      </c>
      <c r="L657" s="626">
        <v>64</v>
      </c>
      <c r="M657" s="626" t="s">
        <v>63</v>
      </c>
      <c r="V657" s="622">
        <v>416</v>
      </c>
      <c r="W657" s="622" t="s">
        <v>36</v>
      </c>
      <c r="AB657" s="626">
        <v>77.59</v>
      </c>
      <c r="AC657" s="626" t="s">
        <v>87</v>
      </c>
      <c r="AJ657" s="622">
        <v>40.130000000000003</v>
      </c>
      <c r="AK657" s="625" t="s">
        <v>87</v>
      </c>
      <c r="AP657" s="1837"/>
      <c r="AQ657" s="1837"/>
      <c r="AZ657" s="622">
        <v>262</v>
      </c>
      <c r="BA657" s="622" t="s">
        <v>89</v>
      </c>
      <c r="BF657" s="1837"/>
      <c r="BG657" s="1837"/>
      <c r="BI657" s="1365"/>
      <c r="BJ657" s="1365"/>
      <c r="BK657" s="1365"/>
      <c r="BL657" s="1365"/>
      <c r="BM657" s="1365"/>
      <c r="BN657" s="1365"/>
      <c r="BO657" s="1365"/>
      <c r="BP657" s="1365"/>
      <c r="BQ657" s="1365"/>
      <c r="BR657" s="1365"/>
      <c r="BS657" s="1365"/>
    </row>
    <row r="658" spans="6:71">
      <c r="F658" s="622">
        <v>247.01</v>
      </c>
      <c r="G658" s="625" t="s">
        <v>89</v>
      </c>
      <c r="L658" s="626">
        <v>65.010000000000005</v>
      </c>
      <c r="M658" s="626" t="s">
        <v>63</v>
      </c>
      <c r="V658" s="622">
        <v>416</v>
      </c>
      <c r="W658" s="625" t="s">
        <v>86</v>
      </c>
      <c r="AB658" s="626">
        <v>77.599999999999994</v>
      </c>
      <c r="AC658" s="626" t="s">
        <v>87</v>
      </c>
      <c r="AJ658" s="622">
        <v>44.02</v>
      </c>
      <c r="AK658" s="625" t="s">
        <v>87</v>
      </c>
      <c r="AP658" s="1837"/>
      <c r="AQ658" s="1837"/>
      <c r="AZ658" s="622">
        <v>263</v>
      </c>
      <c r="BA658" s="625" t="s">
        <v>89</v>
      </c>
      <c r="BF658" s="1837"/>
      <c r="BG658" s="1837"/>
      <c r="BI658" s="1365"/>
      <c r="BJ658" s="1365"/>
      <c r="BK658" s="1365"/>
      <c r="BL658" s="1365"/>
      <c r="BM658" s="1365"/>
      <c r="BN658" s="1365"/>
      <c r="BO658" s="1365"/>
      <c r="BP658" s="1365"/>
      <c r="BQ658" s="1365"/>
      <c r="BR658" s="1365"/>
      <c r="BS658" s="1365"/>
    </row>
    <row r="659" spans="6:71">
      <c r="F659" s="622">
        <v>247.02</v>
      </c>
      <c r="G659" s="625" t="s">
        <v>89</v>
      </c>
      <c r="L659" s="626">
        <v>66</v>
      </c>
      <c r="M659" s="626" t="s">
        <v>63</v>
      </c>
      <c r="V659" s="622">
        <v>417</v>
      </c>
      <c r="W659" s="622" t="s">
        <v>36</v>
      </c>
      <c r="AB659" s="626">
        <v>77.62</v>
      </c>
      <c r="AC659" s="626" t="s">
        <v>87</v>
      </c>
      <c r="AJ659" s="622">
        <v>45</v>
      </c>
      <c r="AK659" s="625" t="s">
        <v>87</v>
      </c>
      <c r="AP659" s="1837"/>
      <c r="AQ659" s="1837"/>
      <c r="AZ659" s="622">
        <v>264.02</v>
      </c>
      <c r="BA659" s="622" t="s">
        <v>89</v>
      </c>
      <c r="BF659" s="1837"/>
      <c r="BG659" s="1837"/>
      <c r="BI659" s="1365"/>
      <c r="BJ659" s="1365"/>
      <c r="BK659" s="1365"/>
      <c r="BL659" s="1365"/>
      <c r="BM659" s="1365"/>
      <c r="BN659" s="1365"/>
      <c r="BO659" s="1365"/>
      <c r="BP659" s="1365"/>
      <c r="BQ659" s="1365"/>
      <c r="BR659" s="1365"/>
      <c r="BS659" s="1365"/>
    </row>
    <row r="660" spans="6:71">
      <c r="F660" s="622">
        <v>248.04</v>
      </c>
      <c r="G660" s="625" t="s">
        <v>89</v>
      </c>
      <c r="L660" s="626">
        <v>67</v>
      </c>
      <c r="M660" s="626" t="s">
        <v>63</v>
      </c>
      <c r="V660" s="622">
        <v>417</v>
      </c>
      <c r="W660" s="625" t="s">
        <v>86</v>
      </c>
      <c r="AB660" s="626">
        <v>77.63</v>
      </c>
      <c r="AC660" s="626" t="s">
        <v>87</v>
      </c>
      <c r="AJ660" s="622">
        <v>46.02</v>
      </c>
      <c r="AK660" s="625" t="s">
        <v>87</v>
      </c>
      <c r="AP660" s="1837"/>
      <c r="AQ660" s="1837"/>
      <c r="AZ660" s="622">
        <v>269.08999999999997</v>
      </c>
      <c r="BA660" s="622" t="s">
        <v>89</v>
      </c>
      <c r="BF660" s="1837"/>
      <c r="BG660" s="1837"/>
      <c r="BI660" s="1365"/>
      <c r="BJ660" s="1365"/>
      <c r="BK660" s="1365"/>
      <c r="BL660" s="1365"/>
      <c r="BM660" s="1365"/>
      <c r="BN660" s="1365"/>
      <c r="BO660" s="1365"/>
      <c r="BP660" s="1365"/>
      <c r="BQ660" s="1365"/>
      <c r="BR660" s="1365"/>
      <c r="BS660" s="1365"/>
    </row>
    <row r="661" spans="6:71">
      <c r="F661" s="622">
        <v>250.17</v>
      </c>
      <c r="G661" s="625" t="s">
        <v>89</v>
      </c>
      <c r="L661" s="626">
        <v>68.010000000000005</v>
      </c>
      <c r="M661" s="626" t="s">
        <v>63</v>
      </c>
      <c r="V661" s="622">
        <v>418</v>
      </c>
      <c r="W661" s="625" t="s">
        <v>86</v>
      </c>
      <c r="AB661" s="626">
        <v>77.64</v>
      </c>
      <c r="AC661" s="626" t="s">
        <v>87</v>
      </c>
      <c r="AJ661" s="622">
        <v>47.04</v>
      </c>
      <c r="AK661" s="625" t="s">
        <v>87</v>
      </c>
      <c r="AP661" s="1837"/>
      <c r="AQ661" s="1837"/>
      <c r="AZ661" s="622">
        <v>271.07</v>
      </c>
      <c r="BA661" s="625" t="s">
        <v>89</v>
      </c>
      <c r="BF661" s="1837"/>
      <c r="BG661" s="1837"/>
      <c r="BI661" s="1365"/>
      <c r="BJ661" s="1365"/>
      <c r="BK661" s="1365"/>
      <c r="BL661" s="1365"/>
      <c r="BM661" s="1365"/>
      <c r="BN661" s="1365"/>
      <c r="BO661" s="1365"/>
      <c r="BP661" s="1365"/>
      <c r="BQ661" s="1365"/>
      <c r="BR661" s="1365"/>
      <c r="BS661" s="1365"/>
    </row>
    <row r="662" spans="6:71">
      <c r="F662" s="622">
        <v>251.15</v>
      </c>
      <c r="G662" s="625" t="s">
        <v>89</v>
      </c>
      <c r="L662" s="626">
        <v>68.02</v>
      </c>
      <c r="M662" s="626" t="s">
        <v>63</v>
      </c>
      <c r="V662" s="622">
        <v>419</v>
      </c>
      <c r="W662" s="625" t="s">
        <v>86</v>
      </c>
      <c r="AB662" s="626">
        <v>77.650000000000006</v>
      </c>
      <c r="AC662" s="626" t="s">
        <v>87</v>
      </c>
      <c r="AJ662" s="622">
        <v>49.03</v>
      </c>
      <c r="AK662" s="625" t="s">
        <v>87</v>
      </c>
      <c r="AP662" s="1837"/>
      <c r="AQ662" s="1837"/>
      <c r="AZ662" s="622">
        <v>271.08</v>
      </c>
      <c r="BA662" s="622" t="s">
        <v>89</v>
      </c>
      <c r="BF662" s="1837"/>
      <c r="BG662" s="1837"/>
      <c r="BI662" s="1365"/>
      <c r="BJ662" s="1365"/>
      <c r="BK662" s="1365"/>
      <c r="BL662" s="1365"/>
      <c r="BM662" s="1365"/>
      <c r="BN662" s="1365"/>
      <c r="BO662" s="1365"/>
      <c r="BP662" s="1365"/>
      <c r="BQ662" s="1365"/>
      <c r="BR662" s="1365"/>
      <c r="BS662" s="1365"/>
    </row>
    <row r="663" spans="6:71">
      <c r="F663" s="622">
        <v>253.05</v>
      </c>
      <c r="G663" s="625" t="s">
        <v>89</v>
      </c>
      <c r="L663" s="626">
        <v>69</v>
      </c>
      <c r="M663" s="626" t="s">
        <v>63</v>
      </c>
      <c r="V663" s="622">
        <v>420</v>
      </c>
      <c r="W663" s="625" t="s">
        <v>86</v>
      </c>
      <c r="AB663" s="626">
        <v>78.010000000000005</v>
      </c>
      <c r="AC663" s="626" t="s">
        <v>78</v>
      </c>
      <c r="AJ663" s="622">
        <v>51.01</v>
      </c>
      <c r="AK663" s="625" t="s">
        <v>87</v>
      </c>
      <c r="AP663" s="1837"/>
      <c r="AQ663" s="1837"/>
      <c r="AZ663" s="622">
        <v>287</v>
      </c>
      <c r="BA663" s="625" t="s">
        <v>89</v>
      </c>
      <c r="BF663" s="1837"/>
      <c r="BG663" s="1837"/>
      <c r="BI663" s="1365"/>
      <c r="BJ663" s="1365"/>
      <c r="BK663" s="1365"/>
      <c r="BL663" s="1365"/>
      <c r="BM663" s="1365"/>
      <c r="BN663" s="1365"/>
      <c r="BO663" s="1365"/>
      <c r="BP663" s="1365"/>
      <c r="BQ663" s="1365"/>
      <c r="BR663" s="1365"/>
      <c r="BS663" s="1365"/>
    </row>
    <row r="664" spans="6:71">
      <c r="F664" s="622">
        <v>255.05</v>
      </c>
      <c r="G664" s="625" t="s">
        <v>89</v>
      </c>
      <c r="L664" s="626">
        <v>71.02</v>
      </c>
      <c r="M664" s="626" t="s">
        <v>63</v>
      </c>
      <c r="V664" s="622">
        <v>421</v>
      </c>
      <c r="W664" s="625" t="s">
        <v>86</v>
      </c>
      <c r="AB664" s="626">
        <v>78.040000000000006</v>
      </c>
      <c r="AC664" s="626" t="s">
        <v>78</v>
      </c>
      <c r="AJ664" s="622">
        <v>51.02</v>
      </c>
      <c r="AK664" s="625" t="s">
        <v>87</v>
      </c>
      <c r="AP664" s="1837"/>
      <c r="AQ664" s="1837"/>
      <c r="AZ664" s="622">
        <v>301.06</v>
      </c>
      <c r="BA664" s="625" t="s">
        <v>69</v>
      </c>
      <c r="BF664" s="1837"/>
      <c r="BG664" s="1837"/>
      <c r="BI664" s="1365"/>
      <c r="BJ664" s="1365"/>
      <c r="BK664" s="1365"/>
      <c r="BL664" s="1365"/>
      <c r="BM664" s="1365"/>
      <c r="BN664" s="1365"/>
      <c r="BO664" s="1365"/>
      <c r="BP664" s="1365"/>
      <c r="BQ664" s="1365"/>
      <c r="BR664" s="1365"/>
      <c r="BS664" s="1365"/>
    </row>
    <row r="665" spans="6:71">
      <c r="F665" s="622">
        <v>256.02</v>
      </c>
      <c r="G665" s="625" t="s">
        <v>89</v>
      </c>
      <c r="L665" s="626">
        <v>71.03</v>
      </c>
      <c r="M665" s="626" t="s">
        <v>63</v>
      </c>
      <c r="V665" s="622">
        <v>422</v>
      </c>
      <c r="W665" s="625" t="s">
        <v>86</v>
      </c>
      <c r="AB665" s="626">
        <v>78.05</v>
      </c>
      <c r="AC665" s="626" t="s">
        <v>78</v>
      </c>
      <c r="AJ665" s="622">
        <v>52.02</v>
      </c>
      <c r="AK665" s="625" t="s">
        <v>87</v>
      </c>
      <c r="AP665" s="1837"/>
      <c r="AQ665" s="1837"/>
      <c r="AZ665" s="622">
        <v>302.02</v>
      </c>
      <c r="BA665" s="625" t="s">
        <v>36</v>
      </c>
      <c r="BF665" s="1837"/>
      <c r="BG665" s="1837"/>
      <c r="BI665" s="1365"/>
      <c r="BJ665" s="1365"/>
      <c r="BK665" s="1365"/>
      <c r="BL665" s="1365"/>
      <c r="BM665" s="1365"/>
      <c r="BN665" s="1365"/>
      <c r="BO665" s="1365"/>
      <c r="BP665" s="1365"/>
      <c r="BQ665" s="1365"/>
      <c r="BR665" s="1365"/>
      <c r="BS665" s="1365"/>
    </row>
    <row r="666" spans="6:71">
      <c r="F666" s="622">
        <v>258</v>
      </c>
      <c r="G666" s="625" t="s">
        <v>89</v>
      </c>
      <c r="L666" s="626">
        <v>72</v>
      </c>
      <c r="M666" s="626" t="s">
        <v>63</v>
      </c>
      <c r="V666" s="622">
        <v>423</v>
      </c>
      <c r="W666" s="625" t="s">
        <v>86</v>
      </c>
      <c r="AB666" s="626">
        <v>78.05</v>
      </c>
      <c r="AC666" s="626" t="s">
        <v>87</v>
      </c>
      <c r="AJ666" s="622">
        <v>57.03</v>
      </c>
      <c r="AK666" s="625" t="s">
        <v>87</v>
      </c>
      <c r="AP666" s="1837"/>
      <c r="AQ666" s="1837"/>
      <c r="AZ666" s="622">
        <v>302.04000000000002</v>
      </c>
      <c r="BA666" s="622" t="s">
        <v>88</v>
      </c>
      <c r="BF666" s="1837"/>
      <c r="BG666" s="1837"/>
      <c r="BI666" s="1365"/>
      <c r="BJ666" s="1365"/>
      <c r="BK666" s="1365"/>
      <c r="BL666" s="1365"/>
      <c r="BM666" s="1365"/>
      <c r="BN666" s="1365"/>
      <c r="BO666" s="1365"/>
      <c r="BP666" s="1365"/>
      <c r="BQ666" s="1365"/>
      <c r="BR666" s="1365"/>
      <c r="BS666" s="1365"/>
    </row>
    <row r="667" spans="6:71">
      <c r="F667" s="622">
        <v>259</v>
      </c>
      <c r="G667" s="625" t="s">
        <v>89</v>
      </c>
      <c r="L667" s="626">
        <v>101.06</v>
      </c>
      <c r="M667" s="626" t="s">
        <v>63</v>
      </c>
      <c r="V667" s="622">
        <v>427.01</v>
      </c>
      <c r="W667" s="625" t="s">
        <v>86</v>
      </c>
      <c r="AB667" s="626">
        <v>78.06</v>
      </c>
      <c r="AC667" s="626" t="s">
        <v>78</v>
      </c>
      <c r="AJ667" s="622">
        <v>57.04</v>
      </c>
      <c r="AK667" s="625" t="s">
        <v>87</v>
      </c>
      <c r="AP667" s="1837"/>
      <c r="AQ667" s="1837"/>
      <c r="AZ667" s="622">
        <v>302.06</v>
      </c>
      <c r="BA667" s="625" t="s">
        <v>69</v>
      </c>
      <c r="BF667" s="1837"/>
      <c r="BG667" s="1837"/>
      <c r="BI667" s="1365"/>
      <c r="BJ667" s="1365"/>
      <c r="BK667" s="1365"/>
      <c r="BL667" s="1365"/>
      <c r="BM667" s="1365"/>
      <c r="BN667" s="1365"/>
      <c r="BO667" s="1365"/>
      <c r="BP667" s="1365"/>
      <c r="BQ667" s="1365"/>
      <c r="BR667" s="1365"/>
      <c r="BS667" s="1365"/>
    </row>
    <row r="668" spans="6:71">
      <c r="F668" s="622">
        <v>262</v>
      </c>
      <c r="G668" s="625" t="s">
        <v>89</v>
      </c>
      <c r="L668" s="626">
        <v>101.08</v>
      </c>
      <c r="M668" s="626" t="s">
        <v>63</v>
      </c>
      <c r="V668" s="622">
        <v>427.02</v>
      </c>
      <c r="W668" s="625" t="s">
        <v>86</v>
      </c>
      <c r="AB668" s="626">
        <v>78.069999999999993</v>
      </c>
      <c r="AC668" s="626" t="s">
        <v>78</v>
      </c>
      <c r="AJ668" s="622">
        <v>58.14</v>
      </c>
      <c r="AK668" s="625" t="s">
        <v>87</v>
      </c>
      <c r="AP668" s="1837"/>
      <c r="AQ668" s="1837"/>
      <c r="AZ668" s="622">
        <v>302.08999999999997</v>
      </c>
      <c r="BA668" s="622" t="s">
        <v>69</v>
      </c>
      <c r="BF668" s="1837"/>
      <c r="BG668" s="1837"/>
      <c r="BI668" s="1365"/>
      <c r="BJ668" s="1365"/>
      <c r="BK668" s="1365"/>
      <c r="BL668" s="1365"/>
      <c r="BM668" s="1365"/>
      <c r="BN668" s="1365"/>
      <c r="BO668" s="1365"/>
      <c r="BP668" s="1365"/>
      <c r="BQ668" s="1365"/>
      <c r="BR668" s="1365"/>
      <c r="BS668" s="1365"/>
    </row>
    <row r="669" spans="6:71">
      <c r="F669" s="622">
        <v>263</v>
      </c>
      <c r="G669" s="625" t="s">
        <v>89</v>
      </c>
      <c r="L669" s="626">
        <v>102.04</v>
      </c>
      <c r="M669" s="626" t="s">
        <v>63</v>
      </c>
      <c r="V669" s="622">
        <v>428</v>
      </c>
      <c r="W669" s="622" t="s">
        <v>36</v>
      </c>
      <c r="AB669" s="626">
        <v>78.08</v>
      </c>
      <c r="AC669" s="626" t="s">
        <v>87</v>
      </c>
      <c r="AJ669" s="622">
        <v>68.02</v>
      </c>
      <c r="AK669" s="625" t="s">
        <v>87</v>
      </c>
      <c r="AP669" s="1837"/>
      <c r="AQ669" s="1837"/>
      <c r="AZ669" s="622">
        <v>303.01</v>
      </c>
      <c r="BA669" s="625" t="s">
        <v>36</v>
      </c>
      <c r="BF669" s="1837"/>
      <c r="BG669" s="1837"/>
      <c r="BI669" s="1365"/>
      <c r="BJ669" s="1365"/>
      <c r="BK669" s="1365"/>
      <c r="BL669" s="1365"/>
      <c r="BM669" s="1365"/>
      <c r="BN669" s="1365"/>
      <c r="BO669" s="1365"/>
      <c r="BP669" s="1365"/>
      <c r="BQ669" s="1365"/>
      <c r="BR669" s="1365"/>
      <c r="BS669" s="1365"/>
    </row>
    <row r="670" spans="6:71">
      <c r="F670" s="622">
        <v>269.08999999999997</v>
      </c>
      <c r="G670" s="625" t="s">
        <v>89</v>
      </c>
      <c r="L670" s="626">
        <v>102.05</v>
      </c>
      <c r="M670" s="626" t="s">
        <v>63</v>
      </c>
      <c r="V670" s="622">
        <v>433.02</v>
      </c>
      <c r="W670" s="622" t="s">
        <v>36</v>
      </c>
      <c r="AB670" s="626">
        <v>78.12</v>
      </c>
      <c r="AC670" s="626" t="s">
        <v>87</v>
      </c>
      <c r="AJ670" s="622">
        <v>76.19</v>
      </c>
      <c r="AK670" s="625" t="s">
        <v>87</v>
      </c>
      <c r="AP670" s="1837"/>
      <c r="AQ670" s="1837"/>
      <c r="AZ670" s="622">
        <v>303.02</v>
      </c>
      <c r="BA670" s="625" t="s">
        <v>36</v>
      </c>
      <c r="BF670" s="1837"/>
      <c r="BG670" s="1837"/>
      <c r="BI670" s="1365"/>
      <c r="BJ670" s="1365"/>
      <c r="BK670" s="1365"/>
      <c r="BL670" s="1365"/>
      <c r="BM670" s="1365"/>
      <c r="BN670" s="1365"/>
      <c r="BO670" s="1365"/>
      <c r="BP670" s="1365"/>
      <c r="BQ670" s="1365"/>
      <c r="BR670" s="1365"/>
      <c r="BS670" s="1365"/>
    </row>
    <row r="671" spans="6:71">
      <c r="F671" s="622">
        <v>271.01</v>
      </c>
      <c r="G671" s="625" t="s">
        <v>89</v>
      </c>
      <c r="L671" s="626">
        <v>102.09</v>
      </c>
      <c r="M671" s="626" t="s">
        <v>63</v>
      </c>
      <c r="V671" s="622">
        <v>434</v>
      </c>
      <c r="W671" s="625" t="s">
        <v>86</v>
      </c>
      <c r="AB671" s="626">
        <v>78.13</v>
      </c>
      <c r="AC671" s="626" t="s">
        <v>87</v>
      </c>
      <c r="AJ671" s="622">
        <v>76.2</v>
      </c>
      <c r="AK671" s="625" t="s">
        <v>87</v>
      </c>
      <c r="AP671" s="1837"/>
      <c r="AQ671" s="1837"/>
      <c r="AZ671" s="622">
        <v>304</v>
      </c>
      <c r="BA671" s="625" t="s">
        <v>43</v>
      </c>
      <c r="BF671" s="1837"/>
      <c r="BG671" s="1837"/>
      <c r="BI671" s="1365"/>
      <c r="BJ671" s="1365"/>
      <c r="BK671" s="1365"/>
      <c r="BL671" s="1365"/>
      <c r="BM671" s="1365"/>
      <c r="BN671" s="1365"/>
      <c r="BO671" s="1365"/>
      <c r="BP671" s="1365"/>
      <c r="BQ671" s="1365"/>
      <c r="BR671" s="1365"/>
      <c r="BS671" s="1365"/>
    </row>
    <row r="672" spans="6:71">
      <c r="F672" s="622">
        <v>274.02</v>
      </c>
      <c r="G672" s="625" t="s">
        <v>89</v>
      </c>
      <c r="L672" s="626">
        <v>102.1</v>
      </c>
      <c r="M672" s="626" t="s">
        <v>63</v>
      </c>
      <c r="V672" s="622">
        <v>502.08</v>
      </c>
      <c r="W672" s="622" t="s">
        <v>36</v>
      </c>
      <c r="AB672" s="626">
        <v>78.14</v>
      </c>
      <c r="AC672" s="626" t="s">
        <v>87</v>
      </c>
      <c r="AJ672" s="622">
        <v>77.459999999999994</v>
      </c>
      <c r="AK672" s="625" t="s">
        <v>87</v>
      </c>
      <c r="AP672" s="1837"/>
      <c r="AQ672" s="1837"/>
      <c r="AZ672" s="622">
        <v>304.02</v>
      </c>
      <c r="BA672" s="625" t="s">
        <v>36</v>
      </c>
      <c r="BF672" s="1837"/>
      <c r="BG672" s="1837"/>
      <c r="BI672" s="1365"/>
      <c r="BJ672" s="1365"/>
      <c r="BK672" s="1365"/>
      <c r="BL672" s="1365"/>
      <c r="BM672" s="1365"/>
      <c r="BN672" s="1365"/>
      <c r="BO672" s="1365"/>
      <c r="BP672" s="1365"/>
      <c r="BQ672" s="1365"/>
      <c r="BR672" s="1365"/>
      <c r="BS672" s="1365"/>
    </row>
    <row r="673" spans="6:71">
      <c r="F673" s="622">
        <v>287</v>
      </c>
      <c r="G673" s="625" t="s">
        <v>89</v>
      </c>
      <c r="L673" s="626">
        <v>102.11</v>
      </c>
      <c r="M673" s="626" t="s">
        <v>63</v>
      </c>
      <c r="V673" s="622">
        <v>503.02</v>
      </c>
      <c r="W673" s="625" t="s">
        <v>65</v>
      </c>
      <c r="AB673" s="626">
        <v>78.17</v>
      </c>
      <c r="AC673" s="626" t="s">
        <v>87</v>
      </c>
      <c r="AJ673" s="622">
        <v>78.33</v>
      </c>
      <c r="AK673" s="625" t="s">
        <v>87</v>
      </c>
      <c r="AP673" s="1837"/>
      <c r="AQ673" s="1837"/>
      <c r="AZ673" s="622">
        <v>304.07</v>
      </c>
      <c r="BA673" s="622" t="s">
        <v>88</v>
      </c>
      <c r="BF673" s="1837"/>
      <c r="BG673" s="1837"/>
      <c r="BI673" s="1365"/>
      <c r="BJ673" s="1365"/>
      <c r="BK673" s="1365"/>
      <c r="BL673" s="1365"/>
      <c r="BM673" s="1365"/>
      <c r="BN673" s="1365"/>
      <c r="BO673" s="1365"/>
      <c r="BP673" s="1365"/>
      <c r="BQ673" s="1365"/>
      <c r="BR673" s="1365"/>
      <c r="BS673" s="1365"/>
    </row>
    <row r="674" spans="6:71">
      <c r="F674" s="622">
        <v>103</v>
      </c>
      <c r="G674" s="622" t="s">
        <v>91</v>
      </c>
      <c r="L674" s="626">
        <v>102.12</v>
      </c>
      <c r="M674" s="626" t="s">
        <v>63</v>
      </c>
      <c r="V674" s="622">
        <v>503.07</v>
      </c>
      <c r="W674" s="622" t="s">
        <v>36</v>
      </c>
      <c r="AB674" s="626">
        <v>78.180000000000007</v>
      </c>
      <c r="AC674" s="626" t="s">
        <v>87</v>
      </c>
      <c r="AJ674" s="622">
        <v>80.010000000000005</v>
      </c>
      <c r="AK674" s="622" t="s">
        <v>87</v>
      </c>
      <c r="AP674" s="1837"/>
      <c r="AQ674" s="1837"/>
      <c r="AZ674" s="622">
        <v>304.08</v>
      </c>
      <c r="BA674" s="622" t="s">
        <v>88</v>
      </c>
      <c r="BF674" s="1837"/>
      <c r="BG674" s="1837"/>
      <c r="BI674" s="1365"/>
      <c r="BJ674" s="1365"/>
      <c r="BK674" s="1365"/>
      <c r="BL674" s="1365"/>
      <c r="BM674" s="1365"/>
      <c r="BN674" s="1365"/>
      <c r="BO674" s="1365"/>
      <c r="BP674" s="1365"/>
      <c r="BQ674" s="1365"/>
      <c r="BR674" s="1365"/>
      <c r="BS674" s="1365"/>
    </row>
    <row r="675" spans="6:71">
      <c r="F675" s="622">
        <v>110</v>
      </c>
      <c r="G675" s="622" t="s">
        <v>91</v>
      </c>
      <c r="L675" s="626">
        <v>104.01</v>
      </c>
      <c r="M675" s="626" t="s">
        <v>63</v>
      </c>
      <c r="V675" s="622">
        <v>503.08</v>
      </c>
      <c r="W675" s="622" t="s">
        <v>36</v>
      </c>
      <c r="AB675" s="626">
        <v>78.2</v>
      </c>
      <c r="AC675" s="626" t="s">
        <v>87</v>
      </c>
      <c r="AJ675" s="622">
        <v>80.02</v>
      </c>
      <c r="AK675" s="622" t="s">
        <v>87</v>
      </c>
      <c r="AP675" s="1837"/>
      <c r="AQ675" s="1837"/>
      <c r="AZ675" s="622">
        <v>304.10000000000002</v>
      </c>
      <c r="BA675" s="622" t="s">
        <v>88</v>
      </c>
      <c r="BF675" s="1837"/>
      <c r="BG675" s="1837"/>
      <c r="BI675" s="1365"/>
      <c r="BJ675" s="1365"/>
      <c r="BK675" s="1365"/>
      <c r="BL675" s="1365"/>
      <c r="BM675" s="1365"/>
      <c r="BN675" s="1365"/>
      <c r="BO675" s="1365"/>
      <c r="BP675" s="1365"/>
      <c r="BQ675" s="1365"/>
      <c r="BR675" s="1365"/>
      <c r="BS675" s="1365"/>
    </row>
    <row r="676" spans="6:71">
      <c r="F676" s="622">
        <v>111</v>
      </c>
      <c r="G676" s="622" t="s">
        <v>91</v>
      </c>
      <c r="L676" s="626">
        <v>106</v>
      </c>
      <c r="M676" s="626" t="s">
        <v>63</v>
      </c>
      <c r="V676" s="622">
        <v>503.09</v>
      </c>
      <c r="W676" s="622" t="s">
        <v>36</v>
      </c>
      <c r="AB676" s="626">
        <v>78.209999999999994</v>
      </c>
      <c r="AC676" s="626" t="s">
        <v>87</v>
      </c>
      <c r="AJ676" s="622">
        <v>81.010000000000005</v>
      </c>
      <c r="AK676" s="622" t="s">
        <v>87</v>
      </c>
      <c r="AP676" s="1837"/>
      <c r="AQ676" s="1837"/>
      <c r="AZ676" s="622">
        <v>304.11</v>
      </c>
      <c r="BA676" s="622" t="s">
        <v>88</v>
      </c>
      <c r="BF676" s="1837"/>
      <c r="BG676" s="1837"/>
      <c r="BI676" s="1365"/>
      <c r="BJ676" s="1365"/>
      <c r="BK676" s="1365"/>
      <c r="BL676" s="1365"/>
      <c r="BM676" s="1365"/>
      <c r="BN676" s="1365"/>
      <c r="BO676" s="1365"/>
      <c r="BP676" s="1365"/>
      <c r="BQ676" s="1365"/>
      <c r="BR676" s="1365"/>
      <c r="BS676" s="1365"/>
    </row>
    <row r="677" spans="6:71">
      <c r="F677" s="622">
        <v>112.02</v>
      </c>
      <c r="G677" s="622" t="s">
        <v>91</v>
      </c>
      <c r="L677" s="626">
        <v>107.01</v>
      </c>
      <c r="M677" s="626" t="s">
        <v>63</v>
      </c>
      <c r="V677" s="622">
        <v>503.11</v>
      </c>
      <c r="W677" s="622" t="s">
        <v>36</v>
      </c>
      <c r="AB677" s="626">
        <v>78.22</v>
      </c>
      <c r="AC677" s="626" t="s">
        <v>87</v>
      </c>
      <c r="AJ677" s="622">
        <v>82.01</v>
      </c>
      <c r="AK677" s="622" t="s">
        <v>87</v>
      </c>
      <c r="AP677" s="1837"/>
      <c r="AQ677" s="1837"/>
      <c r="AZ677" s="622">
        <v>304.12</v>
      </c>
      <c r="BA677" s="622" t="s">
        <v>88</v>
      </c>
      <c r="BF677" s="1837"/>
      <c r="BG677" s="1837"/>
      <c r="BI677" s="1365"/>
      <c r="BJ677" s="1365"/>
      <c r="BK677" s="1365"/>
      <c r="BL677" s="1365"/>
      <c r="BM677" s="1365"/>
      <c r="BN677" s="1365"/>
      <c r="BO677" s="1365"/>
      <c r="BP677" s="1365"/>
      <c r="BQ677" s="1365"/>
      <c r="BR677" s="1365"/>
      <c r="BS677" s="1365"/>
    </row>
    <row r="678" spans="6:71">
      <c r="F678" s="622">
        <v>112.03</v>
      </c>
      <c r="G678" s="622" t="s">
        <v>91</v>
      </c>
      <c r="L678" s="626">
        <v>107.02</v>
      </c>
      <c r="M678" s="626" t="s">
        <v>63</v>
      </c>
      <c r="V678" s="622">
        <v>504.01</v>
      </c>
      <c r="W678" s="625" t="s">
        <v>65</v>
      </c>
      <c r="AB678" s="626">
        <v>78.23</v>
      </c>
      <c r="AC678" s="626" t="s">
        <v>87</v>
      </c>
      <c r="AJ678" s="622">
        <v>82.02</v>
      </c>
      <c r="AK678" s="622" t="s">
        <v>87</v>
      </c>
      <c r="AP678" s="1837"/>
      <c r="AQ678" s="1837"/>
      <c r="AZ678" s="622">
        <v>305</v>
      </c>
      <c r="BA678" s="625" t="s">
        <v>36</v>
      </c>
      <c r="BF678" s="1837"/>
      <c r="BG678" s="1837"/>
      <c r="BI678" s="1365"/>
      <c r="BJ678" s="1365"/>
      <c r="BK678" s="1365"/>
      <c r="BL678" s="1365"/>
      <c r="BM678" s="1365"/>
      <c r="BN678" s="1365"/>
      <c r="BO678" s="1365"/>
      <c r="BP678" s="1365"/>
      <c r="BQ678" s="1365"/>
      <c r="BR678" s="1365"/>
      <c r="BS678" s="1365"/>
    </row>
    <row r="679" spans="6:71">
      <c r="F679" s="622">
        <v>112.04</v>
      </c>
      <c r="G679" s="622" t="s">
        <v>91</v>
      </c>
      <c r="L679" s="626">
        <v>108.1</v>
      </c>
      <c r="M679" s="626" t="s">
        <v>63</v>
      </c>
      <c r="V679" s="622">
        <v>507.02</v>
      </c>
      <c r="W679" s="622" t="s">
        <v>36</v>
      </c>
      <c r="AB679" s="626">
        <v>78.28</v>
      </c>
      <c r="AC679" s="626" t="s">
        <v>87</v>
      </c>
      <c r="AJ679" s="622">
        <v>82.03</v>
      </c>
      <c r="AK679" s="622" t="s">
        <v>87</v>
      </c>
      <c r="AP679" s="1837"/>
      <c r="AQ679" s="1837"/>
      <c r="AZ679" s="622">
        <v>305.01</v>
      </c>
      <c r="BA679" s="622" t="s">
        <v>88</v>
      </c>
      <c r="BF679" s="1837"/>
      <c r="BG679" s="1837"/>
      <c r="BI679" s="1365"/>
      <c r="BJ679" s="1365"/>
      <c r="BK679" s="1365"/>
      <c r="BL679" s="1365"/>
      <c r="BM679" s="1365"/>
      <c r="BN679" s="1365"/>
      <c r="BO679" s="1365"/>
      <c r="BP679" s="1365"/>
      <c r="BQ679" s="1365"/>
      <c r="BR679" s="1365"/>
      <c r="BS679" s="1365"/>
    </row>
    <row r="680" spans="6:71">
      <c r="F680" s="622">
        <v>113</v>
      </c>
      <c r="G680" s="622" t="s">
        <v>91</v>
      </c>
      <c r="L680" s="626">
        <v>108.11</v>
      </c>
      <c r="M680" s="626" t="s">
        <v>63</v>
      </c>
      <c r="V680" s="622">
        <v>508</v>
      </c>
      <c r="W680" s="622" t="s">
        <v>36</v>
      </c>
      <c r="AB680" s="626">
        <v>78.3</v>
      </c>
      <c r="AC680" s="626" t="s">
        <v>87</v>
      </c>
      <c r="AJ680" s="622">
        <v>83.01</v>
      </c>
      <c r="AK680" s="622" t="s">
        <v>87</v>
      </c>
      <c r="AP680" s="1837"/>
      <c r="AQ680" s="1837"/>
      <c r="AZ680" s="622">
        <v>305.07</v>
      </c>
      <c r="BA680" s="622" t="s">
        <v>69</v>
      </c>
      <c r="BF680" s="1837"/>
      <c r="BG680" s="1837"/>
      <c r="BI680" s="1365"/>
      <c r="BJ680" s="1365"/>
      <c r="BK680" s="1365"/>
      <c r="BL680" s="1365"/>
      <c r="BM680" s="1365"/>
      <c r="BN680" s="1365"/>
      <c r="BO680" s="1365"/>
      <c r="BP680" s="1365"/>
      <c r="BQ680" s="1365"/>
      <c r="BR680" s="1365"/>
      <c r="BS680" s="1365"/>
    </row>
    <row r="681" spans="6:71">
      <c r="F681" s="622">
        <v>114</v>
      </c>
      <c r="G681" s="622" t="s">
        <v>91</v>
      </c>
      <c r="L681" s="626">
        <v>110.05</v>
      </c>
      <c r="M681" s="626" t="s">
        <v>63</v>
      </c>
      <c r="V681" s="622">
        <v>509.04</v>
      </c>
      <c r="W681" s="625" t="s">
        <v>65</v>
      </c>
      <c r="AB681" s="626">
        <v>78.31</v>
      </c>
      <c r="AC681" s="626" t="s">
        <v>87</v>
      </c>
      <c r="AJ681" s="622">
        <v>83.02</v>
      </c>
      <c r="AK681" s="622" t="s">
        <v>87</v>
      </c>
      <c r="AP681" s="1837"/>
      <c r="AQ681" s="1837"/>
      <c r="AZ681" s="622">
        <v>306.01</v>
      </c>
      <c r="BA681" s="625" t="s">
        <v>69</v>
      </c>
      <c r="BF681" s="1837"/>
      <c r="BG681" s="1837"/>
      <c r="BI681" s="1365"/>
      <c r="BJ681" s="1365"/>
      <c r="BK681" s="1365"/>
      <c r="BL681" s="1365"/>
      <c r="BM681" s="1365"/>
      <c r="BN681" s="1365"/>
      <c r="BO681" s="1365"/>
      <c r="BP681" s="1365"/>
      <c r="BQ681" s="1365"/>
      <c r="BR681" s="1365"/>
      <c r="BS681" s="1365"/>
    </row>
    <row r="682" spans="6:71">
      <c r="F682" s="622">
        <v>115.01</v>
      </c>
      <c r="G682" s="622" t="s">
        <v>91</v>
      </c>
      <c r="L682" s="626">
        <v>110.06</v>
      </c>
      <c r="M682" s="626" t="s">
        <v>63</v>
      </c>
      <c r="V682" s="622">
        <v>602.03</v>
      </c>
      <c r="W682" s="622" t="s">
        <v>36</v>
      </c>
      <c r="AB682" s="626">
        <v>78.34</v>
      </c>
      <c r="AC682" s="626" t="s">
        <v>87</v>
      </c>
      <c r="AJ682" s="622">
        <v>2.0299999999999998</v>
      </c>
      <c r="AK682" s="622" t="s">
        <v>88</v>
      </c>
      <c r="AP682" s="1837"/>
      <c r="AQ682" s="1837"/>
      <c r="AZ682" s="622">
        <v>306.02</v>
      </c>
      <c r="BA682" s="625" t="s">
        <v>69</v>
      </c>
      <c r="BF682" s="1837"/>
      <c r="BG682" s="1837"/>
      <c r="BI682" s="1365"/>
      <c r="BJ682" s="1365"/>
      <c r="BK682" s="1365"/>
      <c r="BL682" s="1365"/>
      <c r="BM682" s="1365"/>
      <c r="BN682" s="1365"/>
      <c r="BO682" s="1365"/>
      <c r="BP682" s="1365"/>
      <c r="BQ682" s="1365"/>
      <c r="BR682" s="1365"/>
      <c r="BS682" s="1365"/>
    </row>
    <row r="683" spans="6:71">
      <c r="F683" s="622">
        <v>116.04</v>
      </c>
      <c r="G683" s="622" t="s">
        <v>91</v>
      </c>
      <c r="L683" s="626">
        <v>110.07</v>
      </c>
      <c r="M683" s="626" t="s">
        <v>63</v>
      </c>
      <c r="V683" s="622">
        <v>603.02</v>
      </c>
      <c r="W683" s="622" t="s">
        <v>36</v>
      </c>
      <c r="AB683" s="626">
        <v>78.349999999999994</v>
      </c>
      <c r="AC683" s="626" t="s">
        <v>87</v>
      </c>
      <c r="AJ683" s="622">
        <v>302.04000000000002</v>
      </c>
      <c r="AK683" s="622" t="s">
        <v>88</v>
      </c>
      <c r="AP683" s="1837"/>
      <c r="AQ683" s="1837"/>
      <c r="AZ683" s="622">
        <v>306.02</v>
      </c>
      <c r="BA683" s="622" t="s">
        <v>88</v>
      </c>
      <c r="BF683" s="1837"/>
      <c r="BG683" s="1837"/>
      <c r="BI683" s="1365"/>
      <c r="BJ683" s="1365"/>
      <c r="BK683" s="1365"/>
      <c r="BL683" s="1365"/>
      <c r="BM683" s="1365"/>
      <c r="BN683" s="1365"/>
      <c r="BO683" s="1365"/>
      <c r="BP683" s="1365"/>
      <c r="BQ683" s="1365"/>
      <c r="BR683" s="1365"/>
      <c r="BS683" s="1365"/>
    </row>
    <row r="684" spans="6:71">
      <c r="F684" s="622">
        <v>117.04</v>
      </c>
      <c r="G684" s="622" t="s">
        <v>91</v>
      </c>
      <c r="L684" s="626">
        <v>110.08</v>
      </c>
      <c r="M684" s="626" t="s">
        <v>63</v>
      </c>
      <c r="V684" s="622">
        <v>603.03</v>
      </c>
      <c r="W684" s="622" t="s">
        <v>36</v>
      </c>
      <c r="AB684" s="626">
        <v>78.36</v>
      </c>
      <c r="AC684" s="626" t="s">
        <v>87</v>
      </c>
      <c r="AJ684" s="622">
        <v>304.07</v>
      </c>
      <c r="AK684" s="622" t="s">
        <v>88</v>
      </c>
      <c r="AP684" s="1837"/>
      <c r="AQ684" s="1837"/>
      <c r="AZ684" s="622">
        <v>308</v>
      </c>
      <c r="BA684" s="622" t="s">
        <v>88</v>
      </c>
      <c r="BF684" s="1837"/>
      <c r="BG684" s="1837"/>
      <c r="BI684" s="1365"/>
      <c r="BJ684" s="1365"/>
      <c r="BK684" s="1365"/>
      <c r="BL684" s="1365"/>
      <c r="BM684" s="1365"/>
      <c r="BN684" s="1365"/>
      <c r="BO684" s="1365"/>
      <c r="BP684" s="1365"/>
      <c r="BQ684" s="1365"/>
      <c r="BR684" s="1365"/>
      <c r="BS684" s="1365"/>
    </row>
    <row r="685" spans="6:71">
      <c r="F685" s="622">
        <v>117.31</v>
      </c>
      <c r="G685" s="622" t="s">
        <v>91</v>
      </c>
      <c r="L685" s="626">
        <v>110.12</v>
      </c>
      <c r="M685" s="626" t="s">
        <v>63</v>
      </c>
      <c r="V685" s="622">
        <v>603.04</v>
      </c>
      <c r="W685" s="622" t="s">
        <v>36</v>
      </c>
      <c r="AB685" s="626">
        <v>78.37</v>
      </c>
      <c r="AC685" s="626" t="s">
        <v>87</v>
      </c>
      <c r="AJ685" s="622">
        <v>304.08</v>
      </c>
      <c r="AK685" s="622" t="s">
        <v>88</v>
      </c>
      <c r="AP685" s="1837"/>
      <c r="AQ685" s="1837"/>
      <c r="AZ685" s="622">
        <v>308.02999999999997</v>
      </c>
      <c r="BA685" s="625" t="s">
        <v>36</v>
      </c>
      <c r="BF685" s="1837"/>
      <c r="BG685" s="1837"/>
      <c r="BI685" s="1365"/>
      <c r="BJ685" s="1365"/>
      <c r="BK685" s="1365"/>
      <c r="BL685" s="1365"/>
      <c r="BM685" s="1365"/>
      <c r="BN685" s="1365"/>
      <c r="BO685" s="1365"/>
      <c r="BP685" s="1365"/>
      <c r="BQ685" s="1365"/>
      <c r="BR685" s="1365"/>
      <c r="BS685" s="1365"/>
    </row>
    <row r="686" spans="6:71">
      <c r="F686" s="622">
        <v>117.32</v>
      </c>
      <c r="G686" s="622" t="s">
        <v>91</v>
      </c>
      <c r="L686" s="626">
        <v>110.13</v>
      </c>
      <c r="M686" s="626" t="s">
        <v>63</v>
      </c>
      <c r="V686" s="622">
        <v>604</v>
      </c>
      <c r="W686" s="625" t="s">
        <v>35</v>
      </c>
      <c r="AB686" s="626">
        <v>78.38</v>
      </c>
      <c r="AC686" s="626" t="s">
        <v>87</v>
      </c>
      <c r="AJ686" s="622">
        <v>304.10000000000002</v>
      </c>
      <c r="AK686" s="622" t="s">
        <v>88</v>
      </c>
      <c r="AP686" s="1837"/>
      <c r="AQ686" s="1837"/>
      <c r="AZ686" s="622">
        <v>308.04000000000002</v>
      </c>
      <c r="BA686" s="625" t="s">
        <v>36</v>
      </c>
      <c r="BF686" s="1837"/>
      <c r="BG686" s="1837"/>
      <c r="BI686" s="1365"/>
      <c r="BJ686" s="1365"/>
      <c r="BK686" s="1365"/>
      <c r="BL686" s="1365"/>
      <c r="BM686" s="1365"/>
      <c r="BN686" s="1365"/>
      <c r="BO686" s="1365"/>
      <c r="BP686" s="1365"/>
      <c r="BQ686" s="1365"/>
      <c r="BR686" s="1365"/>
      <c r="BS686" s="1365"/>
    </row>
    <row r="687" spans="6:71">
      <c r="F687" s="622">
        <v>123.07</v>
      </c>
      <c r="G687" s="622" t="s">
        <v>91</v>
      </c>
      <c r="L687" s="626">
        <v>110.14</v>
      </c>
      <c r="M687" s="626" t="s">
        <v>63</v>
      </c>
      <c r="V687" s="622">
        <v>604.01</v>
      </c>
      <c r="W687" s="622" t="s">
        <v>36</v>
      </c>
      <c r="AB687" s="626">
        <v>78.39</v>
      </c>
      <c r="AC687" s="626" t="s">
        <v>87</v>
      </c>
      <c r="AJ687" s="622">
        <v>304.11</v>
      </c>
      <c r="AK687" s="622" t="s">
        <v>88</v>
      </c>
      <c r="AP687" s="1837"/>
      <c r="AQ687" s="1837"/>
      <c r="AZ687" s="622">
        <v>309.01</v>
      </c>
      <c r="BA687" s="622" t="s">
        <v>88</v>
      </c>
      <c r="BF687" s="1837"/>
      <c r="BG687" s="1837"/>
      <c r="BI687" s="1365"/>
      <c r="BJ687" s="1365"/>
      <c r="BK687" s="1365"/>
      <c r="BL687" s="1365"/>
      <c r="BM687" s="1365"/>
      <c r="BN687" s="1365"/>
      <c r="BO687" s="1365"/>
      <c r="BP687" s="1365"/>
      <c r="BQ687" s="1365"/>
      <c r="BR687" s="1365"/>
      <c r="BS687" s="1365"/>
    </row>
    <row r="688" spans="6:71">
      <c r="F688" s="622">
        <v>126.01</v>
      </c>
      <c r="G688" s="622" t="s">
        <v>91</v>
      </c>
      <c r="L688" s="626">
        <v>110.15</v>
      </c>
      <c r="M688" s="626" t="s">
        <v>63</v>
      </c>
      <c r="V688" s="622">
        <v>607</v>
      </c>
      <c r="W688" s="625" t="s">
        <v>35</v>
      </c>
      <c r="AB688" s="626">
        <v>79.010000000000005</v>
      </c>
      <c r="AC688" s="626" t="s">
        <v>78</v>
      </c>
      <c r="AJ688" s="622">
        <v>304.12</v>
      </c>
      <c r="AK688" s="622" t="s">
        <v>88</v>
      </c>
      <c r="AP688" s="1837"/>
      <c r="AQ688" s="1837"/>
      <c r="AZ688" s="622">
        <v>310.01</v>
      </c>
      <c r="BA688" s="625" t="s">
        <v>36</v>
      </c>
      <c r="BF688" s="1837"/>
      <c r="BG688" s="1837"/>
      <c r="BI688" s="1365"/>
      <c r="BJ688" s="1365"/>
      <c r="BK688" s="1365"/>
      <c r="BL688" s="1365"/>
      <c r="BM688" s="1365"/>
      <c r="BN688" s="1365"/>
      <c r="BO688" s="1365"/>
      <c r="BP688" s="1365"/>
      <c r="BQ688" s="1365"/>
      <c r="BR688" s="1365"/>
      <c r="BS688" s="1365"/>
    </row>
    <row r="689" spans="6:71">
      <c r="F689" s="622">
        <v>126.02</v>
      </c>
      <c r="G689" s="622" t="s">
        <v>91</v>
      </c>
      <c r="L689" s="626">
        <v>110.16</v>
      </c>
      <c r="M689" s="626" t="s">
        <v>63</v>
      </c>
      <c r="V689" s="622">
        <v>610.02</v>
      </c>
      <c r="W689" s="625" t="s">
        <v>35</v>
      </c>
      <c r="AB689" s="626">
        <v>79.02</v>
      </c>
      <c r="AC689" s="626" t="s">
        <v>78</v>
      </c>
      <c r="AJ689" s="622">
        <v>305.01</v>
      </c>
      <c r="AK689" s="622" t="s">
        <v>88</v>
      </c>
      <c r="AP689" s="1837"/>
      <c r="AQ689" s="1837"/>
      <c r="AZ689" s="622">
        <v>310.05</v>
      </c>
      <c r="BA689" s="622" t="s">
        <v>88</v>
      </c>
      <c r="BF689" s="1837"/>
      <c r="BG689" s="1837"/>
      <c r="BI689" s="1365"/>
      <c r="BJ689" s="1365"/>
      <c r="BK689" s="1365"/>
      <c r="BL689" s="1365"/>
      <c r="BM689" s="1365"/>
      <c r="BN689" s="1365"/>
      <c r="BO689" s="1365"/>
      <c r="BP689" s="1365"/>
      <c r="BQ689" s="1365"/>
      <c r="BR689" s="1365"/>
      <c r="BS689" s="1365"/>
    </row>
    <row r="690" spans="6:71">
      <c r="F690" s="622">
        <v>130.02000000000001</v>
      </c>
      <c r="G690" s="622" t="s">
        <v>91</v>
      </c>
      <c r="L690" s="626">
        <v>111.03</v>
      </c>
      <c r="M690" s="626" t="s">
        <v>63</v>
      </c>
      <c r="V690" s="622">
        <v>611</v>
      </c>
      <c r="W690" s="622" t="s">
        <v>36</v>
      </c>
      <c r="AB690" s="626">
        <v>79.09</v>
      </c>
      <c r="AC690" s="626" t="s">
        <v>87</v>
      </c>
      <c r="AJ690" s="622">
        <v>306.02</v>
      </c>
      <c r="AK690" s="622" t="s">
        <v>88</v>
      </c>
      <c r="AP690" s="1837"/>
      <c r="AQ690" s="1837"/>
      <c r="AZ690" s="622">
        <v>310.06</v>
      </c>
      <c r="BA690" s="622" t="s">
        <v>88</v>
      </c>
      <c r="BF690" s="1837"/>
      <c r="BG690" s="1837"/>
      <c r="BI690" s="1365"/>
      <c r="BJ690" s="1365"/>
      <c r="BK690" s="1365"/>
      <c r="BL690" s="1365"/>
      <c r="BM690" s="1365"/>
      <c r="BN690" s="1365"/>
      <c r="BO690" s="1365"/>
      <c r="BP690" s="1365"/>
      <c r="BQ690" s="1365"/>
      <c r="BR690" s="1365"/>
      <c r="BS690" s="1365"/>
    </row>
    <row r="691" spans="6:71">
      <c r="F691" s="622">
        <v>131.02000000000001</v>
      </c>
      <c r="G691" s="622" t="s">
        <v>91</v>
      </c>
      <c r="L691" s="626">
        <v>111.06</v>
      </c>
      <c r="M691" s="626" t="s">
        <v>63</v>
      </c>
      <c r="V691" s="622">
        <v>623.01</v>
      </c>
      <c r="W691" s="625" t="s">
        <v>35</v>
      </c>
      <c r="AB691" s="626">
        <v>79.099999999999994</v>
      </c>
      <c r="AC691" s="626" t="s">
        <v>87</v>
      </c>
      <c r="AJ691" s="622">
        <v>308</v>
      </c>
      <c r="AK691" s="622" t="s">
        <v>88</v>
      </c>
      <c r="AP691" s="1837"/>
      <c r="AQ691" s="1837"/>
      <c r="AZ691" s="622">
        <v>310.07</v>
      </c>
      <c r="BA691" s="622" t="s">
        <v>88</v>
      </c>
      <c r="BF691" s="1837"/>
      <c r="BG691" s="1837"/>
      <c r="BI691" s="1365"/>
      <c r="BJ691" s="1365"/>
      <c r="BK691" s="1365"/>
      <c r="BL691" s="1365"/>
      <c r="BM691" s="1365"/>
      <c r="BN691" s="1365"/>
      <c r="BO691" s="1365"/>
      <c r="BP691" s="1365"/>
      <c r="BQ691" s="1365"/>
      <c r="BR691" s="1365"/>
      <c r="BS691" s="1365"/>
    </row>
    <row r="692" spans="6:71">
      <c r="F692" s="622">
        <v>131.03</v>
      </c>
      <c r="G692" s="622" t="s">
        <v>91</v>
      </c>
      <c r="L692" s="626">
        <v>111.07</v>
      </c>
      <c r="M692" s="626" t="s">
        <v>63</v>
      </c>
      <c r="V692" s="622">
        <v>623.02</v>
      </c>
      <c r="W692" s="625" t="s">
        <v>35</v>
      </c>
      <c r="AB692" s="626">
        <v>79.12</v>
      </c>
      <c r="AC692" s="626" t="s">
        <v>87</v>
      </c>
      <c r="AJ692" s="622">
        <v>309.01</v>
      </c>
      <c r="AK692" s="622" t="s">
        <v>88</v>
      </c>
      <c r="AP692" s="1837"/>
      <c r="AQ692" s="1837"/>
      <c r="AZ692" s="622">
        <v>310.08</v>
      </c>
      <c r="BA692" s="622" t="s">
        <v>88</v>
      </c>
      <c r="BF692" s="1837"/>
      <c r="BG692" s="1837"/>
      <c r="BI692" s="1365"/>
      <c r="BJ692" s="1365"/>
      <c r="BK692" s="1365"/>
      <c r="BL692" s="1365"/>
      <c r="BM692" s="1365"/>
      <c r="BN692" s="1365"/>
      <c r="BO692" s="1365"/>
      <c r="BP692" s="1365"/>
      <c r="BQ692" s="1365"/>
      <c r="BR692" s="1365"/>
      <c r="BS692" s="1365"/>
    </row>
    <row r="693" spans="6:71">
      <c r="F693" s="622">
        <v>132</v>
      </c>
      <c r="G693" s="622" t="s">
        <v>91</v>
      </c>
      <c r="L693" s="626">
        <v>111.08</v>
      </c>
      <c r="M693" s="626" t="s">
        <v>63</v>
      </c>
      <c r="V693" s="622">
        <v>624</v>
      </c>
      <c r="W693" s="625" t="s">
        <v>35</v>
      </c>
      <c r="AB693" s="626">
        <v>80</v>
      </c>
      <c r="AC693" s="626" t="s">
        <v>78</v>
      </c>
      <c r="AJ693" s="622">
        <v>310.05</v>
      </c>
      <c r="AK693" s="622" t="s">
        <v>88</v>
      </c>
      <c r="AP693" s="1837"/>
      <c r="AQ693" s="1837"/>
      <c r="AZ693" s="622">
        <v>310.08999999999997</v>
      </c>
      <c r="BA693" s="622" t="s">
        <v>88</v>
      </c>
      <c r="BF693" s="1837"/>
      <c r="BG693" s="1837"/>
      <c r="BI693" s="1365"/>
      <c r="BJ693" s="1365"/>
      <c r="BK693" s="1365"/>
      <c r="BL693" s="1365"/>
      <c r="BM693" s="1365"/>
      <c r="BN693" s="1365"/>
      <c r="BO693" s="1365"/>
      <c r="BP693" s="1365"/>
      <c r="BQ693" s="1365"/>
      <c r="BR693" s="1365"/>
      <c r="BS693" s="1365"/>
    </row>
    <row r="694" spans="6:71">
      <c r="F694" s="622">
        <v>133</v>
      </c>
      <c r="G694" s="622" t="s">
        <v>91</v>
      </c>
      <c r="L694" s="626">
        <v>111.09</v>
      </c>
      <c r="M694" s="626" t="s">
        <v>63</v>
      </c>
      <c r="V694" s="622">
        <v>625</v>
      </c>
      <c r="W694" s="625" t="s">
        <v>35</v>
      </c>
      <c r="AB694" s="626">
        <v>81.010000000000005</v>
      </c>
      <c r="AC694" s="626" t="s">
        <v>78</v>
      </c>
      <c r="AJ694" s="622">
        <v>310.06</v>
      </c>
      <c r="AK694" s="622" t="s">
        <v>88</v>
      </c>
      <c r="AP694" s="1837"/>
      <c r="AQ694" s="1837"/>
      <c r="AZ694" s="622">
        <v>310.10000000000002</v>
      </c>
      <c r="BA694" s="622" t="s">
        <v>88</v>
      </c>
      <c r="BF694" s="1837"/>
      <c r="BG694" s="1837"/>
      <c r="BI694" s="1365"/>
      <c r="BJ694" s="1365"/>
      <c r="BK694" s="1365"/>
      <c r="BL694" s="1365"/>
      <c r="BM694" s="1365"/>
      <c r="BN694" s="1365"/>
      <c r="BO694" s="1365"/>
      <c r="BP694" s="1365"/>
      <c r="BQ694" s="1365"/>
      <c r="BR694" s="1365"/>
      <c r="BS694" s="1365"/>
    </row>
    <row r="695" spans="6:71">
      <c r="F695" s="622">
        <v>134</v>
      </c>
      <c r="G695" s="622" t="s">
        <v>91</v>
      </c>
      <c r="L695" s="626">
        <v>112.03</v>
      </c>
      <c r="M695" s="626" t="s">
        <v>63</v>
      </c>
      <c r="V695" s="622">
        <v>626</v>
      </c>
      <c r="W695" s="625" t="s">
        <v>35</v>
      </c>
      <c r="AB695" s="626">
        <v>81.02</v>
      </c>
      <c r="AC695" s="626" t="s">
        <v>78</v>
      </c>
      <c r="AJ695" s="622">
        <v>310.07</v>
      </c>
      <c r="AK695" s="622" t="s">
        <v>88</v>
      </c>
      <c r="AP695" s="1837"/>
      <c r="AQ695" s="1837"/>
      <c r="AZ695" s="622">
        <v>310.11</v>
      </c>
      <c r="BA695" s="622" t="s">
        <v>88</v>
      </c>
      <c r="BF695" s="1837"/>
      <c r="BG695" s="1837"/>
      <c r="BI695" s="1365"/>
      <c r="BJ695" s="1365"/>
      <c r="BK695" s="1365"/>
      <c r="BL695" s="1365"/>
      <c r="BM695" s="1365"/>
      <c r="BN695" s="1365"/>
      <c r="BO695" s="1365"/>
      <c r="BP695" s="1365"/>
      <c r="BQ695" s="1365"/>
      <c r="BR695" s="1365"/>
      <c r="BS695" s="1365"/>
    </row>
    <row r="696" spans="6:71">
      <c r="F696" s="622">
        <v>136</v>
      </c>
      <c r="G696" s="622" t="s">
        <v>91</v>
      </c>
      <c r="L696" s="626">
        <v>112.05</v>
      </c>
      <c r="M696" s="626" t="s">
        <v>63</v>
      </c>
      <c r="V696" s="622">
        <v>645</v>
      </c>
      <c r="W696" s="625" t="s">
        <v>35</v>
      </c>
      <c r="AB696" s="626">
        <v>82.02</v>
      </c>
      <c r="AC696" s="626" t="s">
        <v>78</v>
      </c>
      <c r="AJ696" s="622">
        <v>310.08</v>
      </c>
      <c r="AK696" s="622" t="s">
        <v>88</v>
      </c>
      <c r="AP696" s="1837"/>
      <c r="AQ696" s="1837"/>
      <c r="AZ696" s="622">
        <v>312.06</v>
      </c>
      <c r="BA696" s="622" t="s">
        <v>88</v>
      </c>
      <c r="BF696" s="1837"/>
      <c r="BG696" s="1837"/>
      <c r="BI696" s="1365"/>
      <c r="BJ696" s="1365"/>
      <c r="BK696" s="1365"/>
      <c r="BL696" s="1365"/>
      <c r="BM696" s="1365"/>
      <c r="BN696" s="1365"/>
      <c r="BO696" s="1365"/>
      <c r="BP696" s="1365"/>
      <c r="BQ696" s="1365"/>
      <c r="BR696" s="1365"/>
      <c r="BS696" s="1365"/>
    </row>
    <row r="697" spans="6:71">
      <c r="F697" s="622">
        <v>137.01</v>
      </c>
      <c r="G697" s="622" t="s">
        <v>91</v>
      </c>
      <c r="L697" s="626">
        <v>113.01</v>
      </c>
      <c r="M697" s="626" t="s">
        <v>63</v>
      </c>
      <c r="V697" s="622">
        <v>647</v>
      </c>
      <c r="W697" s="625" t="s">
        <v>35</v>
      </c>
      <c r="AB697" s="626">
        <v>82.05</v>
      </c>
      <c r="AC697" s="626" t="s">
        <v>78</v>
      </c>
      <c r="AJ697" s="622">
        <v>310.08999999999997</v>
      </c>
      <c r="AK697" s="622" t="s">
        <v>88</v>
      </c>
      <c r="AP697" s="1837"/>
      <c r="AQ697" s="1837"/>
      <c r="AZ697" s="622">
        <v>314.06</v>
      </c>
      <c r="BA697" s="622" t="s">
        <v>88</v>
      </c>
      <c r="BF697" s="1837"/>
      <c r="BG697" s="1837"/>
      <c r="BI697" s="1365"/>
      <c r="BJ697" s="1365"/>
      <c r="BK697" s="1365"/>
      <c r="BL697" s="1365"/>
      <c r="BM697" s="1365"/>
      <c r="BN697" s="1365"/>
      <c r="BO697" s="1365"/>
      <c r="BP697" s="1365"/>
      <c r="BQ697" s="1365"/>
      <c r="BR697" s="1365"/>
      <c r="BS697" s="1365"/>
    </row>
    <row r="698" spans="6:71">
      <c r="F698" s="622">
        <v>141.21</v>
      </c>
      <c r="G698" s="622" t="s">
        <v>91</v>
      </c>
      <c r="L698" s="626">
        <v>113.03</v>
      </c>
      <c r="M698" s="626" t="s">
        <v>63</v>
      </c>
      <c r="V698" s="622">
        <v>649.02</v>
      </c>
      <c r="W698" s="625" t="s">
        <v>35</v>
      </c>
      <c r="AB698" s="626">
        <v>82.06</v>
      </c>
      <c r="AC698" s="626" t="s">
        <v>78</v>
      </c>
      <c r="AJ698" s="622">
        <v>310.10000000000002</v>
      </c>
      <c r="AK698" s="622" t="s">
        <v>88</v>
      </c>
      <c r="AP698" s="1837"/>
      <c r="AQ698" s="1837"/>
      <c r="AZ698" s="622">
        <v>314.12</v>
      </c>
      <c r="BA698" s="622" t="s">
        <v>88</v>
      </c>
      <c r="BF698" s="1837"/>
      <c r="BG698" s="1837"/>
      <c r="BI698" s="1365"/>
      <c r="BJ698" s="1365"/>
      <c r="BK698" s="1365"/>
      <c r="BL698" s="1365"/>
      <c r="BM698" s="1365"/>
      <c r="BN698" s="1365"/>
      <c r="BO698" s="1365"/>
      <c r="BP698" s="1365"/>
      <c r="BQ698" s="1365"/>
      <c r="BR698" s="1365"/>
      <c r="BS698" s="1365"/>
    </row>
    <row r="699" spans="6:71">
      <c r="F699" s="622">
        <v>143.01</v>
      </c>
      <c r="G699" s="622" t="s">
        <v>91</v>
      </c>
      <c r="L699" s="626">
        <v>113.04</v>
      </c>
      <c r="M699" s="626" t="s">
        <v>63</v>
      </c>
      <c r="V699" s="622">
        <v>651.24</v>
      </c>
      <c r="W699" s="625" t="s">
        <v>35</v>
      </c>
      <c r="AB699" s="626">
        <v>82.07</v>
      </c>
      <c r="AC699" s="626" t="s">
        <v>78</v>
      </c>
      <c r="AJ699" s="622">
        <v>310.11</v>
      </c>
      <c r="AK699" s="622" t="s">
        <v>88</v>
      </c>
      <c r="AP699" s="1837"/>
      <c r="AQ699" s="1837"/>
      <c r="AZ699" s="622">
        <v>317.02999999999997</v>
      </c>
      <c r="BA699" s="625" t="s">
        <v>88</v>
      </c>
      <c r="BF699" s="1837"/>
      <c r="BG699" s="1837"/>
      <c r="BI699" s="1365"/>
      <c r="BJ699" s="1365"/>
      <c r="BK699" s="1365"/>
      <c r="BL699" s="1365"/>
      <c r="BM699" s="1365"/>
      <c r="BN699" s="1365"/>
      <c r="BO699" s="1365"/>
      <c r="BP699" s="1365"/>
      <c r="BQ699" s="1365"/>
      <c r="BR699" s="1365"/>
      <c r="BS699" s="1365"/>
    </row>
    <row r="700" spans="6:71">
      <c r="F700" s="622">
        <v>145.02000000000001</v>
      </c>
      <c r="G700" s="622" t="s">
        <v>91</v>
      </c>
      <c r="L700" s="626">
        <v>114.07</v>
      </c>
      <c r="M700" s="626" t="s">
        <v>63</v>
      </c>
      <c r="V700" s="622">
        <v>699.02</v>
      </c>
      <c r="W700" s="625" t="s">
        <v>35</v>
      </c>
      <c r="AB700" s="626">
        <v>82.08</v>
      </c>
      <c r="AC700" s="626" t="s">
        <v>78</v>
      </c>
      <c r="AJ700" s="622">
        <v>312.06</v>
      </c>
      <c r="AK700" s="622" t="s">
        <v>88</v>
      </c>
      <c r="AP700" s="1837"/>
      <c r="AQ700" s="1837"/>
      <c r="AZ700" s="622">
        <v>318.06</v>
      </c>
      <c r="BA700" s="625" t="s">
        <v>88</v>
      </c>
      <c r="BF700" s="1837"/>
      <c r="BG700" s="1837"/>
      <c r="BI700" s="1365"/>
      <c r="BJ700" s="1365"/>
      <c r="BK700" s="1365"/>
      <c r="BL700" s="1365"/>
      <c r="BM700" s="1365"/>
      <c r="BN700" s="1365"/>
      <c r="BO700" s="1365"/>
      <c r="BP700" s="1365"/>
      <c r="BQ700" s="1365"/>
      <c r="BR700" s="1365"/>
      <c r="BS700" s="1365"/>
    </row>
    <row r="701" spans="6:71">
      <c r="F701" s="622">
        <v>149.02000000000001</v>
      </c>
      <c r="G701" s="622" t="s">
        <v>91</v>
      </c>
      <c r="L701" s="626">
        <v>114.08</v>
      </c>
      <c r="M701" s="626" t="s">
        <v>63</v>
      </c>
      <c r="V701" s="622">
        <v>805</v>
      </c>
      <c r="W701" s="622" t="s">
        <v>36</v>
      </c>
      <c r="AB701" s="626">
        <v>82.09</v>
      </c>
      <c r="AC701" s="626" t="s">
        <v>78</v>
      </c>
      <c r="AJ701" s="622">
        <v>314.06</v>
      </c>
      <c r="AK701" s="622" t="s">
        <v>88</v>
      </c>
      <c r="AP701" s="1837"/>
      <c r="AQ701" s="1837"/>
      <c r="AZ701" s="622">
        <v>318.07</v>
      </c>
      <c r="BA701" s="625" t="s">
        <v>88</v>
      </c>
      <c r="BF701" s="1837"/>
      <c r="BG701" s="1837"/>
      <c r="BI701" s="1365"/>
      <c r="BJ701" s="1365"/>
      <c r="BK701" s="1365"/>
      <c r="BL701" s="1365"/>
      <c r="BM701" s="1365"/>
      <c r="BN701" s="1365"/>
      <c r="BO701" s="1365"/>
      <c r="BP701" s="1365"/>
      <c r="BQ701" s="1365"/>
      <c r="BR701" s="1365"/>
      <c r="BS701" s="1365"/>
    </row>
    <row r="702" spans="6:71">
      <c r="F702" s="622">
        <v>152</v>
      </c>
      <c r="G702" s="622" t="s">
        <v>91</v>
      </c>
      <c r="L702" s="626">
        <v>114.09</v>
      </c>
      <c r="M702" s="626" t="s">
        <v>63</v>
      </c>
      <c r="V702" s="622">
        <v>809.01</v>
      </c>
      <c r="W702" s="622" t="s">
        <v>102</v>
      </c>
      <c r="AB702" s="626">
        <v>83.05</v>
      </c>
      <c r="AC702" s="626" t="s">
        <v>78</v>
      </c>
      <c r="AJ702" s="622">
        <v>314.12</v>
      </c>
      <c r="AK702" s="622" t="s">
        <v>88</v>
      </c>
      <c r="AP702" s="1837"/>
      <c r="AQ702" s="1837"/>
      <c r="AZ702" s="622">
        <v>324.02</v>
      </c>
      <c r="BA702" s="625" t="s">
        <v>88</v>
      </c>
      <c r="BF702" s="1837"/>
      <c r="BG702" s="1837"/>
      <c r="BI702" s="1365"/>
      <c r="BJ702" s="1365"/>
      <c r="BK702" s="1365"/>
      <c r="BL702" s="1365"/>
      <c r="BM702" s="1365"/>
      <c r="BN702" s="1365"/>
      <c r="BO702" s="1365"/>
      <c r="BP702" s="1365"/>
      <c r="BQ702" s="1365"/>
      <c r="BR702" s="1365"/>
      <c r="BS702" s="1365"/>
    </row>
    <row r="703" spans="6:71">
      <c r="F703" s="622">
        <v>154.05000000000001</v>
      </c>
      <c r="G703" s="622" t="s">
        <v>91</v>
      </c>
      <c r="L703" s="626">
        <v>114.1</v>
      </c>
      <c r="M703" s="626" t="s">
        <v>63</v>
      </c>
      <c r="V703" s="622">
        <v>809.02</v>
      </c>
      <c r="W703" s="622" t="s">
        <v>102</v>
      </c>
      <c r="AB703" s="626">
        <v>83.08</v>
      </c>
      <c r="AC703" s="626" t="s">
        <v>78</v>
      </c>
      <c r="AJ703" s="622">
        <v>317.02999999999997</v>
      </c>
      <c r="AK703" s="622" t="s">
        <v>88</v>
      </c>
      <c r="AP703" s="1837"/>
      <c r="AQ703" s="1837"/>
      <c r="AZ703" s="622">
        <v>326.01</v>
      </c>
      <c r="BA703" s="625" t="s">
        <v>88</v>
      </c>
      <c r="BF703" s="1837"/>
      <c r="BG703" s="1837"/>
      <c r="BI703" s="1365"/>
      <c r="BJ703" s="1365"/>
      <c r="BK703" s="1365"/>
      <c r="BL703" s="1365"/>
      <c r="BM703" s="1365"/>
      <c r="BN703" s="1365"/>
      <c r="BO703" s="1365"/>
      <c r="BP703" s="1365"/>
      <c r="BQ703" s="1365"/>
      <c r="BR703" s="1365"/>
      <c r="BS703" s="1365"/>
    </row>
    <row r="704" spans="6:71">
      <c r="F704" s="622">
        <v>155</v>
      </c>
      <c r="G704" s="622" t="s">
        <v>91</v>
      </c>
      <c r="L704" s="626">
        <v>114.11</v>
      </c>
      <c r="M704" s="626" t="s">
        <v>63</v>
      </c>
      <c r="V704" s="622">
        <v>810</v>
      </c>
      <c r="W704" s="622" t="s">
        <v>102</v>
      </c>
      <c r="AB704" s="626">
        <v>84.05</v>
      </c>
      <c r="AC704" s="626" t="s">
        <v>78</v>
      </c>
      <c r="AJ704" s="622">
        <v>318.06</v>
      </c>
      <c r="AK704" s="622" t="s">
        <v>88</v>
      </c>
      <c r="AP704" s="1837"/>
      <c r="AQ704" s="1837"/>
      <c r="AZ704" s="622">
        <v>326.02</v>
      </c>
      <c r="BA704" s="625" t="s">
        <v>88</v>
      </c>
      <c r="BF704" s="1837"/>
      <c r="BG704" s="1837"/>
      <c r="BI704" s="1365"/>
      <c r="BJ704" s="1365"/>
      <c r="BK704" s="1365"/>
      <c r="BL704" s="1365"/>
      <c r="BM704" s="1365"/>
      <c r="BN704" s="1365"/>
      <c r="BO704" s="1365"/>
      <c r="BP704" s="1365"/>
      <c r="BQ704" s="1365"/>
      <c r="BR704" s="1365"/>
      <c r="BS704" s="1365"/>
    </row>
    <row r="705" spans="6:71">
      <c r="F705" s="622">
        <v>158.02000000000001</v>
      </c>
      <c r="G705" s="622" t="s">
        <v>91</v>
      </c>
      <c r="L705" s="626">
        <v>114.12</v>
      </c>
      <c r="M705" s="626" t="s">
        <v>63</v>
      </c>
      <c r="V705" s="622">
        <v>812</v>
      </c>
      <c r="W705" s="622" t="s">
        <v>102</v>
      </c>
      <c r="AB705" s="626">
        <v>84.07</v>
      </c>
      <c r="AC705" s="626" t="s">
        <v>78</v>
      </c>
      <c r="AJ705" s="622">
        <v>318.07</v>
      </c>
      <c r="AK705" s="622" t="s">
        <v>88</v>
      </c>
      <c r="AP705" s="1837"/>
      <c r="AQ705" s="1837"/>
      <c r="AZ705" s="622">
        <v>328.04</v>
      </c>
      <c r="BA705" s="625" t="s">
        <v>88</v>
      </c>
      <c r="BF705" s="1837"/>
      <c r="BG705" s="1837"/>
      <c r="BI705" s="1365"/>
      <c r="BJ705" s="1365"/>
      <c r="BK705" s="1365"/>
      <c r="BL705" s="1365"/>
      <c r="BM705" s="1365"/>
      <c r="BN705" s="1365"/>
      <c r="BO705" s="1365"/>
      <c r="BP705" s="1365"/>
      <c r="BQ705" s="1365"/>
      <c r="BR705" s="1365"/>
      <c r="BS705" s="1365"/>
    </row>
    <row r="706" spans="6:71">
      <c r="F706" s="622">
        <v>164</v>
      </c>
      <c r="G706" s="622" t="s">
        <v>91</v>
      </c>
      <c r="L706" s="626">
        <v>114.13</v>
      </c>
      <c r="M706" s="626" t="s">
        <v>63</v>
      </c>
      <c r="V706" s="622">
        <v>815</v>
      </c>
      <c r="W706" s="622" t="s">
        <v>102</v>
      </c>
      <c r="AB706" s="626">
        <v>84.09</v>
      </c>
      <c r="AC706" s="626" t="s">
        <v>78</v>
      </c>
      <c r="AJ706" s="622">
        <v>324.02</v>
      </c>
      <c r="AK706" s="622" t="s">
        <v>88</v>
      </c>
      <c r="AP706" s="1837"/>
      <c r="AQ706" s="1837"/>
      <c r="AZ706" s="622">
        <v>329.01</v>
      </c>
      <c r="BA706" s="625" t="s">
        <v>88</v>
      </c>
      <c r="BF706" s="1837"/>
      <c r="BG706" s="1837"/>
      <c r="BI706" s="1365"/>
      <c r="BJ706" s="1365"/>
      <c r="BK706" s="1365"/>
      <c r="BL706" s="1365"/>
      <c r="BM706" s="1365"/>
      <c r="BN706" s="1365"/>
      <c r="BO706" s="1365"/>
      <c r="BP706" s="1365"/>
      <c r="BQ706" s="1365"/>
      <c r="BR706" s="1365"/>
      <c r="BS706" s="1365"/>
    </row>
    <row r="707" spans="6:71">
      <c r="F707" s="622">
        <v>107.05</v>
      </c>
      <c r="G707" s="625" t="s">
        <v>95</v>
      </c>
      <c r="L707" s="626">
        <v>114.14</v>
      </c>
      <c r="M707" s="626" t="s">
        <v>63</v>
      </c>
      <c r="V707" s="622">
        <v>817</v>
      </c>
      <c r="W707" s="622" t="s">
        <v>102</v>
      </c>
      <c r="AB707" s="626">
        <v>84.1</v>
      </c>
      <c r="AC707" s="626" t="s">
        <v>78</v>
      </c>
      <c r="AJ707" s="622">
        <v>326.01</v>
      </c>
      <c r="AK707" s="625" t="s">
        <v>88</v>
      </c>
      <c r="AP707" s="1837"/>
      <c r="AQ707" s="1837"/>
      <c r="AZ707" s="622">
        <v>330.09</v>
      </c>
      <c r="BA707" s="625" t="s">
        <v>88</v>
      </c>
      <c r="BF707" s="1837"/>
      <c r="BG707" s="1837"/>
      <c r="BI707" s="1365"/>
      <c r="BJ707" s="1365"/>
      <c r="BK707" s="1365"/>
      <c r="BL707" s="1365"/>
      <c r="BM707" s="1365"/>
      <c r="BN707" s="1365"/>
      <c r="BO707" s="1365"/>
      <c r="BP707" s="1365"/>
      <c r="BQ707" s="1365"/>
      <c r="BR707" s="1365"/>
      <c r="BS707" s="1365"/>
    </row>
    <row r="708" spans="6:71">
      <c r="F708" s="622">
        <v>2</v>
      </c>
      <c r="G708" s="625" t="s">
        <v>96</v>
      </c>
      <c r="L708" s="626">
        <v>114.15</v>
      </c>
      <c r="M708" s="626" t="s">
        <v>63</v>
      </c>
      <c r="V708" s="622">
        <v>818</v>
      </c>
      <c r="W708" s="622" t="s">
        <v>102</v>
      </c>
      <c r="AB708" s="626">
        <v>84.12</v>
      </c>
      <c r="AC708" s="626" t="s">
        <v>78</v>
      </c>
      <c r="AJ708" s="622">
        <v>326.02</v>
      </c>
      <c r="AK708" s="625" t="s">
        <v>88</v>
      </c>
      <c r="AP708" s="1837"/>
      <c r="AQ708" s="1837"/>
      <c r="AZ708" s="622">
        <v>330.12</v>
      </c>
      <c r="BA708" s="625" t="s">
        <v>88</v>
      </c>
      <c r="BF708" s="1837"/>
      <c r="BG708" s="1837"/>
      <c r="BI708" s="1365"/>
      <c r="BJ708" s="1365"/>
      <c r="BK708" s="1365"/>
      <c r="BL708" s="1365"/>
      <c r="BM708" s="1365"/>
      <c r="BN708" s="1365"/>
      <c r="BO708" s="1365"/>
      <c r="BP708" s="1365"/>
      <c r="BQ708" s="1365"/>
      <c r="BR708" s="1365"/>
      <c r="BS708" s="1365"/>
    </row>
    <row r="709" spans="6:71">
      <c r="F709" s="622">
        <v>3</v>
      </c>
      <c r="G709" s="625" t="s">
        <v>96</v>
      </c>
      <c r="L709" s="626">
        <v>114.16</v>
      </c>
      <c r="M709" s="626" t="s">
        <v>63</v>
      </c>
      <c r="V709" s="622">
        <v>819</v>
      </c>
      <c r="W709" s="622" t="s">
        <v>102</v>
      </c>
      <c r="AB709" s="626">
        <v>84.14</v>
      </c>
      <c r="AC709" s="626" t="s">
        <v>78</v>
      </c>
      <c r="AJ709" s="622">
        <v>328.04</v>
      </c>
      <c r="AK709" s="625" t="s">
        <v>88</v>
      </c>
      <c r="AP709" s="1837"/>
      <c r="AQ709" s="1837"/>
      <c r="AZ709" s="622">
        <v>330.13</v>
      </c>
      <c r="BA709" s="625" t="s">
        <v>88</v>
      </c>
      <c r="BF709" s="1837"/>
      <c r="BG709" s="1837"/>
      <c r="BI709" s="1365"/>
      <c r="BJ709" s="1365"/>
      <c r="BK709" s="1365"/>
      <c r="BL709" s="1365"/>
      <c r="BM709" s="1365"/>
      <c r="BN709" s="1365"/>
      <c r="BO709" s="1365"/>
      <c r="BP709" s="1365"/>
      <c r="BQ709" s="1365"/>
      <c r="BR709" s="1365"/>
      <c r="BS709" s="1365"/>
    </row>
    <row r="710" spans="6:71">
      <c r="F710" s="622">
        <v>4.0599999999999996</v>
      </c>
      <c r="G710" s="625" t="s">
        <v>96</v>
      </c>
      <c r="L710" s="626">
        <v>114.17</v>
      </c>
      <c r="M710" s="626" t="s">
        <v>63</v>
      </c>
      <c r="V710" s="622">
        <v>820</v>
      </c>
      <c r="W710" s="622" t="s">
        <v>102</v>
      </c>
      <c r="AB710" s="626">
        <v>84.15</v>
      </c>
      <c r="AC710" s="626" t="s">
        <v>78</v>
      </c>
      <c r="AJ710" s="622">
        <v>329.01</v>
      </c>
      <c r="AK710" s="625" t="s">
        <v>88</v>
      </c>
      <c r="AP710" s="1837"/>
      <c r="AQ710" s="1837"/>
      <c r="AZ710" s="622">
        <v>330.14</v>
      </c>
      <c r="BA710" s="625" t="s">
        <v>88</v>
      </c>
      <c r="BF710" s="1837"/>
      <c r="BG710" s="1837"/>
      <c r="BI710" s="1365"/>
      <c r="BJ710" s="1365"/>
      <c r="BK710" s="1365"/>
      <c r="BL710" s="1365"/>
      <c r="BM710" s="1365"/>
      <c r="BN710" s="1365"/>
      <c r="BO710" s="1365"/>
      <c r="BP710" s="1365"/>
      <c r="BQ710" s="1365"/>
      <c r="BR710" s="1365"/>
      <c r="BS710" s="1365"/>
    </row>
    <row r="711" spans="6:71">
      <c r="F711" s="622">
        <v>10</v>
      </c>
      <c r="G711" s="625" t="s">
        <v>96</v>
      </c>
      <c r="L711" s="626">
        <v>114.18</v>
      </c>
      <c r="M711" s="626" t="s">
        <v>63</v>
      </c>
      <c r="V711" s="622">
        <v>821</v>
      </c>
      <c r="W711" s="622" t="s">
        <v>102</v>
      </c>
      <c r="AB711" s="626">
        <v>84.16</v>
      </c>
      <c r="AC711" s="626" t="s">
        <v>78</v>
      </c>
      <c r="AJ711" s="622">
        <v>330.09</v>
      </c>
      <c r="AK711" s="625" t="s">
        <v>88</v>
      </c>
      <c r="AP711" s="1837"/>
      <c r="AQ711" s="1837"/>
      <c r="AZ711" s="622">
        <v>401.09</v>
      </c>
      <c r="BA711" s="625" t="s">
        <v>70</v>
      </c>
      <c r="BF711" s="1837"/>
      <c r="BG711" s="1837"/>
      <c r="BI711" s="1365"/>
      <c r="BJ711" s="1365"/>
      <c r="BK711" s="1365"/>
      <c r="BL711" s="1365"/>
      <c r="BM711" s="1365"/>
      <c r="BN711" s="1365"/>
      <c r="BO711" s="1365"/>
      <c r="BP711" s="1365"/>
      <c r="BQ711" s="1365"/>
      <c r="BR711" s="1365"/>
      <c r="BS711" s="1365"/>
    </row>
    <row r="712" spans="6:71">
      <c r="F712" s="622">
        <v>11.02</v>
      </c>
      <c r="G712" s="625" t="s">
        <v>96</v>
      </c>
      <c r="L712" s="626">
        <v>115.04</v>
      </c>
      <c r="M712" s="626" t="s">
        <v>63</v>
      </c>
      <c r="V712" s="622">
        <v>822.01</v>
      </c>
      <c r="W712" s="622" t="s">
        <v>102</v>
      </c>
      <c r="AB712" s="626">
        <v>84.17</v>
      </c>
      <c r="AC712" s="626" t="s">
        <v>78</v>
      </c>
      <c r="AJ712" s="622">
        <v>330.12</v>
      </c>
      <c r="AK712" s="625" t="s">
        <v>88</v>
      </c>
      <c r="AP712" s="1837"/>
      <c r="AQ712" s="1837"/>
      <c r="AZ712" s="622">
        <v>401.22</v>
      </c>
      <c r="BA712" s="625" t="s">
        <v>70</v>
      </c>
      <c r="BF712" s="1837"/>
      <c r="BG712" s="1837"/>
      <c r="BI712" s="1365"/>
      <c r="BJ712" s="1365"/>
      <c r="BK712" s="1365"/>
      <c r="BL712" s="1365"/>
      <c r="BM712" s="1365"/>
      <c r="BN712" s="1365"/>
      <c r="BO712" s="1365"/>
      <c r="BP712" s="1365"/>
      <c r="BQ712" s="1365"/>
      <c r="BR712" s="1365"/>
      <c r="BS712" s="1365"/>
    </row>
    <row r="713" spans="6:71">
      <c r="F713" s="622">
        <v>201.01</v>
      </c>
      <c r="G713" s="625" t="s">
        <v>97</v>
      </c>
      <c r="L713" s="626">
        <v>115.06</v>
      </c>
      <c r="M713" s="626" t="s">
        <v>63</v>
      </c>
      <c r="V713" s="622">
        <v>823.01</v>
      </c>
      <c r="W713" s="622" t="s">
        <v>102</v>
      </c>
      <c r="AB713" s="626">
        <v>84.18</v>
      </c>
      <c r="AC713" s="626" t="s">
        <v>78</v>
      </c>
      <c r="AJ713" s="622">
        <v>330.13</v>
      </c>
      <c r="AK713" s="625" t="s">
        <v>88</v>
      </c>
      <c r="AP713" s="1837"/>
      <c r="AQ713" s="1837"/>
      <c r="AZ713" s="622">
        <v>403.04</v>
      </c>
      <c r="BA713" s="625" t="s">
        <v>70</v>
      </c>
      <c r="BF713" s="1837"/>
      <c r="BG713" s="1837"/>
      <c r="BI713" s="1365"/>
      <c r="BJ713" s="1365"/>
      <c r="BK713" s="1365"/>
      <c r="BL713" s="1365"/>
      <c r="BM713" s="1365"/>
      <c r="BN713" s="1365"/>
      <c r="BO713" s="1365"/>
      <c r="BP713" s="1365"/>
      <c r="BQ713" s="1365"/>
      <c r="BR713" s="1365"/>
      <c r="BS713" s="1365"/>
    </row>
    <row r="714" spans="6:71">
      <c r="F714" s="622">
        <v>205</v>
      </c>
      <c r="G714" s="625" t="s">
        <v>97</v>
      </c>
      <c r="L714" s="626">
        <v>115.07</v>
      </c>
      <c r="M714" s="626" t="s">
        <v>63</v>
      </c>
      <c r="V714" s="622">
        <v>824.01</v>
      </c>
      <c r="W714" s="622" t="s">
        <v>102</v>
      </c>
      <c r="AB714" s="626">
        <v>84.19</v>
      </c>
      <c r="AC714" s="626" t="s">
        <v>78</v>
      </c>
      <c r="AJ714" s="622">
        <v>330.14</v>
      </c>
      <c r="AK714" s="625" t="s">
        <v>88</v>
      </c>
      <c r="AP714" s="1837"/>
      <c r="AQ714" s="1837"/>
      <c r="AZ714" s="622">
        <v>403.05</v>
      </c>
      <c r="BA714" s="625" t="s">
        <v>70</v>
      </c>
      <c r="BF714" s="1837"/>
      <c r="BG714" s="1837"/>
      <c r="BI714" s="1365"/>
      <c r="BJ714" s="1365"/>
      <c r="BK714" s="1365"/>
      <c r="BL714" s="1365"/>
      <c r="BM714" s="1365"/>
      <c r="BN714" s="1365"/>
      <c r="BO714" s="1365"/>
      <c r="BP714" s="1365"/>
      <c r="BQ714" s="1365"/>
      <c r="BR714" s="1365"/>
      <c r="BS714" s="1365"/>
    </row>
    <row r="715" spans="6:71">
      <c r="F715" s="622">
        <v>220.01</v>
      </c>
      <c r="G715" s="625" t="s">
        <v>97</v>
      </c>
      <c r="L715" s="626">
        <v>115.09</v>
      </c>
      <c r="M715" s="626" t="s">
        <v>63</v>
      </c>
      <c r="V715" s="622">
        <v>824.15</v>
      </c>
      <c r="W715" s="622" t="s">
        <v>102</v>
      </c>
      <c r="AB715" s="626">
        <v>85.01</v>
      </c>
      <c r="AC715" s="626" t="s">
        <v>78</v>
      </c>
      <c r="AJ715" s="622">
        <v>201.09</v>
      </c>
      <c r="AK715" s="625" t="s">
        <v>89</v>
      </c>
      <c r="AP715" s="1837"/>
      <c r="AQ715" s="1837"/>
      <c r="AZ715" s="622">
        <v>403.11</v>
      </c>
      <c r="BA715" s="625" t="s">
        <v>70</v>
      </c>
      <c r="BF715" s="1837"/>
      <c r="BG715" s="1837"/>
      <c r="BI715" s="1365"/>
      <c r="BJ715" s="1365"/>
      <c r="BK715" s="1365"/>
      <c r="BL715" s="1365"/>
      <c r="BM715" s="1365"/>
      <c r="BN715" s="1365"/>
      <c r="BO715" s="1365"/>
      <c r="BP715" s="1365"/>
      <c r="BQ715" s="1365"/>
      <c r="BR715" s="1365"/>
      <c r="BS715" s="1365"/>
    </row>
    <row r="716" spans="6:71">
      <c r="F716" s="622">
        <v>221.01</v>
      </c>
      <c r="G716" s="625" t="s">
        <v>97</v>
      </c>
      <c r="L716" s="626">
        <v>115.1</v>
      </c>
      <c r="M716" s="626" t="s">
        <v>63</v>
      </c>
      <c r="V716" s="622">
        <v>903.01</v>
      </c>
      <c r="W716" s="622" t="s">
        <v>36</v>
      </c>
      <c r="AB716" s="626">
        <v>85.02</v>
      </c>
      <c r="AC716" s="626" t="s">
        <v>78</v>
      </c>
      <c r="AJ716" s="622">
        <v>201.1</v>
      </c>
      <c r="AK716" s="625" t="s">
        <v>89</v>
      </c>
      <c r="AP716" s="1837"/>
      <c r="AQ716" s="1837"/>
      <c r="AZ716" s="622">
        <v>404</v>
      </c>
      <c r="BA716" s="625" t="s">
        <v>61</v>
      </c>
      <c r="BF716" s="1837"/>
      <c r="BG716" s="1837"/>
      <c r="BI716" s="1365"/>
      <c r="BJ716" s="1365"/>
      <c r="BK716" s="1365"/>
      <c r="BL716" s="1365"/>
      <c r="BM716" s="1365"/>
      <c r="BN716" s="1365"/>
      <c r="BO716" s="1365"/>
      <c r="BP716" s="1365"/>
      <c r="BQ716" s="1365"/>
      <c r="BR716" s="1365"/>
      <c r="BS716" s="1365"/>
    </row>
    <row r="717" spans="6:71">
      <c r="F717" s="622">
        <v>203</v>
      </c>
      <c r="G717" s="622" t="s">
        <v>93</v>
      </c>
      <c r="L717" s="626">
        <v>115.12</v>
      </c>
      <c r="M717" s="626" t="s">
        <v>63</v>
      </c>
      <c r="V717" s="622">
        <v>904.03</v>
      </c>
      <c r="W717" s="622" t="s">
        <v>36</v>
      </c>
      <c r="AB717" s="626">
        <v>86.01</v>
      </c>
      <c r="AC717" s="626" t="s">
        <v>78</v>
      </c>
      <c r="AJ717" s="622">
        <v>205</v>
      </c>
      <c r="AK717" s="622" t="s">
        <v>89</v>
      </c>
      <c r="AP717" s="1837"/>
      <c r="AQ717" s="1837"/>
      <c r="AZ717" s="622">
        <v>405.04</v>
      </c>
      <c r="BA717" s="625" t="s">
        <v>61</v>
      </c>
      <c r="BF717" s="1837"/>
      <c r="BG717" s="1837"/>
      <c r="BI717" s="1365"/>
      <c r="BJ717" s="1365"/>
      <c r="BK717" s="1365"/>
      <c r="BL717" s="1365"/>
      <c r="BM717" s="1365"/>
      <c r="BN717" s="1365"/>
      <c r="BO717" s="1365"/>
      <c r="BP717" s="1365"/>
      <c r="BQ717" s="1365"/>
      <c r="BR717" s="1365"/>
      <c r="BS717" s="1365"/>
    </row>
    <row r="718" spans="6:71">
      <c r="F718" s="622">
        <v>204</v>
      </c>
      <c r="G718" s="622" t="s">
        <v>93</v>
      </c>
      <c r="L718" s="626">
        <v>115.14</v>
      </c>
      <c r="M718" s="626" t="s">
        <v>63</v>
      </c>
      <c r="V718" s="622">
        <v>905</v>
      </c>
      <c r="W718" s="622" t="s">
        <v>102</v>
      </c>
      <c r="AB718" s="626">
        <v>86.02</v>
      </c>
      <c r="AC718" s="626" t="s">
        <v>78</v>
      </c>
      <c r="AJ718" s="622">
        <v>206</v>
      </c>
      <c r="AK718" s="622" t="s">
        <v>89</v>
      </c>
      <c r="AP718" s="1837"/>
      <c r="AQ718" s="1837"/>
      <c r="AZ718" s="622">
        <v>409.01</v>
      </c>
      <c r="BA718" s="625" t="s">
        <v>36</v>
      </c>
      <c r="BF718" s="1837"/>
      <c r="BG718" s="1837"/>
      <c r="BI718" s="1365"/>
      <c r="BJ718" s="1365"/>
      <c r="BK718" s="1365"/>
      <c r="BL718" s="1365"/>
      <c r="BM718" s="1365"/>
      <c r="BN718" s="1365"/>
      <c r="BO718" s="1365"/>
      <c r="BP718" s="1365"/>
      <c r="BQ718" s="1365"/>
      <c r="BR718" s="1365"/>
      <c r="BS718" s="1365"/>
    </row>
    <row r="719" spans="6:71">
      <c r="F719" s="622">
        <v>210.02</v>
      </c>
      <c r="G719" s="622" t="s">
        <v>93</v>
      </c>
      <c r="L719" s="626">
        <v>115.15</v>
      </c>
      <c r="M719" s="626" t="s">
        <v>63</v>
      </c>
      <c r="V719" s="622">
        <v>906</v>
      </c>
      <c r="W719" s="622" t="s">
        <v>102</v>
      </c>
      <c r="AB719" s="626">
        <v>87.01</v>
      </c>
      <c r="AC719" s="626" t="s">
        <v>78</v>
      </c>
      <c r="AJ719" s="622">
        <v>207</v>
      </c>
      <c r="AK719" s="622" t="s">
        <v>89</v>
      </c>
      <c r="AP719" s="1837"/>
      <c r="AQ719" s="1837"/>
      <c r="AZ719" s="622">
        <v>409.02</v>
      </c>
      <c r="BA719" s="625" t="s">
        <v>36</v>
      </c>
      <c r="BF719" s="1837"/>
      <c r="BG719" s="1837"/>
      <c r="BI719" s="1365"/>
      <c r="BJ719" s="1365"/>
      <c r="BK719" s="1365"/>
      <c r="BL719" s="1365"/>
      <c r="BM719" s="1365"/>
      <c r="BN719" s="1365"/>
      <c r="BO719" s="1365"/>
      <c r="BP719" s="1365"/>
      <c r="BQ719" s="1365"/>
      <c r="BR719" s="1365"/>
      <c r="BS719" s="1365"/>
    </row>
    <row r="720" spans="6:71">
      <c r="F720" s="622">
        <v>3801</v>
      </c>
      <c r="G720" s="625" t="s">
        <v>94</v>
      </c>
      <c r="L720" s="626">
        <v>115.16</v>
      </c>
      <c r="M720" s="626" t="s">
        <v>63</v>
      </c>
      <c r="V720" s="622">
        <v>910.25</v>
      </c>
      <c r="W720" s="622" t="s">
        <v>102</v>
      </c>
      <c r="AB720" s="626">
        <v>87.02</v>
      </c>
      <c r="AC720" s="626" t="s">
        <v>78</v>
      </c>
      <c r="AJ720" s="622">
        <v>208</v>
      </c>
      <c r="AK720" s="625" t="s">
        <v>89</v>
      </c>
      <c r="AP720" s="1837"/>
      <c r="AQ720" s="1837"/>
      <c r="AZ720" s="622">
        <v>410</v>
      </c>
      <c r="BA720" s="625" t="s">
        <v>36</v>
      </c>
      <c r="BF720" s="1837"/>
      <c r="BG720" s="1837"/>
      <c r="BI720" s="1365"/>
      <c r="BJ720" s="1365"/>
      <c r="BK720" s="1365"/>
      <c r="BL720" s="1365"/>
      <c r="BM720" s="1365"/>
      <c r="BN720" s="1365"/>
      <c r="BO720" s="1365"/>
      <c r="BP720" s="1365"/>
      <c r="BQ720" s="1365"/>
      <c r="BR720" s="1365"/>
      <c r="BS720" s="1365"/>
    </row>
    <row r="721" spans="6:71">
      <c r="F721" s="622">
        <v>3802</v>
      </c>
      <c r="G721" s="625" t="s">
        <v>94</v>
      </c>
      <c r="L721" s="626">
        <v>115.17</v>
      </c>
      <c r="M721" s="626" t="s">
        <v>63</v>
      </c>
      <c r="V721" s="622">
        <v>925</v>
      </c>
      <c r="W721" s="622" t="s">
        <v>102</v>
      </c>
      <c r="AB721" s="626">
        <v>88.03</v>
      </c>
      <c r="AC721" s="626" t="s">
        <v>78</v>
      </c>
      <c r="AJ721" s="622">
        <v>212</v>
      </c>
      <c r="AK721" s="625" t="s">
        <v>89</v>
      </c>
      <c r="AP721" s="1837"/>
      <c r="AQ721" s="1837"/>
      <c r="AZ721" s="622">
        <v>412</v>
      </c>
      <c r="BA721" s="625" t="s">
        <v>36</v>
      </c>
      <c r="BF721" s="1837"/>
      <c r="BG721" s="1837"/>
      <c r="BI721" s="1365"/>
      <c r="BJ721" s="1365"/>
      <c r="BK721" s="1365"/>
      <c r="BL721" s="1365"/>
      <c r="BM721" s="1365"/>
      <c r="BN721" s="1365"/>
      <c r="BO721" s="1365"/>
      <c r="BP721" s="1365"/>
      <c r="BQ721" s="1365"/>
      <c r="BR721" s="1365"/>
      <c r="BS721" s="1365"/>
    </row>
    <row r="722" spans="6:71">
      <c r="F722" s="622">
        <v>3803</v>
      </c>
      <c r="G722" s="625" t="s">
        <v>94</v>
      </c>
      <c r="L722" s="626">
        <v>115.18</v>
      </c>
      <c r="M722" s="626" t="s">
        <v>63</v>
      </c>
      <c r="V722" s="622">
        <v>1004</v>
      </c>
      <c r="W722" s="622" t="s">
        <v>36</v>
      </c>
      <c r="AB722" s="626">
        <v>88.04</v>
      </c>
      <c r="AC722" s="626" t="s">
        <v>78</v>
      </c>
      <c r="AJ722" s="622">
        <v>216</v>
      </c>
      <c r="AK722" s="625" t="s">
        <v>89</v>
      </c>
      <c r="AP722" s="1837"/>
      <c r="AQ722" s="1837"/>
      <c r="AZ722" s="622">
        <v>412.04</v>
      </c>
      <c r="BA722" s="625" t="s">
        <v>61</v>
      </c>
      <c r="BF722" s="1837"/>
      <c r="BG722" s="1837"/>
      <c r="BI722" s="1365"/>
      <c r="BJ722" s="1365"/>
      <c r="BK722" s="1365"/>
      <c r="BL722" s="1365"/>
      <c r="BM722" s="1365"/>
      <c r="BN722" s="1365"/>
      <c r="BO722" s="1365"/>
      <c r="BP722" s="1365"/>
      <c r="BQ722" s="1365"/>
      <c r="BR722" s="1365"/>
      <c r="BS722" s="1365"/>
    </row>
    <row r="723" spans="6:71">
      <c r="F723" s="622">
        <v>3804</v>
      </c>
      <c r="G723" s="625" t="s">
        <v>94</v>
      </c>
      <c r="L723" s="626">
        <v>115.19</v>
      </c>
      <c r="M723" s="626" t="s">
        <v>63</v>
      </c>
      <c r="V723" s="622">
        <v>1005.02</v>
      </c>
      <c r="W723" s="622" t="s">
        <v>36</v>
      </c>
      <c r="AB723" s="626">
        <v>89.01</v>
      </c>
      <c r="AC723" s="626" t="s">
        <v>78</v>
      </c>
      <c r="AJ723" s="622">
        <v>245.1</v>
      </c>
      <c r="AK723" s="625" t="s">
        <v>89</v>
      </c>
      <c r="AP723" s="1837"/>
      <c r="AQ723" s="1837"/>
      <c r="AZ723" s="622">
        <v>413</v>
      </c>
      <c r="BA723" s="625" t="s">
        <v>36</v>
      </c>
      <c r="BF723" s="1837"/>
      <c r="BG723" s="1837"/>
      <c r="BI723" s="1365"/>
      <c r="BJ723" s="1365"/>
      <c r="BK723" s="1365"/>
      <c r="BL723" s="1365"/>
      <c r="BM723" s="1365"/>
      <c r="BN723" s="1365"/>
      <c r="BO723" s="1365"/>
      <c r="BP723" s="1365"/>
      <c r="BQ723" s="1365"/>
      <c r="BR723" s="1365"/>
      <c r="BS723" s="1365"/>
    </row>
    <row r="724" spans="6:71">
      <c r="F724" s="622">
        <v>3805</v>
      </c>
      <c r="G724" s="625" t="s">
        <v>94</v>
      </c>
      <c r="L724" s="626">
        <v>115.2</v>
      </c>
      <c r="M724" s="626" t="s">
        <v>63</v>
      </c>
      <c r="V724" s="622">
        <v>1007</v>
      </c>
      <c r="W724" s="622" t="s">
        <v>36</v>
      </c>
      <c r="AB724" s="626">
        <v>89.02</v>
      </c>
      <c r="AC724" s="626" t="s">
        <v>78</v>
      </c>
      <c r="AJ724" s="622">
        <v>246.03</v>
      </c>
      <c r="AK724" s="625" t="s">
        <v>89</v>
      </c>
      <c r="AP724" s="1837"/>
      <c r="AQ724" s="1837"/>
      <c r="AZ724" s="622">
        <v>414</v>
      </c>
      <c r="BA724" s="625" t="s">
        <v>36</v>
      </c>
      <c r="BF724" s="1837"/>
      <c r="BG724" s="1837"/>
      <c r="BI724" s="1365"/>
      <c r="BJ724" s="1365"/>
      <c r="BK724" s="1365"/>
      <c r="BL724" s="1365"/>
      <c r="BM724" s="1365"/>
      <c r="BN724" s="1365"/>
      <c r="BO724" s="1365"/>
      <c r="BP724" s="1365"/>
      <c r="BQ724" s="1365"/>
      <c r="BR724" s="1365"/>
      <c r="BS724" s="1365"/>
    </row>
    <row r="725" spans="6:71">
      <c r="F725" s="622">
        <v>3806</v>
      </c>
      <c r="G725" s="625" t="s">
        <v>94</v>
      </c>
      <c r="L725" s="626">
        <v>115.21</v>
      </c>
      <c r="M725" s="626" t="s">
        <v>63</v>
      </c>
      <c r="V725" s="622">
        <v>1008.01</v>
      </c>
      <c r="W725" s="622" t="s">
        <v>36</v>
      </c>
      <c r="AB725" s="626">
        <v>89.06</v>
      </c>
      <c r="AC725" s="626" t="s">
        <v>78</v>
      </c>
      <c r="AJ725" s="622">
        <v>246.04</v>
      </c>
      <c r="AK725" s="625" t="s">
        <v>89</v>
      </c>
      <c r="AP725" s="1837"/>
      <c r="AQ725" s="1837"/>
      <c r="AZ725" s="622">
        <v>414.01</v>
      </c>
      <c r="BA725" s="625" t="s">
        <v>61</v>
      </c>
      <c r="BF725" s="1837"/>
      <c r="BG725" s="1837"/>
      <c r="BI725" s="1365"/>
      <c r="BJ725" s="1365"/>
      <c r="BK725" s="1365"/>
      <c r="BL725" s="1365"/>
      <c r="BM725" s="1365"/>
      <c r="BN725" s="1365"/>
      <c r="BO725" s="1365"/>
      <c r="BP725" s="1365"/>
      <c r="BQ725" s="1365"/>
      <c r="BR725" s="1365"/>
      <c r="BS725" s="1365"/>
    </row>
    <row r="726" spans="6:71">
      <c r="F726" s="622">
        <v>3809.01</v>
      </c>
      <c r="G726" s="625" t="s">
        <v>94</v>
      </c>
      <c r="L726" s="626">
        <v>115.22</v>
      </c>
      <c r="M726" s="626" t="s">
        <v>63</v>
      </c>
      <c r="V726" s="622">
        <v>1103.3399999999999</v>
      </c>
      <c r="W726" s="622" t="s">
        <v>36</v>
      </c>
      <c r="AB726" s="626">
        <v>89.07</v>
      </c>
      <c r="AC726" s="626" t="s">
        <v>78</v>
      </c>
      <c r="AJ726" s="622">
        <v>247.01</v>
      </c>
      <c r="AK726" s="625" t="s">
        <v>89</v>
      </c>
      <c r="AP726" s="1837"/>
      <c r="AQ726" s="1837"/>
      <c r="AZ726" s="622">
        <v>415</v>
      </c>
      <c r="BA726" s="625" t="s">
        <v>36</v>
      </c>
      <c r="BF726" s="1837"/>
      <c r="BG726" s="1837"/>
      <c r="BI726" s="1365"/>
      <c r="BJ726" s="1365"/>
      <c r="BK726" s="1365"/>
      <c r="BL726" s="1365"/>
      <c r="BM726" s="1365"/>
      <c r="BN726" s="1365"/>
      <c r="BO726" s="1365"/>
      <c r="BP726" s="1365"/>
      <c r="BQ726" s="1365"/>
      <c r="BR726" s="1365"/>
      <c r="BS726" s="1365"/>
    </row>
    <row r="727" spans="6:71">
      <c r="F727" s="622">
        <v>3809.02</v>
      </c>
      <c r="G727" s="625" t="s">
        <v>94</v>
      </c>
      <c r="L727" s="626">
        <v>115.23</v>
      </c>
      <c r="M727" s="626" t="s">
        <v>63</v>
      </c>
      <c r="V727" s="622">
        <v>1103.3499999999999</v>
      </c>
      <c r="W727" s="622" t="s">
        <v>36</v>
      </c>
      <c r="AB727" s="626">
        <v>90.06</v>
      </c>
      <c r="AC727" s="626" t="s">
        <v>78</v>
      </c>
      <c r="AJ727" s="622">
        <v>248.04</v>
      </c>
      <c r="AK727" s="625" t="s">
        <v>89</v>
      </c>
      <c r="AP727" s="1837"/>
      <c r="AQ727" s="1837"/>
      <c r="AZ727" s="622">
        <v>416</v>
      </c>
      <c r="BA727" s="622" t="s">
        <v>86</v>
      </c>
      <c r="BF727" s="1837"/>
      <c r="BG727" s="1837"/>
      <c r="BI727" s="1365"/>
      <c r="BJ727" s="1365"/>
      <c r="BK727" s="1365"/>
      <c r="BL727" s="1365"/>
      <c r="BM727" s="1365"/>
      <c r="BN727" s="1365"/>
      <c r="BO727" s="1365"/>
      <c r="BP727" s="1365"/>
      <c r="BQ727" s="1365"/>
      <c r="BR727" s="1365"/>
      <c r="BS727" s="1365"/>
    </row>
    <row r="728" spans="6:71">
      <c r="F728" s="622">
        <v>3814.01</v>
      </c>
      <c r="G728" s="625" t="s">
        <v>94</v>
      </c>
      <c r="L728" s="626">
        <v>115.24</v>
      </c>
      <c r="M728" s="626" t="s">
        <v>63</v>
      </c>
      <c r="V728" s="622">
        <v>3801</v>
      </c>
      <c r="W728" s="625" t="s">
        <v>94</v>
      </c>
      <c r="AB728" s="626">
        <v>90.1</v>
      </c>
      <c r="AC728" s="626" t="s">
        <v>78</v>
      </c>
      <c r="AJ728" s="622">
        <v>250.17</v>
      </c>
      <c r="AK728" s="625" t="s">
        <v>89</v>
      </c>
      <c r="AP728" s="1837"/>
      <c r="AQ728" s="1837"/>
      <c r="AZ728" s="622">
        <v>416.01</v>
      </c>
      <c r="BA728" s="625" t="s">
        <v>36</v>
      </c>
      <c r="BF728" s="1837"/>
      <c r="BG728" s="1837"/>
      <c r="BI728" s="1365"/>
      <c r="BJ728" s="1365"/>
      <c r="BK728" s="1365"/>
      <c r="BL728" s="1365"/>
      <c r="BM728" s="1365"/>
      <c r="BN728" s="1365"/>
      <c r="BO728" s="1365"/>
      <c r="BP728" s="1365"/>
      <c r="BQ728" s="1365"/>
      <c r="BR728" s="1365"/>
      <c r="BS728" s="1365"/>
    </row>
    <row r="729" spans="6:71">
      <c r="F729" s="622">
        <v>809.01</v>
      </c>
      <c r="G729" s="622" t="s">
        <v>102</v>
      </c>
      <c r="L729" s="626">
        <v>116.06</v>
      </c>
      <c r="M729" s="626" t="s">
        <v>63</v>
      </c>
      <c r="V729" s="622">
        <v>3802</v>
      </c>
      <c r="W729" s="625" t="s">
        <v>94</v>
      </c>
      <c r="AB729" s="626">
        <v>90.14</v>
      </c>
      <c r="AC729" s="626" t="s">
        <v>78</v>
      </c>
      <c r="AJ729" s="622">
        <v>251.15</v>
      </c>
      <c r="AK729" s="622" t="s">
        <v>89</v>
      </c>
      <c r="AP729" s="1837"/>
      <c r="AQ729" s="1837"/>
      <c r="AZ729" s="622">
        <v>416.02</v>
      </c>
      <c r="BA729" s="625" t="s">
        <v>36</v>
      </c>
      <c r="BF729" s="1837"/>
      <c r="BG729" s="1837"/>
      <c r="BI729" s="1365"/>
      <c r="BJ729" s="1365"/>
      <c r="BK729" s="1365"/>
      <c r="BL729" s="1365"/>
      <c r="BM729" s="1365"/>
      <c r="BN729" s="1365"/>
      <c r="BO729" s="1365"/>
      <c r="BP729" s="1365"/>
      <c r="BQ729" s="1365"/>
      <c r="BR729" s="1365"/>
      <c r="BS729" s="1365"/>
    </row>
    <row r="730" spans="6:71">
      <c r="F730" s="622">
        <v>809.02</v>
      </c>
      <c r="G730" s="622" t="s">
        <v>102</v>
      </c>
      <c r="L730" s="626">
        <v>116.08</v>
      </c>
      <c r="M730" s="626" t="s">
        <v>63</v>
      </c>
      <c r="V730" s="622">
        <v>3803</v>
      </c>
      <c r="W730" s="625" t="s">
        <v>94</v>
      </c>
      <c r="AB730" s="626">
        <v>90.15</v>
      </c>
      <c r="AC730" s="626" t="s">
        <v>78</v>
      </c>
      <c r="AJ730" s="622">
        <v>253.05</v>
      </c>
      <c r="AK730" s="622" t="s">
        <v>89</v>
      </c>
      <c r="AP730" s="1837"/>
      <c r="AQ730" s="1837"/>
      <c r="AZ730" s="622">
        <v>417</v>
      </c>
      <c r="BA730" s="625" t="s">
        <v>36</v>
      </c>
      <c r="BF730" s="1837"/>
      <c r="BG730" s="1837"/>
      <c r="BI730" s="1365"/>
      <c r="BJ730" s="1365"/>
      <c r="BK730" s="1365"/>
      <c r="BL730" s="1365"/>
      <c r="BM730" s="1365"/>
      <c r="BN730" s="1365"/>
      <c r="BO730" s="1365"/>
      <c r="BP730" s="1365"/>
      <c r="BQ730" s="1365"/>
      <c r="BR730" s="1365"/>
      <c r="BS730" s="1365"/>
    </row>
    <row r="731" spans="6:71">
      <c r="F731" s="622">
        <v>810</v>
      </c>
      <c r="G731" s="622" t="s">
        <v>102</v>
      </c>
      <c r="L731" s="626">
        <v>116.12</v>
      </c>
      <c r="M731" s="626" t="s">
        <v>63</v>
      </c>
      <c r="V731" s="622">
        <v>3804</v>
      </c>
      <c r="W731" s="625" t="s">
        <v>94</v>
      </c>
      <c r="AB731" s="626">
        <v>90.19</v>
      </c>
      <c r="AC731" s="626" t="s">
        <v>78</v>
      </c>
      <c r="AJ731" s="622">
        <v>255.05</v>
      </c>
      <c r="AK731" s="622" t="s">
        <v>89</v>
      </c>
      <c r="AP731" s="1837"/>
      <c r="AQ731" s="1837"/>
      <c r="AZ731" s="622">
        <v>418</v>
      </c>
      <c r="BA731" s="625" t="s">
        <v>86</v>
      </c>
      <c r="BF731" s="1837"/>
      <c r="BG731" s="1837"/>
      <c r="BI731" s="1365"/>
      <c r="BJ731" s="1365"/>
      <c r="BK731" s="1365"/>
      <c r="BL731" s="1365"/>
      <c r="BM731" s="1365"/>
      <c r="BN731" s="1365"/>
      <c r="BO731" s="1365"/>
      <c r="BP731" s="1365"/>
      <c r="BQ731" s="1365"/>
      <c r="BR731" s="1365"/>
      <c r="BS731" s="1365"/>
    </row>
    <row r="732" spans="6:71">
      <c r="F732" s="622">
        <v>812</v>
      </c>
      <c r="G732" s="622" t="s">
        <v>102</v>
      </c>
      <c r="L732" s="626">
        <v>117.06</v>
      </c>
      <c r="M732" s="626" t="s">
        <v>63</v>
      </c>
      <c r="V732" s="622">
        <v>3805</v>
      </c>
      <c r="W732" s="625" t="s">
        <v>94</v>
      </c>
      <c r="AB732" s="626">
        <v>90.23</v>
      </c>
      <c r="AC732" s="626" t="s">
        <v>78</v>
      </c>
      <c r="AJ732" s="622">
        <v>256.02</v>
      </c>
      <c r="AK732" s="622" t="s">
        <v>89</v>
      </c>
      <c r="AP732" s="1837"/>
      <c r="AQ732" s="1837"/>
      <c r="AZ732" s="622">
        <v>419</v>
      </c>
      <c r="BA732" s="625" t="s">
        <v>86</v>
      </c>
      <c r="BF732" s="1837"/>
      <c r="BG732" s="1837"/>
      <c r="BI732" s="1365"/>
      <c r="BJ732" s="1365"/>
      <c r="BK732" s="1365"/>
      <c r="BL732" s="1365"/>
      <c r="BM732" s="1365"/>
      <c r="BN732" s="1365"/>
      <c r="BO732" s="1365"/>
      <c r="BP732" s="1365"/>
      <c r="BQ732" s="1365"/>
      <c r="BR732" s="1365"/>
      <c r="BS732" s="1365"/>
    </row>
    <row r="733" spans="6:71">
      <c r="F733" s="622">
        <v>815</v>
      </c>
      <c r="G733" s="622" t="s">
        <v>102</v>
      </c>
      <c r="L733" s="626">
        <v>117.08</v>
      </c>
      <c r="M733" s="626" t="s">
        <v>63</v>
      </c>
      <c r="V733" s="622">
        <v>3806</v>
      </c>
      <c r="W733" s="625" t="s">
        <v>94</v>
      </c>
      <c r="AB733" s="626">
        <v>90.24</v>
      </c>
      <c r="AC733" s="626" t="s">
        <v>78</v>
      </c>
      <c r="AJ733" s="622">
        <v>258</v>
      </c>
      <c r="AK733" s="622" t="s">
        <v>89</v>
      </c>
      <c r="AP733" s="1837"/>
      <c r="AQ733" s="1837"/>
      <c r="AZ733" s="622">
        <v>420</v>
      </c>
      <c r="BA733" s="625" t="s">
        <v>86</v>
      </c>
      <c r="BF733" s="1837"/>
      <c r="BG733" s="1837"/>
      <c r="BI733" s="1365"/>
      <c r="BJ733" s="1365"/>
      <c r="BK733" s="1365"/>
      <c r="BL733" s="1365"/>
      <c r="BM733" s="1365"/>
      <c r="BN733" s="1365"/>
      <c r="BO733" s="1365"/>
      <c r="BP733" s="1365"/>
      <c r="BQ733" s="1365"/>
      <c r="BR733" s="1365"/>
      <c r="BS733" s="1365"/>
    </row>
    <row r="734" spans="6:71">
      <c r="F734" s="622">
        <v>817</v>
      </c>
      <c r="G734" s="622" t="s">
        <v>102</v>
      </c>
      <c r="L734" s="626">
        <v>117.09</v>
      </c>
      <c r="M734" s="626" t="s">
        <v>63</v>
      </c>
      <c r="V734" s="622">
        <v>3809.01</v>
      </c>
      <c r="W734" s="625" t="s">
        <v>94</v>
      </c>
      <c r="AB734" s="626">
        <v>90.28</v>
      </c>
      <c r="AC734" s="626" t="s">
        <v>78</v>
      </c>
      <c r="AJ734" s="622">
        <v>259.01</v>
      </c>
      <c r="AK734" s="622" t="s">
        <v>89</v>
      </c>
      <c r="AP734" s="1837"/>
      <c r="AQ734" s="1837"/>
      <c r="AZ734" s="622">
        <v>421</v>
      </c>
      <c r="BA734" s="625" t="s">
        <v>86</v>
      </c>
      <c r="BF734" s="1837"/>
      <c r="BG734" s="1837"/>
      <c r="BI734" s="1365"/>
      <c r="BJ734" s="1365"/>
      <c r="BK734" s="1365"/>
      <c r="BL734" s="1365"/>
      <c r="BM734" s="1365"/>
      <c r="BN734" s="1365"/>
      <c r="BO734" s="1365"/>
      <c r="BP734" s="1365"/>
      <c r="BQ734" s="1365"/>
      <c r="BR734" s="1365"/>
      <c r="BS734" s="1365"/>
    </row>
    <row r="735" spans="6:71">
      <c r="F735" s="622">
        <v>818</v>
      </c>
      <c r="G735" s="622" t="s">
        <v>102</v>
      </c>
      <c r="L735" s="626">
        <v>117.1</v>
      </c>
      <c r="M735" s="626" t="s">
        <v>63</v>
      </c>
      <c r="V735" s="622">
        <v>3809.02</v>
      </c>
      <c r="W735" s="625" t="s">
        <v>94</v>
      </c>
      <c r="AB735" s="626">
        <v>90.29</v>
      </c>
      <c r="AC735" s="626" t="s">
        <v>78</v>
      </c>
      <c r="AJ735" s="622">
        <v>259.02</v>
      </c>
      <c r="AK735" s="622" t="s">
        <v>89</v>
      </c>
      <c r="AP735" s="1837"/>
      <c r="AQ735" s="1837"/>
      <c r="AZ735" s="622">
        <v>422.02</v>
      </c>
      <c r="BA735" s="625" t="s">
        <v>86</v>
      </c>
      <c r="BF735" s="1837"/>
      <c r="BG735" s="1837"/>
      <c r="BI735" s="1365"/>
      <c r="BJ735" s="1365"/>
      <c r="BK735" s="1365"/>
      <c r="BL735" s="1365"/>
      <c r="BM735" s="1365"/>
      <c r="BN735" s="1365"/>
      <c r="BO735" s="1365"/>
      <c r="BP735" s="1365"/>
      <c r="BQ735" s="1365"/>
      <c r="BR735" s="1365"/>
      <c r="BS735" s="1365"/>
    </row>
    <row r="736" spans="6:71">
      <c r="F736" s="622">
        <v>819</v>
      </c>
      <c r="G736" s="622" t="s">
        <v>102</v>
      </c>
      <c r="L736" s="626">
        <v>117.12</v>
      </c>
      <c r="M736" s="626" t="s">
        <v>63</v>
      </c>
      <c r="V736" s="622">
        <v>3814.01</v>
      </c>
      <c r="W736" s="625" t="s">
        <v>94</v>
      </c>
      <c r="AB736" s="626">
        <v>90.3</v>
      </c>
      <c r="AC736" s="626" t="s">
        <v>78</v>
      </c>
      <c r="AJ736" s="622">
        <v>261.01</v>
      </c>
      <c r="AK736" s="622" t="s">
        <v>89</v>
      </c>
      <c r="AP736" s="1837"/>
      <c r="AQ736" s="1837"/>
      <c r="AZ736" s="622">
        <v>423</v>
      </c>
      <c r="BA736" s="622" t="s">
        <v>86</v>
      </c>
      <c r="BF736" s="1837"/>
      <c r="BG736" s="1837"/>
      <c r="BI736" s="1365"/>
      <c r="BJ736" s="1365"/>
      <c r="BK736" s="1365"/>
      <c r="BL736" s="1365"/>
      <c r="BM736" s="1365"/>
      <c r="BN736" s="1365"/>
      <c r="BO736" s="1365"/>
      <c r="BP736" s="1365"/>
      <c r="BQ736" s="1365"/>
      <c r="BR736" s="1365"/>
      <c r="BS736" s="1365"/>
    </row>
    <row r="737" spans="6:71">
      <c r="F737" s="622">
        <v>820</v>
      </c>
      <c r="G737" s="622" t="s">
        <v>102</v>
      </c>
      <c r="L737" s="626">
        <v>121.08</v>
      </c>
      <c r="M737" s="626" t="s">
        <v>63</v>
      </c>
      <c r="V737" s="622">
        <v>4502.0200000000004</v>
      </c>
      <c r="W737" s="622" t="s">
        <v>42</v>
      </c>
      <c r="AB737" s="626">
        <v>90.31</v>
      </c>
      <c r="AC737" s="626" t="s">
        <v>78</v>
      </c>
      <c r="AJ737" s="622">
        <v>262</v>
      </c>
      <c r="AK737" s="622" t="s">
        <v>89</v>
      </c>
      <c r="AP737" s="1837"/>
      <c r="AQ737" s="1837"/>
      <c r="AZ737" s="622">
        <v>427</v>
      </c>
      <c r="BA737" s="625" t="s">
        <v>36</v>
      </c>
      <c r="BF737" s="1837"/>
      <c r="BG737" s="1837"/>
      <c r="BI737" s="1365"/>
      <c r="BJ737" s="1365"/>
      <c r="BK737" s="1365"/>
      <c r="BL737" s="1365"/>
      <c r="BM737" s="1365"/>
      <c r="BN737" s="1365"/>
      <c r="BO737" s="1365"/>
      <c r="BP737" s="1365"/>
      <c r="BQ737" s="1365"/>
      <c r="BR737" s="1365"/>
      <c r="BS737" s="1365"/>
    </row>
    <row r="738" spans="6:71">
      <c r="F738" s="622">
        <v>821</v>
      </c>
      <c r="G738" s="622" t="s">
        <v>102</v>
      </c>
      <c r="L738" s="626">
        <v>122.06</v>
      </c>
      <c r="M738" s="626" t="s">
        <v>63</v>
      </c>
      <c r="V738" s="622">
        <v>4503.03</v>
      </c>
      <c r="W738" s="622" t="s">
        <v>42</v>
      </c>
      <c r="AB738" s="626">
        <v>90.34</v>
      </c>
      <c r="AC738" s="626" t="s">
        <v>78</v>
      </c>
      <c r="AJ738" s="622">
        <v>263</v>
      </c>
      <c r="AK738" s="622" t="s">
        <v>89</v>
      </c>
      <c r="AP738" s="1837"/>
      <c r="AQ738" s="1837"/>
      <c r="AZ738" s="622">
        <v>427.02</v>
      </c>
      <c r="BA738" s="625" t="s">
        <v>86</v>
      </c>
      <c r="BF738" s="1837"/>
      <c r="BG738" s="1837"/>
      <c r="BI738" s="1365"/>
      <c r="BJ738" s="1365"/>
      <c r="BK738" s="1365"/>
      <c r="BL738" s="1365"/>
      <c r="BM738" s="1365"/>
      <c r="BN738" s="1365"/>
      <c r="BO738" s="1365"/>
      <c r="BP738" s="1365"/>
      <c r="BQ738" s="1365"/>
      <c r="BR738" s="1365"/>
      <c r="BS738" s="1365"/>
    </row>
    <row r="739" spans="6:71">
      <c r="F739" s="622">
        <v>822.01</v>
      </c>
      <c r="G739" s="622" t="s">
        <v>102</v>
      </c>
      <c r="L739" s="626">
        <v>122.07</v>
      </c>
      <c r="M739" s="626" t="s">
        <v>63</v>
      </c>
      <c r="V739" s="622">
        <v>4508</v>
      </c>
      <c r="W739" s="622" t="s">
        <v>42</v>
      </c>
      <c r="AB739" s="626">
        <v>90.35</v>
      </c>
      <c r="AC739" s="626" t="s">
        <v>78</v>
      </c>
      <c r="AJ739" s="622">
        <v>264.02</v>
      </c>
      <c r="AK739" s="622" t="s">
        <v>89</v>
      </c>
      <c r="AP739" s="1837"/>
      <c r="AQ739" s="1837"/>
      <c r="AZ739" s="622">
        <v>428.01</v>
      </c>
      <c r="BA739" s="625" t="s">
        <v>36</v>
      </c>
      <c r="BF739" s="1837"/>
      <c r="BG739" s="1837"/>
      <c r="BI739" s="1365"/>
      <c r="BJ739" s="1365"/>
      <c r="BK739" s="1365"/>
      <c r="BL739" s="1365"/>
      <c r="BM739" s="1365"/>
      <c r="BN739" s="1365"/>
      <c r="BO739" s="1365"/>
      <c r="BP739" s="1365"/>
      <c r="BQ739" s="1365"/>
      <c r="BR739" s="1365"/>
      <c r="BS739" s="1365"/>
    </row>
    <row r="740" spans="6:71">
      <c r="F740" s="622">
        <v>823.01</v>
      </c>
      <c r="G740" s="622" t="s">
        <v>102</v>
      </c>
      <c r="L740" s="626">
        <v>122.08</v>
      </c>
      <c r="M740" s="626" t="s">
        <v>63</v>
      </c>
      <c r="V740" s="622">
        <v>4514</v>
      </c>
      <c r="W740" s="622" t="s">
        <v>42</v>
      </c>
      <c r="AB740" s="626">
        <v>90.36</v>
      </c>
      <c r="AC740" s="626" t="s">
        <v>78</v>
      </c>
      <c r="AJ740" s="622">
        <v>269.08999999999997</v>
      </c>
      <c r="AK740" s="622" t="s">
        <v>89</v>
      </c>
      <c r="AP740" s="1837"/>
      <c r="AQ740" s="1837"/>
      <c r="AZ740" s="622">
        <v>428.02</v>
      </c>
      <c r="BA740" s="625" t="s">
        <v>36</v>
      </c>
      <c r="BF740" s="1837"/>
      <c r="BG740" s="1837"/>
      <c r="BI740" s="1365"/>
      <c r="BJ740" s="1365"/>
      <c r="BK740" s="1365"/>
      <c r="BL740" s="1365"/>
      <c r="BM740" s="1365"/>
      <c r="BN740" s="1365"/>
      <c r="BO740" s="1365"/>
      <c r="BP740" s="1365"/>
      <c r="BQ740" s="1365"/>
      <c r="BR740" s="1365"/>
      <c r="BS740" s="1365"/>
    </row>
    <row r="741" spans="6:71">
      <c r="F741" s="622">
        <v>824.01</v>
      </c>
      <c r="G741" s="622" t="s">
        <v>102</v>
      </c>
      <c r="L741" s="626">
        <v>122.09</v>
      </c>
      <c r="M741" s="626" t="s">
        <v>63</v>
      </c>
      <c r="V741" s="622">
        <v>9503.01</v>
      </c>
      <c r="W741" s="622" t="s">
        <v>104</v>
      </c>
      <c r="AB741" s="626">
        <v>90.38</v>
      </c>
      <c r="AC741" s="626" t="s">
        <v>78</v>
      </c>
      <c r="AJ741" s="622">
        <v>271.07</v>
      </c>
      <c r="AK741" s="622" t="s">
        <v>89</v>
      </c>
      <c r="AP741" s="1837"/>
      <c r="AQ741" s="1837"/>
      <c r="AZ741" s="622">
        <v>434</v>
      </c>
      <c r="BA741" s="625" t="s">
        <v>86</v>
      </c>
      <c r="BF741" s="1837"/>
      <c r="BG741" s="1837"/>
      <c r="BI741" s="1365"/>
      <c r="BJ741" s="1365"/>
      <c r="BK741" s="1365"/>
      <c r="BL741" s="1365"/>
      <c r="BM741" s="1365"/>
      <c r="BN741" s="1365"/>
      <c r="BO741" s="1365"/>
      <c r="BP741" s="1365"/>
      <c r="BQ741" s="1365"/>
      <c r="BR741" s="1365"/>
      <c r="BS741" s="1365"/>
    </row>
    <row r="742" spans="6:71">
      <c r="F742" s="622">
        <v>824.15</v>
      </c>
      <c r="G742" s="622" t="s">
        <v>102</v>
      </c>
      <c r="L742" s="626">
        <v>122.12</v>
      </c>
      <c r="M742" s="626" t="s">
        <v>63</v>
      </c>
      <c r="V742" s="622">
        <v>9504</v>
      </c>
      <c r="W742" s="622" t="s">
        <v>104</v>
      </c>
      <c r="AB742" s="626">
        <v>90.39</v>
      </c>
      <c r="AC742" s="626" t="s">
        <v>78</v>
      </c>
      <c r="AJ742" s="622">
        <v>271.08</v>
      </c>
      <c r="AK742" s="622" t="s">
        <v>89</v>
      </c>
      <c r="AP742" s="1837"/>
      <c r="AQ742" s="1837"/>
      <c r="AZ742" s="622">
        <v>502.08</v>
      </c>
      <c r="BA742" s="625" t="s">
        <v>36</v>
      </c>
      <c r="BF742" s="1837"/>
      <c r="BG742" s="1837"/>
      <c r="BI742" s="1365"/>
      <c r="BJ742" s="1365"/>
      <c r="BK742" s="1365"/>
      <c r="BL742" s="1365"/>
      <c r="BM742" s="1365"/>
      <c r="BN742" s="1365"/>
      <c r="BO742" s="1365"/>
      <c r="BP742" s="1365"/>
      <c r="BQ742" s="1365"/>
      <c r="BR742" s="1365"/>
      <c r="BS742" s="1365"/>
    </row>
    <row r="743" spans="6:71">
      <c r="F743" s="622">
        <v>905</v>
      </c>
      <c r="G743" s="622" t="s">
        <v>102</v>
      </c>
      <c r="L743" s="626">
        <v>122.13</v>
      </c>
      <c r="M743" s="626" t="s">
        <v>63</v>
      </c>
      <c r="V743" s="622">
        <v>9603</v>
      </c>
      <c r="W743" s="625" t="s">
        <v>62</v>
      </c>
      <c r="AB743" s="626">
        <v>90.4</v>
      </c>
      <c r="AC743" s="626" t="s">
        <v>78</v>
      </c>
      <c r="AJ743" s="622">
        <v>287</v>
      </c>
      <c r="AK743" s="622" t="s">
        <v>89</v>
      </c>
      <c r="AP743" s="1837"/>
      <c r="AQ743" s="1837"/>
      <c r="AZ743" s="622">
        <v>503.03</v>
      </c>
      <c r="BA743" s="622" t="s">
        <v>65</v>
      </c>
      <c r="BF743" s="1837"/>
      <c r="BG743" s="1837"/>
      <c r="BI743" s="1365"/>
      <c r="BJ743" s="1365"/>
      <c r="BK743" s="1365"/>
      <c r="BL743" s="1365"/>
      <c r="BM743" s="1365"/>
      <c r="BN743" s="1365"/>
      <c r="BO743" s="1365"/>
      <c r="BP743" s="1365"/>
      <c r="BQ743" s="1365"/>
      <c r="BR743" s="1365"/>
      <c r="BS743" s="1365"/>
    </row>
    <row r="744" spans="6:71">
      <c r="F744" s="622">
        <v>906</v>
      </c>
      <c r="G744" s="622" t="s">
        <v>102</v>
      </c>
      <c r="L744" s="626">
        <v>125.03</v>
      </c>
      <c r="M744" s="626" t="s">
        <v>63</v>
      </c>
      <c r="V744" s="622">
        <v>9608</v>
      </c>
      <c r="W744" s="625" t="s">
        <v>62</v>
      </c>
      <c r="AB744" s="626">
        <v>90.43</v>
      </c>
      <c r="AC744" s="626" t="s">
        <v>78</v>
      </c>
      <c r="AJ744" s="622">
        <v>103</v>
      </c>
      <c r="AK744" s="622" t="s">
        <v>91</v>
      </c>
      <c r="AP744" s="1837"/>
      <c r="AQ744" s="1837"/>
      <c r="AZ744" s="622">
        <v>503.04</v>
      </c>
      <c r="BA744" s="622" t="s">
        <v>65</v>
      </c>
      <c r="BF744" s="1837"/>
      <c r="BG744" s="1837"/>
      <c r="BI744" s="1365"/>
      <c r="BJ744" s="1365"/>
      <c r="BK744" s="1365"/>
      <c r="BL744" s="1365"/>
      <c r="BM744" s="1365"/>
      <c r="BN744" s="1365"/>
      <c r="BO744" s="1365"/>
      <c r="BP744" s="1365"/>
      <c r="BQ744" s="1365"/>
      <c r="BR744" s="1365"/>
      <c r="BS744" s="1365"/>
    </row>
    <row r="745" spans="6:71">
      <c r="F745" s="622">
        <v>910.25</v>
      </c>
      <c r="G745" s="622" t="s">
        <v>102</v>
      </c>
      <c r="L745" s="626">
        <v>130.01</v>
      </c>
      <c r="M745" s="626" t="s">
        <v>63</v>
      </c>
      <c r="V745" s="622">
        <v>9609</v>
      </c>
      <c r="W745" s="625" t="s">
        <v>62</v>
      </c>
      <c r="AB745" s="626">
        <v>90.44</v>
      </c>
      <c r="AC745" s="626" t="s">
        <v>78</v>
      </c>
      <c r="AJ745" s="622">
        <v>109</v>
      </c>
      <c r="AK745" s="622" t="s">
        <v>91</v>
      </c>
      <c r="AP745" s="1837"/>
      <c r="AQ745" s="1837"/>
      <c r="AZ745" s="622">
        <v>503.08</v>
      </c>
      <c r="BA745" s="625" t="s">
        <v>36</v>
      </c>
      <c r="BF745" s="1837"/>
      <c r="BG745" s="1837"/>
      <c r="BI745" s="1365"/>
      <c r="BJ745" s="1365"/>
      <c r="BK745" s="1365"/>
      <c r="BL745" s="1365"/>
      <c r="BM745" s="1365"/>
      <c r="BN745" s="1365"/>
      <c r="BO745" s="1365"/>
      <c r="BP745" s="1365"/>
      <c r="BQ745" s="1365"/>
      <c r="BR745" s="1365"/>
      <c r="BS745" s="1365"/>
    </row>
    <row r="746" spans="6:71">
      <c r="F746" s="622">
        <v>925</v>
      </c>
      <c r="G746" s="622" t="s">
        <v>102</v>
      </c>
      <c r="L746" s="626">
        <v>130.04</v>
      </c>
      <c r="M746" s="626" t="s">
        <v>63</v>
      </c>
      <c r="V746" s="622">
        <v>9611</v>
      </c>
      <c r="W746" s="625" t="s">
        <v>62</v>
      </c>
      <c r="AB746" s="626">
        <v>90.46</v>
      </c>
      <c r="AC746" s="626" t="s">
        <v>78</v>
      </c>
      <c r="AJ746" s="622">
        <v>110</v>
      </c>
      <c r="AK746" s="622" t="s">
        <v>91</v>
      </c>
      <c r="AP746" s="1837"/>
      <c r="AQ746" s="1837"/>
      <c r="AZ746" s="622">
        <v>503.09</v>
      </c>
      <c r="BA746" s="625" t="s">
        <v>36</v>
      </c>
      <c r="BF746" s="1837"/>
      <c r="BG746" s="1837"/>
      <c r="BI746" s="1365"/>
      <c r="BJ746" s="1365"/>
      <c r="BK746" s="1365"/>
      <c r="BL746" s="1365"/>
      <c r="BM746" s="1365"/>
      <c r="BN746" s="1365"/>
      <c r="BO746" s="1365"/>
      <c r="BP746" s="1365"/>
      <c r="BQ746" s="1365"/>
      <c r="BR746" s="1365"/>
      <c r="BS746" s="1365"/>
    </row>
    <row r="747" spans="6:71">
      <c r="F747" s="622">
        <v>9503.01</v>
      </c>
      <c r="G747" s="622" t="s">
        <v>104</v>
      </c>
      <c r="L747" s="626">
        <v>132.03</v>
      </c>
      <c r="M747" s="626" t="s">
        <v>63</v>
      </c>
      <c r="V747" s="622">
        <v>9616.0300000000007</v>
      </c>
      <c r="W747" s="625" t="s">
        <v>62</v>
      </c>
      <c r="AB747" s="626">
        <v>90.47</v>
      </c>
      <c r="AC747" s="626" t="s">
        <v>78</v>
      </c>
      <c r="AJ747" s="622">
        <v>111</v>
      </c>
      <c r="AK747" s="622" t="s">
        <v>91</v>
      </c>
      <c r="AP747" s="1837"/>
      <c r="AQ747" s="1837"/>
      <c r="AZ747" s="622">
        <v>503.11</v>
      </c>
      <c r="BA747" s="625" t="s">
        <v>36</v>
      </c>
      <c r="BF747" s="1837"/>
      <c r="BG747" s="1837"/>
      <c r="BI747" s="1365"/>
      <c r="BJ747" s="1365"/>
      <c r="BK747" s="1365"/>
      <c r="BL747" s="1365"/>
      <c r="BM747" s="1365"/>
      <c r="BN747" s="1365"/>
      <c r="BO747" s="1365"/>
      <c r="BP747" s="1365"/>
      <c r="BQ747" s="1365"/>
      <c r="BR747" s="1365"/>
      <c r="BS747" s="1365"/>
    </row>
    <row r="748" spans="6:71">
      <c r="F748" s="622">
        <v>9504</v>
      </c>
      <c r="G748" s="622" t="s">
        <v>104</v>
      </c>
      <c r="L748" s="626">
        <v>132.05000000000001</v>
      </c>
      <c r="M748" s="626" t="s">
        <v>63</v>
      </c>
      <c r="V748" s="622">
        <v>9807</v>
      </c>
      <c r="W748" s="625" t="s">
        <v>78</v>
      </c>
      <c r="AB748" s="626">
        <v>92</v>
      </c>
      <c r="AC748" s="626" t="s">
        <v>78</v>
      </c>
      <c r="AJ748" s="622">
        <v>112.02</v>
      </c>
      <c r="AK748" s="622" t="s">
        <v>91</v>
      </c>
      <c r="AP748" s="1837"/>
      <c r="AQ748" s="1837"/>
      <c r="AZ748" s="622">
        <v>503.12</v>
      </c>
      <c r="BA748" s="625" t="s">
        <v>36</v>
      </c>
      <c r="BF748" s="1837"/>
      <c r="BG748" s="1837"/>
      <c r="BI748" s="1365"/>
      <c r="BJ748" s="1365"/>
      <c r="BK748" s="1365"/>
      <c r="BL748" s="1365"/>
      <c r="BM748" s="1365"/>
      <c r="BN748" s="1365"/>
      <c r="BO748" s="1365"/>
      <c r="BP748" s="1365"/>
      <c r="BQ748" s="1365"/>
      <c r="BR748" s="1365"/>
      <c r="BS748" s="1365"/>
    </row>
    <row r="749" spans="6:71">
      <c r="F749" s="10"/>
      <c r="L749" s="626">
        <v>132.06</v>
      </c>
      <c r="M749" s="626" t="s">
        <v>63</v>
      </c>
      <c r="AB749" s="626">
        <v>93.05</v>
      </c>
      <c r="AC749" s="626" t="s">
        <v>78</v>
      </c>
      <c r="AJ749" s="622">
        <v>112.03</v>
      </c>
      <c r="AK749" s="622" t="s">
        <v>91</v>
      </c>
      <c r="AP749" s="1837"/>
      <c r="AQ749" s="1837"/>
      <c r="AZ749" s="622">
        <v>503.13</v>
      </c>
      <c r="BA749" s="625" t="s">
        <v>36</v>
      </c>
      <c r="BF749" s="1837"/>
      <c r="BG749" s="1837"/>
      <c r="BI749" s="1365"/>
      <c r="BJ749" s="1365"/>
      <c r="BK749" s="1365"/>
      <c r="BL749" s="1365"/>
      <c r="BM749" s="1365"/>
      <c r="BN749" s="1365"/>
      <c r="BO749" s="1365"/>
      <c r="BP749" s="1365"/>
      <c r="BQ749" s="1365"/>
      <c r="BR749" s="1365"/>
      <c r="BS749" s="1365"/>
    </row>
    <row r="750" spans="6:71">
      <c r="F750" s="10"/>
      <c r="L750" s="626">
        <v>132.07</v>
      </c>
      <c r="M750" s="626" t="s">
        <v>63</v>
      </c>
      <c r="AB750" s="626">
        <v>93.12</v>
      </c>
      <c r="AC750" s="626" t="s">
        <v>78</v>
      </c>
      <c r="AJ750" s="622">
        <v>112.04</v>
      </c>
      <c r="AK750" s="622" t="s">
        <v>91</v>
      </c>
      <c r="AP750" s="1837"/>
      <c r="AQ750" s="1837"/>
      <c r="AZ750" s="622">
        <v>503.14</v>
      </c>
      <c r="BA750" s="625" t="s">
        <v>36</v>
      </c>
      <c r="BF750" s="1837"/>
      <c r="BG750" s="1837"/>
      <c r="BI750" s="1365"/>
      <c r="BJ750" s="1365"/>
      <c r="BK750" s="1365"/>
      <c r="BL750" s="1365"/>
      <c r="BM750" s="1365"/>
      <c r="BN750" s="1365"/>
      <c r="BO750" s="1365"/>
      <c r="BP750" s="1365"/>
      <c r="BQ750" s="1365"/>
      <c r="BR750" s="1365"/>
      <c r="BS750" s="1365"/>
    </row>
    <row r="751" spans="6:71">
      <c r="F751" s="10"/>
      <c r="L751" s="626">
        <v>132.08000000000001</v>
      </c>
      <c r="M751" s="626" t="s">
        <v>63</v>
      </c>
      <c r="AB751" s="626">
        <v>93.13</v>
      </c>
      <c r="AC751" s="626" t="s">
        <v>78</v>
      </c>
      <c r="AJ751" s="622">
        <v>113</v>
      </c>
      <c r="AK751" s="622" t="s">
        <v>91</v>
      </c>
      <c r="AP751" s="1837"/>
      <c r="AQ751" s="1837"/>
      <c r="AZ751" s="622">
        <v>504.01</v>
      </c>
      <c r="BA751" s="625" t="s">
        <v>65</v>
      </c>
      <c r="BF751" s="1837"/>
      <c r="BG751" s="1837"/>
      <c r="BI751" s="1365"/>
      <c r="BJ751" s="1365"/>
      <c r="BK751" s="1365"/>
      <c r="BL751" s="1365"/>
      <c r="BM751" s="1365"/>
      <c r="BN751" s="1365"/>
      <c r="BO751" s="1365"/>
      <c r="BP751" s="1365"/>
      <c r="BQ751" s="1365"/>
      <c r="BR751" s="1365"/>
      <c r="BS751" s="1365"/>
    </row>
    <row r="752" spans="6:71">
      <c r="F752" s="10"/>
      <c r="L752" s="626">
        <v>133.05000000000001</v>
      </c>
      <c r="M752" s="626" t="s">
        <v>63</v>
      </c>
      <c r="AB752" s="626">
        <v>97.03</v>
      </c>
      <c r="AC752" s="626" t="s">
        <v>78</v>
      </c>
      <c r="AJ752" s="622">
        <v>114</v>
      </c>
      <c r="AK752" s="622" t="s">
        <v>91</v>
      </c>
      <c r="AP752" s="1837"/>
      <c r="AQ752" s="1837"/>
      <c r="AZ752" s="622">
        <v>507.02</v>
      </c>
      <c r="BA752" s="622" t="s">
        <v>36</v>
      </c>
      <c r="BF752" s="1837"/>
      <c r="BG752" s="1837"/>
      <c r="BI752" s="1365"/>
      <c r="BJ752" s="1365"/>
      <c r="BK752" s="1365"/>
      <c r="BL752" s="1365"/>
      <c r="BM752" s="1365"/>
      <c r="BN752" s="1365"/>
      <c r="BO752" s="1365"/>
      <c r="BP752" s="1365"/>
      <c r="BQ752" s="1365"/>
      <c r="BR752" s="1365"/>
      <c r="BS752" s="1365"/>
    </row>
    <row r="753" spans="6:71">
      <c r="F753" s="10"/>
      <c r="L753" s="626">
        <v>133.07</v>
      </c>
      <c r="M753" s="626" t="s">
        <v>63</v>
      </c>
      <c r="AB753" s="626">
        <v>97.04</v>
      </c>
      <c r="AC753" s="626" t="s">
        <v>78</v>
      </c>
      <c r="AJ753" s="622">
        <v>115.01</v>
      </c>
      <c r="AK753" s="622" t="s">
        <v>91</v>
      </c>
      <c r="AP753" s="1837"/>
      <c r="AQ753" s="1837"/>
      <c r="AZ753" s="622">
        <v>508</v>
      </c>
      <c r="BA753" s="625" t="s">
        <v>36</v>
      </c>
      <c r="BF753" s="1837"/>
      <c r="BG753" s="1837"/>
      <c r="BI753" s="1365"/>
      <c r="BJ753" s="1365"/>
      <c r="BK753" s="1365"/>
      <c r="BL753" s="1365"/>
      <c r="BM753" s="1365"/>
      <c r="BN753" s="1365"/>
      <c r="BO753" s="1365"/>
      <c r="BP753" s="1365"/>
      <c r="BQ753" s="1365"/>
      <c r="BR753" s="1365"/>
      <c r="BS753" s="1365"/>
    </row>
    <row r="754" spans="6:71">
      <c r="F754" s="10"/>
      <c r="L754" s="626">
        <v>133.1</v>
      </c>
      <c r="M754" s="626" t="s">
        <v>63</v>
      </c>
      <c r="AB754" s="626">
        <v>97.05</v>
      </c>
      <c r="AC754" s="626" t="s">
        <v>78</v>
      </c>
      <c r="AJ754" s="622">
        <v>116.04</v>
      </c>
      <c r="AK754" s="622" t="s">
        <v>91</v>
      </c>
      <c r="AP754" s="1837"/>
      <c r="AQ754" s="1837"/>
      <c r="AZ754" s="622">
        <v>602.03</v>
      </c>
      <c r="BA754" s="625" t="s">
        <v>36</v>
      </c>
      <c r="BF754" s="1837"/>
      <c r="BG754" s="1837"/>
      <c r="BI754" s="1365"/>
      <c r="BJ754" s="1365"/>
      <c r="BK754" s="1365"/>
      <c r="BL754" s="1365"/>
      <c r="BM754" s="1365"/>
      <c r="BN754" s="1365"/>
      <c r="BO754" s="1365"/>
      <c r="BP754" s="1365"/>
      <c r="BQ754" s="1365"/>
      <c r="BR754" s="1365"/>
      <c r="BS754" s="1365"/>
    </row>
    <row r="755" spans="6:71">
      <c r="F755" s="10"/>
      <c r="L755" s="626">
        <v>133.11000000000001</v>
      </c>
      <c r="M755" s="626" t="s">
        <v>63</v>
      </c>
      <c r="AB755" s="626">
        <v>97.06</v>
      </c>
      <c r="AC755" s="626" t="s">
        <v>78</v>
      </c>
      <c r="AJ755" s="622">
        <v>117.04</v>
      </c>
      <c r="AK755" s="622" t="s">
        <v>91</v>
      </c>
      <c r="AP755" s="1837"/>
      <c r="AQ755" s="1837"/>
      <c r="AZ755" s="622">
        <v>603.02</v>
      </c>
      <c r="BA755" s="625" t="s">
        <v>36</v>
      </c>
      <c r="BF755" s="1837"/>
      <c r="BG755" s="1837"/>
      <c r="BI755" s="1365"/>
      <c r="BJ755" s="1365"/>
      <c r="BK755" s="1365"/>
      <c r="BL755" s="1365"/>
      <c r="BM755" s="1365"/>
      <c r="BN755" s="1365"/>
      <c r="BO755" s="1365"/>
      <c r="BP755" s="1365"/>
      <c r="BQ755" s="1365"/>
      <c r="BR755" s="1365"/>
      <c r="BS755" s="1365"/>
    </row>
    <row r="756" spans="6:71">
      <c r="F756" s="10"/>
      <c r="L756" s="626">
        <v>133.12</v>
      </c>
      <c r="M756" s="626" t="s">
        <v>63</v>
      </c>
      <c r="AB756" s="626">
        <v>98.03</v>
      </c>
      <c r="AC756" s="626" t="s">
        <v>78</v>
      </c>
      <c r="AJ756" s="622">
        <v>117.22</v>
      </c>
      <c r="AK756" s="622" t="s">
        <v>91</v>
      </c>
      <c r="AP756" s="1837"/>
      <c r="AQ756" s="1837"/>
      <c r="AZ756" s="622">
        <v>603.03</v>
      </c>
      <c r="BA756" s="625" t="s">
        <v>36</v>
      </c>
      <c r="BF756" s="1837"/>
      <c r="BG756" s="1837"/>
      <c r="BI756" s="1365"/>
      <c r="BJ756" s="1365"/>
      <c r="BK756" s="1365"/>
      <c r="BL756" s="1365"/>
      <c r="BM756" s="1365"/>
      <c r="BN756" s="1365"/>
      <c r="BO756" s="1365"/>
      <c r="BP756" s="1365"/>
      <c r="BQ756" s="1365"/>
      <c r="BR756" s="1365"/>
      <c r="BS756" s="1365"/>
    </row>
    <row r="757" spans="6:71">
      <c r="F757" s="10"/>
      <c r="L757" s="626">
        <v>133.13</v>
      </c>
      <c r="M757" s="626" t="s">
        <v>63</v>
      </c>
      <c r="AB757" s="626">
        <v>98.04</v>
      </c>
      <c r="AC757" s="626" t="s">
        <v>78</v>
      </c>
      <c r="AJ757" s="622">
        <v>117.31</v>
      </c>
      <c r="AK757" s="622" t="s">
        <v>91</v>
      </c>
      <c r="AP757" s="1837"/>
      <c r="AQ757" s="1837"/>
      <c r="AZ757" s="622">
        <v>603.04</v>
      </c>
      <c r="BA757" s="625" t="s">
        <v>36</v>
      </c>
      <c r="BF757" s="1837"/>
      <c r="BG757" s="1837"/>
      <c r="BI757" s="1365"/>
      <c r="BJ757" s="1365"/>
      <c r="BK757" s="1365"/>
      <c r="BL757" s="1365"/>
      <c r="BM757" s="1365"/>
      <c r="BN757" s="1365"/>
      <c r="BO757" s="1365"/>
      <c r="BP757" s="1365"/>
      <c r="BQ757" s="1365"/>
      <c r="BR757" s="1365"/>
      <c r="BS757" s="1365"/>
    </row>
    <row r="758" spans="6:71">
      <c r="F758" s="10"/>
      <c r="L758" s="626">
        <v>133.13999999999999</v>
      </c>
      <c r="M758" s="626" t="s">
        <v>63</v>
      </c>
      <c r="AB758" s="626">
        <v>98.07</v>
      </c>
      <c r="AC758" s="626" t="s">
        <v>78</v>
      </c>
      <c r="AJ758" s="622">
        <v>117.32</v>
      </c>
      <c r="AK758" s="622" t="s">
        <v>91</v>
      </c>
      <c r="AP758" s="1837"/>
      <c r="AQ758" s="1837"/>
      <c r="AZ758" s="622">
        <v>604.01</v>
      </c>
      <c r="BA758" s="625" t="s">
        <v>36</v>
      </c>
      <c r="BF758" s="1837"/>
      <c r="BG758" s="1837"/>
      <c r="BI758" s="1365"/>
      <c r="BJ758" s="1365"/>
      <c r="BK758" s="1365"/>
      <c r="BL758" s="1365"/>
      <c r="BM758" s="1365"/>
      <c r="BN758" s="1365"/>
      <c r="BO758" s="1365"/>
      <c r="BP758" s="1365"/>
      <c r="BQ758" s="1365"/>
      <c r="BR758" s="1365"/>
      <c r="BS758" s="1365"/>
    </row>
    <row r="759" spans="6:71">
      <c r="F759" s="10"/>
      <c r="L759" s="626">
        <v>133.15</v>
      </c>
      <c r="M759" s="626" t="s">
        <v>63</v>
      </c>
      <c r="AB759" s="626">
        <v>99.01</v>
      </c>
      <c r="AC759" s="626" t="s">
        <v>78</v>
      </c>
      <c r="AJ759" s="622">
        <v>123.07</v>
      </c>
      <c r="AK759" s="622" t="s">
        <v>91</v>
      </c>
      <c r="AP759" s="1837"/>
      <c r="AQ759" s="1837"/>
      <c r="AZ759" s="622">
        <v>607</v>
      </c>
      <c r="BA759" s="625" t="s">
        <v>35</v>
      </c>
      <c r="BF759" s="1837"/>
      <c r="BG759" s="1837"/>
      <c r="BI759" s="1365"/>
      <c r="BJ759" s="1365"/>
      <c r="BK759" s="1365"/>
      <c r="BL759" s="1365"/>
      <c r="BM759" s="1365"/>
      <c r="BN759" s="1365"/>
      <c r="BO759" s="1365"/>
      <c r="BP759" s="1365"/>
      <c r="BQ759" s="1365"/>
      <c r="BR759" s="1365"/>
      <c r="BS759" s="1365"/>
    </row>
    <row r="760" spans="6:71">
      <c r="F760" s="10"/>
      <c r="L760" s="626">
        <v>133.16999999999999</v>
      </c>
      <c r="M760" s="626" t="s">
        <v>63</v>
      </c>
      <c r="AB760" s="626">
        <v>99.03</v>
      </c>
      <c r="AC760" s="626" t="s">
        <v>78</v>
      </c>
      <c r="AJ760" s="622">
        <v>126.01</v>
      </c>
      <c r="AK760" s="622" t="s">
        <v>91</v>
      </c>
      <c r="AP760" s="1837"/>
      <c r="AQ760" s="1837"/>
      <c r="AZ760" s="622">
        <v>611</v>
      </c>
      <c r="BA760" s="625" t="s">
        <v>36</v>
      </c>
      <c r="BF760" s="1837"/>
      <c r="BG760" s="1837"/>
      <c r="BI760" s="1365"/>
      <c r="BJ760" s="1365"/>
      <c r="BK760" s="1365"/>
      <c r="BL760" s="1365"/>
      <c r="BM760" s="1365"/>
      <c r="BN760" s="1365"/>
      <c r="BO760" s="1365"/>
      <c r="BP760" s="1365"/>
      <c r="BQ760" s="1365"/>
      <c r="BR760" s="1365"/>
      <c r="BS760" s="1365"/>
    </row>
    <row r="761" spans="6:71">
      <c r="F761" s="10"/>
      <c r="L761" s="626">
        <v>133.18</v>
      </c>
      <c r="M761" s="626" t="s">
        <v>63</v>
      </c>
      <c r="AB761" s="626">
        <v>100.09</v>
      </c>
      <c r="AC761" s="626" t="s">
        <v>78</v>
      </c>
      <c r="AJ761" s="622">
        <v>126.02</v>
      </c>
      <c r="AK761" s="622" t="s">
        <v>91</v>
      </c>
      <c r="AP761" s="1837"/>
      <c r="AQ761" s="1837"/>
      <c r="AZ761" s="622">
        <v>623.02</v>
      </c>
      <c r="BA761" s="625" t="s">
        <v>35</v>
      </c>
      <c r="BF761" s="1837"/>
      <c r="BG761" s="1837"/>
      <c r="BI761" s="1365"/>
      <c r="BJ761" s="1365"/>
      <c r="BK761" s="1365"/>
      <c r="BL761" s="1365"/>
      <c r="BM761" s="1365"/>
      <c r="BN761" s="1365"/>
      <c r="BO761" s="1365"/>
      <c r="BP761" s="1365"/>
      <c r="BQ761" s="1365"/>
      <c r="BR761" s="1365"/>
      <c r="BS761" s="1365"/>
    </row>
    <row r="762" spans="6:71">
      <c r="F762" s="10"/>
      <c r="L762" s="626">
        <v>133.19</v>
      </c>
      <c r="M762" s="626" t="s">
        <v>63</v>
      </c>
      <c r="AB762" s="626">
        <v>101</v>
      </c>
      <c r="AC762" s="626" t="s">
        <v>39</v>
      </c>
      <c r="AJ762" s="622">
        <v>130.02000000000001</v>
      </c>
      <c r="AK762" s="622" t="s">
        <v>91</v>
      </c>
      <c r="AP762" s="1837"/>
      <c r="AQ762" s="1837"/>
      <c r="AZ762" s="622">
        <v>624.01</v>
      </c>
      <c r="BA762" s="625" t="s">
        <v>35</v>
      </c>
      <c r="BF762" s="1837"/>
      <c r="BG762" s="1837"/>
      <c r="BI762" s="1365"/>
      <c r="BJ762" s="1365"/>
      <c r="BK762" s="1365"/>
      <c r="BL762" s="1365"/>
      <c r="BM762" s="1365"/>
      <c r="BN762" s="1365"/>
      <c r="BO762" s="1365"/>
      <c r="BP762" s="1365"/>
      <c r="BQ762" s="1365"/>
      <c r="BR762" s="1365"/>
      <c r="BS762" s="1365"/>
    </row>
    <row r="763" spans="6:71">
      <c r="F763" s="10"/>
      <c r="L763" s="626">
        <v>133.19999999999999</v>
      </c>
      <c r="M763" s="626" t="s">
        <v>63</v>
      </c>
      <c r="AB763" s="626">
        <v>101</v>
      </c>
      <c r="AC763" s="626" t="s">
        <v>103</v>
      </c>
      <c r="AJ763" s="622">
        <v>131.02000000000001</v>
      </c>
      <c r="AK763" s="622" t="s">
        <v>91</v>
      </c>
      <c r="AP763" s="1837"/>
      <c r="AQ763" s="1837"/>
      <c r="AZ763" s="622">
        <v>624.02</v>
      </c>
      <c r="BA763" s="625" t="s">
        <v>35</v>
      </c>
      <c r="BF763" s="1837"/>
      <c r="BG763" s="1837"/>
      <c r="BI763" s="1365"/>
      <c r="BJ763" s="1365"/>
      <c r="BK763" s="1365"/>
      <c r="BL763" s="1365"/>
      <c r="BM763" s="1365"/>
      <c r="BN763" s="1365"/>
      <c r="BO763" s="1365"/>
      <c r="BP763" s="1365"/>
      <c r="BQ763" s="1365"/>
      <c r="BR763" s="1365"/>
      <c r="BS763" s="1365"/>
    </row>
    <row r="764" spans="6:71">
      <c r="F764" s="10"/>
      <c r="L764" s="626">
        <v>133.21</v>
      </c>
      <c r="M764" s="626" t="s">
        <v>63</v>
      </c>
      <c r="AB764" s="626">
        <v>101.01</v>
      </c>
      <c r="AC764" s="626" t="s">
        <v>47</v>
      </c>
      <c r="AJ764" s="622">
        <v>131.03</v>
      </c>
      <c r="AK764" s="622" t="s">
        <v>91</v>
      </c>
      <c r="AP764" s="1837"/>
      <c r="AQ764" s="1837"/>
      <c r="AZ764" s="622">
        <v>625</v>
      </c>
      <c r="BA764" s="625" t="s">
        <v>35</v>
      </c>
      <c r="BF764" s="1837"/>
      <c r="BG764" s="1837"/>
      <c r="BI764" s="1365"/>
      <c r="BJ764" s="1365"/>
      <c r="BK764" s="1365"/>
      <c r="BL764" s="1365"/>
      <c r="BM764" s="1365"/>
      <c r="BN764" s="1365"/>
      <c r="BO764" s="1365"/>
      <c r="BP764" s="1365"/>
      <c r="BQ764" s="1365"/>
      <c r="BR764" s="1365"/>
      <c r="BS764" s="1365"/>
    </row>
    <row r="765" spans="6:71">
      <c r="F765" s="10"/>
      <c r="L765" s="626">
        <v>133.22</v>
      </c>
      <c r="M765" s="626" t="s">
        <v>63</v>
      </c>
      <c r="AB765" s="626">
        <v>101.02</v>
      </c>
      <c r="AC765" s="626" t="s">
        <v>36</v>
      </c>
      <c r="AJ765" s="622">
        <v>132</v>
      </c>
      <c r="AK765" s="622" t="s">
        <v>91</v>
      </c>
      <c r="AP765" s="1837"/>
      <c r="AQ765" s="1837"/>
      <c r="AZ765" s="622">
        <v>626</v>
      </c>
      <c r="BA765" s="625" t="s">
        <v>35</v>
      </c>
      <c r="BF765" s="1837"/>
      <c r="BG765" s="1837"/>
      <c r="BI765" s="1365"/>
      <c r="BJ765" s="1365"/>
      <c r="BK765" s="1365"/>
      <c r="BL765" s="1365"/>
      <c r="BM765" s="1365"/>
      <c r="BN765" s="1365"/>
      <c r="BO765" s="1365"/>
      <c r="BP765" s="1365"/>
      <c r="BQ765" s="1365"/>
      <c r="BR765" s="1365"/>
      <c r="BS765" s="1365"/>
    </row>
    <row r="766" spans="6:71">
      <c r="F766" s="10"/>
      <c r="L766" s="626">
        <v>134.07</v>
      </c>
      <c r="M766" s="626" t="s">
        <v>63</v>
      </c>
      <c r="AB766" s="626">
        <v>101.02</v>
      </c>
      <c r="AC766" s="626" t="s">
        <v>44</v>
      </c>
      <c r="AJ766" s="622">
        <v>133</v>
      </c>
      <c r="AK766" s="622" t="s">
        <v>91</v>
      </c>
      <c r="AP766" s="1837"/>
      <c r="AQ766" s="1837"/>
      <c r="AZ766" s="622">
        <v>642.02</v>
      </c>
      <c r="BA766" s="625" t="s">
        <v>35</v>
      </c>
      <c r="BF766" s="1837"/>
      <c r="BG766" s="1837"/>
      <c r="BI766" s="1365"/>
      <c r="BJ766" s="1365"/>
      <c r="BK766" s="1365"/>
      <c r="BL766" s="1365"/>
      <c r="BM766" s="1365"/>
      <c r="BN766" s="1365"/>
      <c r="BO766" s="1365"/>
      <c r="BP766" s="1365"/>
      <c r="BQ766" s="1365"/>
      <c r="BR766" s="1365"/>
      <c r="BS766" s="1365"/>
    </row>
    <row r="767" spans="6:71">
      <c r="F767" s="10"/>
      <c r="L767" s="626">
        <v>134.09</v>
      </c>
      <c r="M767" s="626" t="s">
        <v>63</v>
      </c>
      <c r="AB767" s="626">
        <v>101.02</v>
      </c>
      <c r="AC767" s="626" t="s">
        <v>47</v>
      </c>
      <c r="AJ767" s="622">
        <v>134</v>
      </c>
      <c r="AK767" s="622" t="s">
        <v>91</v>
      </c>
      <c r="AP767" s="1837"/>
      <c r="AQ767" s="1837"/>
      <c r="AZ767" s="622">
        <v>645</v>
      </c>
      <c r="BA767" s="625" t="s">
        <v>35</v>
      </c>
      <c r="BF767" s="1837"/>
      <c r="BG767" s="1837"/>
      <c r="BI767" s="1365"/>
      <c r="BJ767" s="1365"/>
      <c r="BK767" s="1365"/>
      <c r="BL767" s="1365"/>
      <c r="BM767" s="1365"/>
      <c r="BN767" s="1365"/>
      <c r="BO767" s="1365"/>
      <c r="BP767" s="1365"/>
      <c r="BQ767" s="1365"/>
      <c r="BR767" s="1365"/>
      <c r="BS767" s="1365"/>
    </row>
    <row r="768" spans="6:71">
      <c r="F768" s="10"/>
      <c r="L768" s="626">
        <v>134.1</v>
      </c>
      <c r="M768" s="626" t="s">
        <v>63</v>
      </c>
      <c r="AB768" s="626">
        <v>101.02</v>
      </c>
      <c r="AC768" s="626" t="s">
        <v>49</v>
      </c>
      <c r="AJ768" s="622">
        <v>136.01</v>
      </c>
      <c r="AK768" s="622" t="s">
        <v>91</v>
      </c>
      <c r="AP768" s="1837"/>
      <c r="AQ768" s="1837"/>
      <c r="AZ768" s="622">
        <v>648</v>
      </c>
      <c r="BA768" s="625" t="s">
        <v>35</v>
      </c>
      <c r="BF768" s="1837"/>
      <c r="BG768" s="1837"/>
      <c r="BI768" s="1365"/>
      <c r="BJ768" s="1365"/>
      <c r="BK768" s="1365"/>
      <c r="BL768" s="1365"/>
      <c r="BM768" s="1365"/>
      <c r="BN768" s="1365"/>
      <c r="BO768" s="1365"/>
      <c r="BP768" s="1365"/>
      <c r="BQ768" s="1365"/>
      <c r="BR768" s="1365"/>
      <c r="BS768" s="1365"/>
    </row>
    <row r="769" spans="6:71">
      <c r="F769" s="10"/>
      <c r="L769" s="626">
        <v>134.12</v>
      </c>
      <c r="M769" s="626" t="s">
        <v>63</v>
      </c>
      <c r="AB769" s="626">
        <v>101.02</v>
      </c>
      <c r="AC769" s="626" t="s">
        <v>70</v>
      </c>
      <c r="AJ769" s="622">
        <v>136.02000000000001</v>
      </c>
      <c r="AK769" s="622" t="s">
        <v>91</v>
      </c>
      <c r="AP769" s="1837"/>
      <c r="AQ769" s="1837"/>
      <c r="AZ769" s="622">
        <v>649.02</v>
      </c>
      <c r="BA769" s="622" t="s">
        <v>35</v>
      </c>
      <c r="BF769" s="1837"/>
      <c r="BG769" s="1837"/>
      <c r="BI769" s="1365"/>
      <c r="BJ769" s="1365"/>
      <c r="BK769" s="1365"/>
      <c r="BL769" s="1365"/>
      <c r="BM769" s="1365"/>
      <c r="BN769" s="1365"/>
      <c r="BO769" s="1365"/>
      <c r="BP769" s="1365"/>
      <c r="BQ769" s="1365"/>
      <c r="BR769" s="1365"/>
      <c r="BS769" s="1365"/>
    </row>
    <row r="770" spans="6:71">
      <c r="F770" s="10"/>
      <c r="L770" s="626">
        <v>134.13</v>
      </c>
      <c r="M770" s="626" t="s">
        <v>63</v>
      </c>
      <c r="AB770" s="626">
        <v>101.03</v>
      </c>
      <c r="AC770" s="626" t="s">
        <v>36</v>
      </c>
      <c r="AJ770" s="622">
        <v>137.01</v>
      </c>
      <c r="AK770" s="622" t="s">
        <v>91</v>
      </c>
      <c r="AP770" s="1837"/>
      <c r="AQ770" s="1837"/>
      <c r="AZ770" s="622">
        <v>651.24</v>
      </c>
      <c r="BA770" s="625" t="s">
        <v>35</v>
      </c>
      <c r="BF770" s="1837"/>
      <c r="BG770" s="1837"/>
      <c r="BI770" s="1365"/>
      <c r="BJ770" s="1365"/>
      <c r="BK770" s="1365"/>
      <c r="BL770" s="1365"/>
      <c r="BM770" s="1365"/>
      <c r="BN770" s="1365"/>
      <c r="BO770" s="1365"/>
      <c r="BP770" s="1365"/>
      <c r="BQ770" s="1365"/>
      <c r="BR770" s="1365"/>
      <c r="BS770" s="1365"/>
    </row>
    <row r="771" spans="6:71">
      <c r="L771" s="626">
        <v>134.13999999999999</v>
      </c>
      <c r="M771" s="626" t="s">
        <v>63</v>
      </c>
      <c r="AB771" s="626">
        <v>101.03</v>
      </c>
      <c r="AC771" s="626" t="s">
        <v>49</v>
      </c>
      <c r="AJ771" s="622">
        <v>141.21</v>
      </c>
      <c r="AK771" s="622" t="s">
        <v>91</v>
      </c>
      <c r="AP771" s="1837"/>
      <c r="AQ771" s="1837"/>
      <c r="AZ771" s="622">
        <v>699.06</v>
      </c>
      <c r="BA771" s="622" t="s">
        <v>35</v>
      </c>
      <c r="BF771" s="1837"/>
      <c r="BG771" s="1837"/>
      <c r="BI771" s="1365"/>
      <c r="BJ771" s="1365"/>
      <c r="BK771" s="1365"/>
      <c r="BL771" s="1365"/>
      <c r="BM771" s="1365"/>
      <c r="BN771" s="1365"/>
      <c r="BO771" s="1365"/>
      <c r="BP771" s="1365"/>
      <c r="BQ771" s="1365"/>
      <c r="BR771" s="1365"/>
      <c r="BS771" s="1365"/>
    </row>
    <row r="772" spans="6:71">
      <c r="L772" s="626">
        <v>134.15</v>
      </c>
      <c r="M772" s="626" t="s">
        <v>63</v>
      </c>
      <c r="AB772" s="626">
        <v>101.04</v>
      </c>
      <c r="AC772" s="626" t="s">
        <v>36</v>
      </c>
      <c r="AJ772" s="622">
        <v>142.01</v>
      </c>
      <c r="AK772" s="622" t="s">
        <v>91</v>
      </c>
      <c r="AP772" s="1837"/>
      <c r="AQ772" s="1837"/>
      <c r="AZ772" s="622">
        <v>699.07</v>
      </c>
      <c r="BA772" s="622" t="s">
        <v>35</v>
      </c>
      <c r="BF772" s="1837"/>
      <c r="BG772" s="1837"/>
      <c r="BI772" s="1365"/>
      <c r="BJ772" s="1365"/>
      <c r="BK772" s="1365"/>
      <c r="BL772" s="1365"/>
      <c r="BM772" s="1365"/>
      <c r="BN772" s="1365"/>
      <c r="BO772" s="1365"/>
      <c r="BP772" s="1365"/>
      <c r="BQ772" s="1365"/>
      <c r="BR772" s="1365"/>
      <c r="BS772" s="1365"/>
    </row>
    <row r="773" spans="6:71">
      <c r="L773" s="626">
        <v>137.02000000000001</v>
      </c>
      <c r="M773" s="626" t="s">
        <v>63</v>
      </c>
      <c r="AB773" s="626">
        <v>101.04</v>
      </c>
      <c r="AC773" s="626" t="s">
        <v>70</v>
      </c>
      <c r="AJ773" s="622">
        <v>142.03</v>
      </c>
      <c r="AK773" s="622" t="s">
        <v>91</v>
      </c>
      <c r="AP773" s="1837"/>
      <c r="AQ773" s="1837"/>
      <c r="AZ773" s="622">
        <v>805</v>
      </c>
      <c r="BA773" s="622" t="s">
        <v>36</v>
      </c>
      <c r="BF773" s="1837"/>
      <c r="BG773" s="1837"/>
      <c r="BI773" s="1365"/>
      <c r="BJ773" s="1365"/>
      <c r="BK773" s="1365"/>
      <c r="BL773" s="1365"/>
      <c r="BM773" s="1365"/>
      <c r="BN773" s="1365"/>
      <c r="BO773" s="1365"/>
      <c r="BP773" s="1365"/>
      <c r="BQ773" s="1365"/>
      <c r="BR773" s="1365"/>
      <c r="BS773" s="1365"/>
    </row>
    <row r="774" spans="6:71">
      <c r="L774" s="626">
        <v>137.03</v>
      </c>
      <c r="M774" s="626" t="s">
        <v>63</v>
      </c>
      <c r="AB774" s="626">
        <v>101.05</v>
      </c>
      <c r="AC774" s="626" t="s">
        <v>44</v>
      </c>
      <c r="AJ774" s="622">
        <v>143.01</v>
      </c>
      <c r="AK774" s="622" t="s">
        <v>91</v>
      </c>
      <c r="AP774" s="1837"/>
      <c r="AQ774" s="1837"/>
      <c r="AZ774" s="622">
        <v>809.01</v>
      </c>
      <c r="BA774" s="622" t="s">
        <v>102</v>
      </c>
      <c r="BF774" s="1837"/>
      <c r="BG774" s="1837"/>
      <c r="BI774" s="1365"/>
      <c r="BJ774" s="1365"/>
      <c r="BK774" s="1365"/>
      <c r="BL774" s="1365"/>
      <c r="BM774" s="1365"/>
      <c r="BN774" s="1365"/>
      <c r="BO774" s="1365"/>
      <c r="BP774" s="1365"/>
      <c r="BQ774" s="1365"/>
      <c r="BR774" s="1365"/>
      <c r="BS774" s="1365"/>
    </row>
    <row r="775" spans="6:71">
      <c r="L775" s="626">
        <v>137.04</v>
      </c>
      <c r="M775" s="626" t="s">
        <v>63</v>
      </c>
      <c r="AB775" s="626">
        <v>101.05</v>
      </c>
      <c r="AC775" s="626" t="s">
        <v>70</v>
      </c>
      <c r="AJ775" s="622">
        <v>145.02000000000001</v>
      </c>
      <c r="AK775" s="622" t="s">
        <v>91</v>
      </c>
      <c r="AP775" s="1837"/>
      <c r="AQ775" s="1837"/>
      <c r="AZ775" s="622">
        <v>809.02</v>
      </c>
      <c r="BA775" s="622" t="s">
        <v>102</v>
      </c>
      <c r="BF775" s="1837"/>
      <c r="BG775" s="1837"/>
      <c r="BI775" s="1365"/>
      <c r="BJ775" s="1365"/>
      <c r="BK775" s="1365"/>
      <c r="BL775" s="1365"/>
      <c r="BM775" s="1365"/>
      <c r="BN775" s="1365"/>
      <c r="BO775" s="1365"/>
      <c r="BP775" s="1365"/>
      <c r="BQ775" s="1365"/>
      <c r="BR775" s="1365"/>
      <c r="BS775" s="1365"/>
    </row>
    <row r="776" spans="6:71">
      <c r="L776" s="626">
        <v>138.02000000000001</v>
      </c>
      <c r="M776" s="626" t="s">
        <v>63</v>
      </c>
      <c r="AB776" s="626">
        <v>101.06</v>
      </c>
      <c r="AC776" s="626" t="s">
        <v>44</v>
      </c>
      <c r="AJ776" s="622">
        <v>149.03</v>
      </c>
      <c r="AK776" s="622" t="s">
        <v>91</v>
      </c>
      <c r="AP776" s="1837"/>
      <c r="AQ776" s="1837"/>
      <c r="AZ776" s="622">
        <v>812.01</v>
      </c>
      <c r="BA776" s="622" t="s">
        <v>102</v>
      </c>
      <c r="BF776" s="1837"/>
      <c r="BG776" s="1837"/>
      <c r="BI776" s="1365"/>
      <c r="BJ776" s="1365"/>
      <c r="BK776" s="1365"/>
      <c r="BL776" s="1365"/>
      <c r="BM776" s="1365"/>
      <c r="BN776" s="1365"/>
      <c r="BO776" s="1365"/>
      <c r="BP776" s="1365"/>
      <c r="BQ776" s="1365"/>
      <c r="BR776" s="1365"/>
      <c r="BS776" s="1365"/>
    </row>
    <row r="777" spans="6:71">
      <c r="L777" s="626">
        <v>138.06</v>
      </c>
      <c r="M777" s="626" t="s">
        <v>63</v>
      </c>
      <c r="AB777" s="626">
        <v>101.06</v>
      </c>
      <c r="AC777" s="626" t="s">
        <v>63</v>
      </c>
      <c r="AJ777" s="622">
        <v>149.04</v>
      </c>
      <c r="AK777" s="622" t="s">
        <v>91</v>
      </c>
      <c r="AP777" s="1837"/>
      <c r="AQ777" s="1837"/>
      <c r="AZ777" s="622">
        <v>812.02</v>
      </c>
      <c r="BA777" s="622" t="s">
        <v>102</v>
      </c>
      <c r="BF777" s="1837"/>
      <c r="BG777" s="1837"/>
      <c r="BI777" s="1365"/>
      <c r="BJ777" s="1365"/>
      <c r="BK777" s="1365"/>
      <c r="BL777" s="1365"/>
      <c r="BM777" s="1365"/>
      <c r="BN777" s="1365"/>
      <c r="BO777" s="1365"/>
      <c r="BP777" s="1365"/>
      <c r="BQ777" s="1365"/>
      <c r="BR777" s="1365"/>
      <c r="BS777" s="1365"/>
    </row>
    <row r="778" spans="6:71">
      <c r="L778" s="626">
        <v>138.07</v>
      </c>
      <c r="M778" s="626" t="s">
        <v>63</v>
      </c>
      <c r="AB778" s="626">
        <v>101.07</v>
      </c>
      <c r="AC778" s="626" t="s">
        <v>44</v>
      </c>
      <c r="AJ778" s="622">
        <v>152</v>
      </c>
      <c r="AK778" s="622" t="s">
        <v>91</v>
      </c>
      <c r="AP778" s="1837"/>
      <c r="AQ778" s="1837"/>
      <c r="AZ778" s="622">
        <v>815</v>
      </c>
      <c r="BA778" s="622" t="s">
        <v>102</v>
      </c>
      <c r="BF778" s="1837"/>
      <c r="BG778" s="1837"/>
      <c r="BI778" s="1365"/>
      <c r="BJ778" s="1365"/>
      <c r="BK778" s="1365"/>
      <c r="BL778" s="1365"/>
      <c r="BM778" s="1365"/>
      <c r="BN778" s="1365"/>
      <c r="BO778" s="1365"/>
      <c r="BP778" s="1365"/>
      <c r="BQ778" s="1365"/>
      <c r="BR778" s="1365"/>
      <c r="BS778" s="1365"/>
    </row>
    <row r="779" spans="6:71">
      <c r="L779" s="626">
        <v>139.03</v>
      </c>
      <c r="M779" s="626" t="s">
        <v>63</v>
      </c>
      <c r="AB779" s="626">
        <v>101.08</v>
      </c>
      <c r="AC779" s="626" t="s">
        <v>44</v>
      </c>
      <c r="AJ779" s="622">
        <v>154.05000000000001</v>
      </c>
      <c r="AK779" s="622" t="s">
        <v>91</v>
      </c>
      <c r="AP779" s="1837"/>
      <c r="AQ779" s="1837"/>
      <c r="AZ779" s="622">
        <v>816</v>
      </c>
      <c r="BA779" s="622" t="s">
        <v>102</v>
      </c>
      <c r="BF779" s="1837"/>
      <c r="BG779" s="1837"/>
      <c r="BI779" s="1365"/>
      <c r="BJ779" s="1365"/>
      <c r="BK779" s="1365"/>
      <c r="BL779" s="1365"/>
      <c r="BM779" s="1365"/>
      <c r="BN779" s="1365"/>
      <c r="BO779" s="1365"/>
      <c r="BP779" s="1365"/>
      <c r="BQ779" s="1365"/>
      <c r="BR779" s="1365"/>
      <c r="BS779" s="1365"/>
    </row>
    <row r="780" spans="6:71">
      <c r="L780" s="626">
        <v>139.07</v>
      </c>
      <c r="M780" s="626" t="s">
        <v>63</v>
      </c>
      <c r="AB780" s="626">
        <v>101.08</v>
      </c>
      <c r="AC780" s="626" t="s">
        <v>63</v>
      </c>
      <c r="AJ780" s="622">
        <v>155</v>
      </c>
      <c r="AK780" s="622" t="s">
        <v>91</v>
      </c>
      <c r="AP780" s="1837"/>
      <c r="AQ780" s="1837"/>
      <c r="AZ780" s="622">
        <v>818</v>
      </c>
      <c r="BA780" s="625" t="s">
        <v>102</v>
      </c>
      <c r="BF780" s="1837"/>
      <c r="BG780" s="1837"/>
      <c r="BI780" s="1365"/>
      <c r="BJ780" s="1365"/>
      <c r="BK780" s="1365"/>
      <c r="BL780" s="1365"/>
      <c r="BM780" s="1365"/>
      <c r="BN780" s="1365"/>
      <c r="BO780" s="1365"/>
      <c r="BP780" s="1365"/>
      <c r="BQ780" s="1365"/>
      <c r="BR780" s="1365"/>
      <c r="BS780" s="1365"/>
    </row>
    <row r="781" spans="6:71">
      <c r="L781" s="626">
        <v>139.08000000000001</v>
      </c>
      <c r="M781" s="626" t="s">
        <v>63</v>
      </c>
      <c r="AB781" s="626">
        <v>101.09</v>
      </c>
      <c r="AC781" s="626" t="s">
        <v>44</v>
      </c>
      <c r="AJ781" s="622">
        <v>158.02000000000001</v>
      </c>
      <c r="AK781" s="622" t="s">
        <v>91</v>
      </c>
      <c r="AP781" s="1837"/>
      <c r="AQ781" s="1837"/>
      <c r="AZ781" s="622">
        <v>819</v>
      </c>
      <c r="BA781" s="625" t="s">
        <v>102</v>
      </c>
      <c r="BF781" s="1837"/>
      <c r="BG781" s="1837"/>
      <c r="BI781" s="1365"/>
      <c r="BJ781" s="1365"/>
      <c r="BK781" s="1365"/>
      <c r="BL781" s="1365"/>
      <c r="BM781" s="1365"/>
      <c r="BN781" s="1365"/>
      <c r="BO781" s="1365"/>
      <c r="BP781" s="1365"/>
      <c r="BQ781" s="1365"/>
      <c r="BR781" s="1365"/>
      <c r="BS781" s="1365"/>
    </row>
    <row r="782" spans="6:71">
      <c r="L782" s="626">
        <v>139.13999999999999</v>
      </c>
      <c r="M782" s="626" t="s">
        <v>63</v>
      </c>
      <c r="AB782" s="626">
        <v>101.93</v>
      </c>
      <c r="AC782" s="626" t="s">
        <v>78</v>
      </c>
      <c r="AJ782" s="622">
        <v>164</v>
      </c>
      <c r="AK782" s="622" t="s">
        <v>91</v>
      </c>
      <c r="AP782" s="1837"/>
      <c r="AQ782" s="1837"/>
      <c r="AZ782" s="622">
        <v>820</v>
      </c>
      <c r="BA782" s="625" t="s">
        <v>102</v>
      </c>
      <c r="BF782" s="1837"/>
      <c r="BG782" s="1837"/>
      <c r="BI782" s="1365"/>
      <c r="BJ782" s="1365"/>
      <c r="BK782" s="1365"/>
      <c r="BL782" s="1365"/>
      <c r="BM782" s="1365"/>
      <c r="BN782" s="1365"/>
      <c r="BO782" s="1365"/>
      <c r="BP782" s="1365"/>
      <c r="BQ782" s="1365"/>
      <c r="BR782" s="1365"/>
      <c r="BS782" s="1365"/>
    </row>
    <row r="783" spans="6:71">
      <c r="L783" s="626">
        <v>139.15</v>
      </c>
      <c r="M783" s="626" t="s">
        <v>63</v>
      </c>
      <c r="AB783" s="626">
        <v>101.98</v>
      </c>
      <c r="AC783" s="626" t="s">
        <v>78</v>
      </c>
      <c r="AJ783" s="622">
        <v>107.05</v>
      </c>
      <c r="AK783" s="622" t="s">
        <v>95</v>
      </c>
      <c r="AP783" s="1837"/>
      <c r="AQ783" s="1837"/>
      <c r="AZ783" s="622">
        <v>821</v>
      </c>
      <c r="BA783" s="625" t="s">
        <v>102</v>
      </c>
      <c r="BF783" s="1837"/>
      <c r="BG783" s="1837"/>
      <c r="BI783" s="1365"/>
      <c r="BJ783" s="1365"/>
      <c r="BK783" s="1365"/>
      <c r="BL783" s="1365"/>
      <c r="BM783" s="1365"/>
      <c r="BN783" s="1365"/>
      <c r="BO783" s="1365"/>
      <c r="BP783" s="1365"/>
      <c r="BQ783" s="1365"/>
      <c r="BR783" s="1365"/>
      <c r="BS783" s="1365"/>
    </row>
    <row r="784" spans="6:71">
      <c r="L784" s="626">
        <v>139.16</v>
      </c>
      <c r="M784" s="626" t="s">
        <v>63</v>
      </c>
      <c r="AB784" s="626">
        <v>102</v>
      </c>
      <c r="AC784" s="626" t="s">
        <v>47</v>
      </c>
      <c r="AJ784" s="622">
        <v>2</v>
      </c>
      <c r="AK784" s="622" t="s">
        <v>96</v>
      </c>
      <c r="AP784" s="1837"/>
      <c r="AQ784" s="1837"/>
      <c r="AZ784" s="622">
        <v>822.01</v>
      </c>
      <c r="BA784" s="625" t="s">
        <v>102</v>
      </c>
      <c r="BF784" s="1837"/>
      <c r="BG784" s="1837"/>
      <c r="BI784" s="1365"/>
      <c r="BJ784" s="1365"/>
      <c r="BK784" s="1365"/>
      <c r="BL784" s="1365"/>
      <c r="BM784" s="1365"/>
      <c r="BN784" s="1365"/>
      <c r="BO784" s="1365"/>
      <c r="BP784" s="1365"/>
      <c r="BQ784" s="1365"/>
      <c r="BR784" s="1365"/>
      <c r="BS784" s="1365"/>
    </row>
    <row r="785" spans="12:71">
      <c r="L785" s="626">
        <v>139.16999999999999</v>
      </c>
      <c r="M785" s="626" t="s">
        <v>63</v>
      </c>
      <c r="AB785" s="626">
        <v>102</v>
      </c>
      <c r="AC785" s="626" t="s">
        <v>85</v>
      </c>
      <c r="AJ785" s="622">
        <v>3</v>
      </c>
      <c r="AK785" s="622" t="s">
        <v>96</v>
      </c>
      <c r="AP785" s="1837"/>
      <c r="AQ785" s="1837"/>
      <c r="AZ785" s="622">
        <v>823.02</v>
      </c>
      <c r="BA785" s="622" t="s">
        <v>102</v>
      </c>
      <c r="BF785" s="1837"/>
      <c r="BG785" s="1837"/>
      <c r="BI785" s="1365"/>
      <c r="BJ785" s="1365"/>
      <c r="BK785" s="1365"/>
      <c r="BL785" s="1365"/>
      <c r="BM785" s="1365"/>
      <c r="BN785" s="1365"/>
      <c r="BO785" s="1365"/>
      <c r="BP785" s="1365"/>
      <c r="BQ785" s="1365"/>
      <c r="BR785" s="1365"/>
      <c r="BS785" s="1365"/>
    </row>
    <row r="786" spans="12:71">
      <c r="L786" s="626">
        <v>139.19</v>
      </c>
      <c r="M786" s="626" t="s">
        <v>63</v>
      </c>
      <c r="AB786" s="626">
        <v>102.01</v>
      </c>
      <c r="AC786" s="626" t="s">
        <v>78</v>
      </c>
      <c r="AJ786" s="622">
        <v>5.03</v>
      </c>
      <c r="AK786" s="622" t="s">
        <v>96</v>
      </c>
      <c r="AP786" s="1837"/>
      <c r="AQ786" s="1837"/>
      <c r="AZ786" s="622">
        <v>823.03</v>
      </c>
      <c r="BA786" s="625" t="s">
        <v>102</v>
      </c>
      <c r="BF786" s="1837"/>
      <c r="BG786" s="1837"/>
      <c r="BI786" s="1365"/>
      <c r="BJ786" s="1365"/>
      <c r="BK786" s="1365"/>
      <c r="BL786" s="1365"/>
      <c r="BM786" s="1365"/>
      <c r="BN786" s="1365"/>
      <c r="BO786" s="1365"/>
      <c r="BP786" s="1365"/>
      <c r="BQ786" s="1365"/>
      <c r="BR786" s="1365"/>
      <c r="BS786" s="1365"/>
    </row>
    <row r="787" spans="12:71">
      <c r="L787" s="626">
        <v>139.19999999999999</v>
      </c>
      <c r="M787" s="626" t="s">
        <v>63</v>
      </c>
      <c r="AB787" s="626">
        <v>102.01</v>
      </c>
      <c r="AC787" s="626" t="s">
        <v>103</v>
      </c>
      <c r="AJ787" s="622">
        <v>10</v>
      </c>
      <c r="AK787" s="622" t="s">
        <v>96</v>
      </c>
      <c r="AP787" s="1837"/>
      <c r="AQ787" s="1837"/>
      <c r="AZ787" s="622">
        <v>824.01</v>
      </c>
      <c r="BA787" s="625" t="s">
        <v>102</v>
      </c>
      <c r="BF787" s="1837"/>
      <c r="BG787" s="1837"/>
      <c r="BI787" s="1365"/>
      <c r="BJ787" s="1365"/>
      <c r="BK787" s="1365"/>
      <c r="BL787" s="1365"/>
      <c r="BM787" s="1365"/>
      <c r="BN787" s="1365"/>
      <c r="BO787" s="1365"/>
      <c r="BP787" s="1365"/>
      <c r="BQ787" s="1365"/>
      <c r="BR787" s="1365"/>
      <c r="BS787" s="1365"/>
    </row>
    <row r="788" spans="12:71">
      <c r="L788" s="626">
        <v>139.21</v>
      </c>
      <c r="M788" s="626" t="s">
        <v>63</v>
      </c>
      <c r="AB788" s="626">
        <v>102.02</v>
      </c>
      <c r="AC788" s="626" t="s">
        <v>49</v>
      </c>
      <c r="AJ788" s="622">
        <v>11.02</v>
      </c>
      <c r="AK788" s="622" t="s">
        <v>96</v>
      </c>
      <c r="AP788" s="1837"/>
      <c r="AQ788" s="1837"/>
      <c r="AZ788" s="622">
        <v>825.11</v>
      </c>
      <c r="BA788" s="625" t="s">
        <v>102</v>
      </c>
      <c r="BF788" s="1837"/>
      <c r="BG788" s="1837"/>
      <c r="BI788" s="1365"/>
      <c r="BJ788" s="1365"/>
      <c r="BK788" s="1365"/>
      <c r="BL788" s="1365"/>
      <c r="BM788" s="1365"/>
      <c r="BN788" s="1365"/>
      <c r="BO788" s="1365"/>
      <c r="BP788" s="1365"/>
      <c r="BQ788" s="1365"/>
      <c r="BR788" s="1365"/>
      <c r="BS788" s="1365"/>
    </row>
    <row r="789" spans="12:71">
      <c r="L789" s="626">
        <v>139.22</v>
      </c>
      <c r="M789" s="626" t="s">
        <v>63</v>
      </c>
      <c r="AB789" s="626">
        <v>102.04</v>
      </c>
      <c r="AC789" s="626" t="s">
        <v>63</v>
      </c>
      <c r="AJ789" s="622">
        <v>201.01</v>
      </c>
      <c r="AK789" s="622" t="s">
        <v>97</v>
      </c>
      <c r="AP789" s="1837"/>
      <c r="AQ789" s="1837"/>
      <c r="AZ789" s="622">
        <v>825.13</v>
      </c>
      <c r="BA789" s="625" t="s">
        <v>102</v>
      </c>
      <c r="BF789" s="1837"/>
      <c r="BG789" s="1837"/>
      <c r="BI789" s="1365"/>
      <c r="BJ789" s="1365"/>
      <c r="BK789" s="1365"/>
      <c r="BL789" s="1365"/>
      <c r="BM789" s="1365"/>
      <c r="BN789" s="1365"/>
      <c r="BO789" s="1365"/>
      <c r="BP789" s="1365"/>
      <c r="BQ789" s="1365"/>
      <c r="BR789" s="1365"/>
      <c r="BS789" s="1365"/>
    </row>
    <row r="790" spans="12:71">
      <c r="L790" s="626">
        <v>139.22999999999999</v>
      </c>
      <c r="M790" s="626" t="s">
        <v>63</v>
      </c>
      <c r="AB790" s="626">
        <v>102.05</v>
      </c>
      <c r="AC790" s="626" t="s">
        <v>44</v>
      </c>
      <c r="AJ790" s="622">
        <v>202.01</v>
      </c>
      <c r="AK790" s="622" t="s">
        <v>97</v>
      </c>
      <c r="AP790" s="1837"/>
      <c r="AQ790" s="1837"/>
      <c r="AZ790" s="622">
        <v>903.01</v>
      </c>
      <c r="BA790" s="622" t="s">
        <v>36</v>
      </c>
      <c r="BF790" s="1837"/>
      <c r="BG790" s="1837"/>
      <c r="BI790" s="1365"/>
      <c r="BJ790" s="1365"/>
      <c r="BK790" s="1365"/>
      <c r="BL790" s="1365"/>
      <c r="BM790" s="1365"/>
      <c r="BN790" s="1365"/>
      <c r="BO790" s="1365"/>
      <c r="BP790" s="1365"/>
      <c r="BQ790" s="1365"/>
      <c r="BR790" s="1365"/>
      <c r="BS790" s="1365"/>
    </row>
    <row r="791" spans="12:71">
      <c r="L791" s="626">
        <v>140.03</v>
      </c>
      <c r="M791" s="626" t="s">
        <v>63</v>
      </c>
      <c r="AB791" s="626">
        <v>102.05</v>
      </c>
      <c r="AC791" s="626" t="s">
        <v>63</v>
      </c>
      <c r="AJ791" s="622">
        <v>205</v>
      </c>
      <c r="AK791" s="622" t="s">
        <v>97</v>
      </c>
      <c r="AP791" s="1837"/>
      <c r="AQ791" s="1837"/>
      <c r="AZ791" s="622">
        <v>904.03</v>
      </c>
      <c r="BA791" s="625" t="s">
        <v>36</v>
      </c>
      <c r="BF791" s="1837"/>
      <c r="BG791" s="1837"/>
      <c r="BI791" s="1365"/>
      <c r="BJ791" s="1365"/>
      <c r="BK791" s="1365"/>
      <c r="BL791" s="1365"/>
      <c r="BM791" s="1365"/>
      <c r="BN791" s="1365"/>
      <c r="BO791" s="1365"/>
      <c r="BP791" s="1365"/>
      <c r="BQ791" s="1365"/>
      <c r="BR791" s="1365"/>
      <c r="BS791" s="1365"/>
    </row>
    <row r="792" spans="12:71">
      <c r="L792" s="626">
        <v>140.07</v>
      </c>
      <c r="M792" s="626" t="s">
        <v>63</v>
      </c>
      <c r="AB792" s="626">
        <v>102.08</v>
      </c>
      <c r="AC792" s="626" t="s">
        <v>44</v>
      </c>
      <c r="AJ792" s="622">
        <v>220.01</v>
      </c>
      <c r="AK792" s="622" t="s">
        <v>97</v>
      </c>
      <c r="AP792" s="1837"/>
      <c r="AQ792" s="1837"/>
      <c r="AZ792" s="622">
        <v>905</v>
      </c>
      <c r="BA792" s="625" t="s">
        <v>102</v>
      </c>
      <c r="BF792" s="1837"/>
      <c r="BG792" s="1837"/>
      <c r="BI792" s="1365"/>
      <c r="BJ792" s="1365"/>
      <c r="BK792" s="1365"/>
      <c r="BL792" s="1365"/>
      <c r="BM792" s="1365"/>
      <c r="BN792" s="1365"/>
      <c r="BO792" s="1365"/>
      <c r="BP792" s="1365"/>
      <c r="BQ792" s="1365"/>
      <c r="BR792" s="1365"/>
      <c r="BS792" s="1365"/>
    </row>
    <row r="793" spans="12:71">
      <c r="L793" s="626">
        <v>140.08000000000001</v>
      </c>
      <c r="M793" s="626" t="s">
        <v>63</v>
      </c>
      <c r="AB793" s="626">
        <v>102.09</v>
      </c>
      <c r="AC793" s="626" t="s">
        <v>44</v>
      </c>
      <c r="AJ793" s="622">
        <v>221.01</v>
      </c>
      <c r="AK793" s="622" t="s">
        <v>97</v>
      </c>
      <c r="AP793" s="1837"/>
      <c r="AQ793" s="1837"/>
      <c r="AZ793" s="622">
        <v>906</v>
      </c>
      <c r="BA793" s="625" t="s">
        <v>102</v>
      </c>
      <c r="BF793" s="1837"/>
      <c r="BG793" s="1837"/>
      <c r="BI793" s="1365"/>
      <c r="BJ793" s="1365"/>
      <c r="BK793" s="1365"/>
      <c r="BL793" s="1365"/>
      <c r="BM793" s="1365"/>
      <c r="BN793" s="1365"/>
      <c r="BO793" s="1365"/>
      <c r="BP793" s="1365"/>
      <c r="BQ793" s="1365"/>
      <c r="BR793" s="1365"/>
      <c r="BS793" s="1365"/>
    </row>
    <row r="794" spans="12:71">
      <c r="L794" s="626">
        <v>140.09</v>
      </c>
      <c r="M794" s="626" t="s">
        <v>63</v>
      </c>
      <c r="AB794" s="626">
        <v>102.09</v>
      </c>
      <c r="AC794" s="626" t="s">
        <v>63</v>
      </c>
      <c r="AJ794" s="622">
        <v>203</v>
      </c>
      <c r="AK794" s="622" t="s">
        <v>93</v>
      </c>
      <c r="AP794" s="1837"/>
      <c r="AQ794" s="1837"/>
      <c r="AZ794" s="622">
        <v>1003.02</v>
      </c>
      <c r="BA794" s="625" t="s">
        <v>36</v>
      </c>
      <c r="BF794" s="1837"/>
      <c r="BG794" s="1837"/>
      <c r="BI794" s="1365"/>
      <c r="BJ794" s="1365"/>
      <c r="BK794" s="1365"/>
      <c r="BL794" s="1365"/>
      <c r="BM794" s="1365"/>
      <c r="BN794" s="1365"/>
      <c r="BO794" s="1365"/>
      <c r="BP794" s="1365"/>
      <c r="BQ794" s="1365"/>
      <c r="BR794" s="1365"/>
      <c r="BS794" s="1365"/>
    </row>
    <row r="795" spans="12:71">
      <c r="L795" s="626">
        <v>140.11000000000001</v>
      </c>
      <c r="M795" s="626" t="s">
        <v>63</v>
      </c>
      <c r="AB795" s="626">
        <v>102.09</v>
      </c>
      <c r="AC795" s="626" t="s">
        <v>78</v>
      </c>
      <c r="AJ795" s="622">
        <v>204</v>
      </c>
      <c r="AK795" s="622" t="s">
        <v>93</v>
      </c>
      <c r="AP795" s="1837"/>
      <c r="AQ795" s="1837"/>
      <c r="AZ795" s="622">
        <v>1004</v>
      </c>
      <c r="BA795" s="625" t="s">
        <v>36</v>
      </c>
      <c r="BF795" s="1837"/>
      <c r="BG795" s="1837"/>
      <c r="BI795" s="1365"/>
      <c r="BJ795" s="1365"/>
      <c r="BK795" s="1365"/>
      <c r="BL795" s="1365"/>
      <c r="BM795" s="1365"/>
      <c r="BN795" s="1365"/>
      <c r="BO795" s="1365"/>
      <c r="BP795" s="1365"/>
      <c r="BQ795" s="1365"/>
      <c r="BR795" s="1365"/>
      <c r="BS795" s="1365"/>
    </row>
    <row r="796" spans="12:71">
      <c r="L796" s="626">
        <v>140.12</v>
      </c>
      <c r="M796" s="626" t="s">
        <v>63</v>
      </c>
      <c r="AB796" s="626">
        <v>102.1</v>
      </c>
      <c r="AC796" s="626" t="s">
        <v>44</v>
      </c>
      <c r="AJ796" s="622">
        <v>210.02</v>
      </c>
      <c r="AK796" s="622" t="s">
        <v>93</v>
      </c>
      <c r="AP796" s="1837"/>
      <c r="AQ796" s="1837"/>
      <c r="AZ796" s="622">
        <v>1005.01</v>
      </c>
      <c r="BA796" s="625" t="s">
        <v>36</v>
      </c>
      <c r="BF796" s="1837"/>
      <c r="BG796" s="1837"/>
      <c r="BI796" s="1365"/>
      <c r="BJ796" s="1365"/>
      <c r="BK796" s="1365"/>
      <c r="BL796" s="1365"/>
      <c r="BM796" s="1365"/>
      <c r="BN796" s="1365"/>
      <c r="BO796" s="1365"/>
      <c r="BP796" s="1365"/>
      <c r="BQ796" s="1365"/>
      <c r="BR796" s="1365"/>
      <c r="BS796" s="1365"/>
    </row>
    <row r="797" spans="12:71">
      <c r="L797" s="626">
        <v>140.15</v>
      </c>
      <c r="M797" s="626" t="s">
        <v>63</v>
      </c>
      <c r="AB797" s="626">
        <v>102.1</v>
      </c>
      <c r="AC797" s="626" t="s">
        <v>63</v>
      </c>
      <c r="AJ797" s="622">
        <v>3801</v>
      </c>
      <c r="AK797" s="622" t="s">
        <v>94</v>
      </c>
      <c r="AP797" s="1837"/>
      <c r="AQ797" s="1837"/>
      <c r="AZ797" s="622">
        <v>1005.02</v>
      </c>
      <c r="BA797" s="625" t="s">
        <v>36</v>
      </c>
      <c r="BF797" s="1837"/>
      <c r="BG797" s="1837"/>
      <c r="BI797" s="1365"/>
      <c r="BJ797" s="1365"/>
      <c r="BK797" s="1365"/>
      <c r="BL797" s="1365"/>
      <c r="BM797" s="1365"/>
      <c r="BN797" s="1365"/>
      <c r="BO797" s="1365"/>
      <c r="BP797" s="1365"/>
      <c r="BQ797" s="1365"/>
      <c r="BR797" s="1365"/>
      <c r="BS797" s="1365"/>
    </row>
    <row r="798" spans="12:71">
      <c r="L798" s="626">
        <v>140.16</v>
      </c>
      <c r="M798" s="626" t="s">
        <v>63</v>
      </c>
      <c r="AB798" s="626">
        <v>102.11</v>
      </c>
      <c r="AC798" s="626" t="s">
        <v>44</v>
      </c>
      <c r="AJ798" s="622">
        <v>3802</v>
      </c>
      <c r="AK798" s="622" t="s">
        <v>94</v>
      </c>
      <c r="AP798" s="1837"/>
      <c r="AQ798" s="1837"/>
      <c r="AZ798" s="622">
        <v>1007</v>
      </c>
      <c r="BA798" s="625" t="s">
        <v>36</v>
      </c>
      <c r="BF798" s="1837"/>
      <c r="BG798" s="1837"/>
      <c r="BI798" s="1365"/>
      <c r="BJ798" s="1365"/>
      <c r="BK798" s="1365"/>
      <c r="BL798" s="1365"/>
      <c r="BM798" s="1365"/>
      <c r="BN798" s="1365"/>
      <c r="BO798" s="1365"/>
      <c r="BP798" s="1365"/>
      <c r="BQ798" s="1365"/>
      <c r="BR798" s="1365"/>
      <c r="BS798" s="1365"/>
    </row>
    <row r="799" spans="12:71">
      <c r="L799" s="626">
        <v>141.09</v>
      </c>
      <c r="M799" s="626" t="s">
        <v>63</v>
      </c>
      <c r="AB799" s="626">
        <v>102.11</v>
      </c>
      <c r="AC799" s="626" t="s">
        <v>63</v>
      </c>
      <c r="AJ799" s="622">
        <v>3803</v>
      </c>
      <c r="AK799" s="622" t="s">
        <v>94</v>
      </c>
      <c r="AP799" s="1837"/>
      <c r="AQ799" s="1837"/>
      <c r="AZ799" s="622">
        <v>1008.01</v>
      </c>
      <c r="BA799" s="625" t="s">
        <v>36</v>
      </c>
      <c r="BF799" s="1837"/>
      <c r="BG799" s="1837"/>
      <c r="BI799" s="1365"/>
      <c r="BJ799" s="1365"/>
      <c r="BK799" s="1365"/>
      <c r="BL799" s="1365"/>
      <c r="BM799" s="1365"/>
      <c r="BN799" s="1365"/>
      <c r="BO799" s="1365"/>
      <c r="BP799" s="1365"/>
      <c r="BQ799" s="1365"/>
      <c r="BR799" s="1365"/>
      <c r="BS799" s="1365"/>
    </row>
    <row r="800" spans="12:71">
      <c r="L800" s="626">
        <v>141.16999999999999</v>
      </c>
      <c r="M800" s="626" t="s">
        <v>63</v>
      </c>
      <c r="AB800" s="626">
        <v>102.12</v>
      </c>
      <c r="AC800" s="626" t="s">
        <v>44</v>
      </c>
      <c r="AJ800" s="622">
        <v>3804</v>
      </c>
      <c r="AK800" s="622" t="s">
        <v>94</v>
      </c>
      <c r="AP800" s="1837"/>
      <c r="AQ800" s="1837"/>
      <c r="AZ800" s="622">
        <v>1103.3399999999999</v>
      </c>
      <c r="BA800" s="625" t="s">
        <v>36</v>
      </c>
      <c r="BF800" s="1837"/>
      <c r="BG800" s="1837"/>
      <c r="BI800" s="1365"/>
      <c r="BJ800" s="1365"/>
      <c r="BK800" s="1365"/>
      <c r="BL800" s="1365"/>
      <c r="BM800" s="1365"/>
      <c r="BN800" s="1365"/>
      <c r="BO800" s="1365"/>
      <c r="BP800" s="1365"/>
      <c r="BQ800" s="1365"/>
      <c r="BR800" s="1365"/>
      <c r="BS800" s="1365"/>
    </row>
    <row r="801" spans="12:71">
      <c r="L801" s="626">
        <v>141.18</v>
      </c>
      <c r="M801" s="626" t="s">
        <v>63</v>
      </c>
      <c r="AB801" s="626">
        <v>102.12</v>
      </c>
      <c r="AC801" s="626" t="s">
        <v>63</v>
      </c>
      <c r="AJ801" s="622">
        <v>3805</v>
      </c>
      <c r="AK801" s="622" t="s">
        <v>94</v>
      </c>
      <c r="AP801" s="1837"/>
      <c r="AQ801" s="1837"/>
      <c r="AZ801" s="622">
        <v>1103.54</v>
      </c>
      <c r="BA801" s="625" t="s">
        <v>36</v>
      </c>
      <c r="BF801" s="1837"/>
      <c r="BG801" s="1837"/>
      <c r="BI801" s="1365"/>
      <c r="BJ801" s="1365"/>
      <c r="BK801" s="1365"/>
      <c r="BL801" s="1365"/>
      <c r="BM801" s="1365"/>
      <c r="BN801" s="1365"/>
      <c r="BO801" s="1365"/>
      <c r="BP801" s="1365"/>
      <c r="BQ801" s="1365"/>
      <c r="BR801" s="1365"/>
      <c r="BS801" s="1365"/>
    </row>
    <row r="802" spans="12:71">
      <c r="L802" s="626">
        <v>141.19</v>
      </c>
      <c r="M802" s="626" t="s">
        <v>63</v>
      </c>
      <c r="AB802" s="626">
        <v>102.13</v>
      </c>
      <c r="AC802" s="626" t="s">
        <v>44</v>
      </c>
      <c r="AJ802" s="622">
        <v>3806</v>
      </c>
      <c r="AK802" s="622" t="s">
        <v>94</v>
      </c>
      <c r="AP802" s="1837"/>
      <c r="AQ802" s="1837"/>
      <c r="AZ802" s="622">
        <v>1103.55</v>
      </c>
      <c r="BA802" s="625" t="s">
        <v>36</v>
      </c>
      <c r="BF802" s="1837"/>
      <c r="BG802" s="1837"/>
      <c r="BI802" s="1365"/>
      <c r="BJ802" s="1365"/>
      <c r="BK802" s="1365"/>
      <c r="BL802" s="1365"/>
      <c r="BM802" s="1365"/>
      <c r="BN802" s="1365"/>
      <c r="BO802" s="1365"/>
      <c r="BP802" s="1365"/>
      <c r="BQ802" s="1365"/>
      <c r="BR802" s="1365"/>
      <c r="BS802" s="1365"/>
    </row>
    <row r="803" spans="12:71">
      <c r="L803" s="626">
        <v>141.21</v>
      </c>
      <c r="M803" s="626" t="s">
        <v>63</v>
      </c>
      <c r="AB803" s="626">
        <v>102.15</v>
      </c>
      <c r="AC803" s="626" t="s">
        <v>44</v>
      </c>
      <c r="AJ803" s="622">
        <v>3809.02</v>
      </c>
      <c r="AK803" s="622" t="s">
        <v>94</v>
      </c>
      <c r="AP803" s="1837"/>
      <c r="AQ803" s="1837"/>
      <c r="AZ803" s="622">
        <v>3801</v>
      </c>
      <c r="BA803" s="622" t="s">
        <v>94</v>
      </c>
      <c r="BF803" s="1837"/>
      <c r="BG803" s="1837"/>
      <c r="BI803" s="1365"/>
      <c r="BJ803" s="1365"/>
      <c r="BK803" s="1365"/>
      <c r="BL803" s="1365"/>
      <c r="BM803" s="1365"/>
      <c r="BN803" s="1365"/>
      <c r="BO803" s="1365"/>
      <c r="BP803" s="1365"/>
      <c r="BQ803" s="1365"/>
      <c r="BR803" s="1365"/>
      <c r="BS803" s="1365"/>
    </row>
    <row r="804" spans="12:71">
      <c r="L804" s="626">
        <v>141.22</v>
      </c>
      <c r="M804" s="626" t="s">
        <v>63</v>
      </c>
      <c r="AB804" s="626">
        <v>103</v>
      </c>
      <c r="AC804" s="626" t="s">
        <v>78</v>
      </c>
      <c r="AJ804" s="622">
        <v>3814.01</v>
      </c>
      <c r="AK804" s="622" t="s">
        <v>94</v>
      </c>
      <c r="AP804" s="1837"/>
      <c r="AQ804" s="1837"/>
      <c r="AZ804" s="622">
        <v>3802</v>
      </c>
      <c r="BA804" s="622" t="s">
        <v>94</v>
      </c>
      <c r="BF804" s="1837"/>
      <c r="BG804" s="1837"/>
      <c r="BI804" s="1365"/>
      <c r="BJ804" s="1365"/>
      <c r="BK804" s="1365"/>
      <c r="BL804" s="1365"/>
      <c r="BM804" s="1365"/>
      <c r="BN804" s="1365"/>
      <c r="BO804" s="1365"/>
      <c r="BP804" s="1365"/>
      <c r="BQ804" s="1365"/>
      <c r="BR804" s="1365"/>
      <c r="BS804" s="1365"/>
    </row>
    <row r="805" spans="12:71">
      <c r="L805" s="626">
        <v>9602</v>
      </c>
      <c r="M805" s="626" t="s">
        <v>64</v>
      </c>
      <c r="AB805" s="626">
        <v>103</v>
      </c>
      <c r="AC805" s="626" t="s">
        <v>85</v>
      </c>
      <c r="AJ805" s="622">
        <v>3820.1</v>
      </c>
      <c r="AK805" s="622" t="s">
        <v>94</v>
      </c>
      <c r="AP805" s="1837"/>
      <c r="AQ805" s="1837"/>
      <c r="AZ805" s="622">
        <v>3803</v>
      </c>
      <c r="BA805" s="622" t="s">
        <v>94</v>
      </c>
      <c r="BF805" s="1837"/>
      <c r="BG805" s="1837"/>
      <c r="BI805" s="1365"/>
      <c r="BJ805" s="1365"/>
      <c r="BK805" s="1365"/>
      <c r="BL805" s="1365"/>
      <c r="BM805" s="1365"/>
      <c r="BN805" s="1365"/>
      <c r="BO805" s="1365"/>
      <c r="BP805" s="1365"/>
      <c r="BQ805" s="1365"/>
      <c r="BR805" s="1365"/>
      <c r="BS805" s="1365"/>
    </row>
    <row r="806" spans="12:71">
      <c r="L806" s="626">
        <v>502</v>
      </c>
      <c r="M806" s="626" t="s">
        <v>2030</v>
      </c>
      <c r="AB806" s="626">
        <v>103</v>
      </c>
      <c r="AC806" s="626" t="s">
        <v>95</v>
      </c>
      <c r="AJ806" s="622">
        <v>809.01</v>
      </c>
      <c r="AK806" s="622" t="s">
        <v>102</v>
      </c>
      <c r="AP806" s="1837"/>
      <c r="AQ806" s="1837"/>
      <c r="AZ806" s="622">
        <v>3804</v>
      </c>
      <c r="BA806" s="625" t="s">
        <v>94</v>
      </c>
      <c r="BF806" s="1837"/>
      <c r="BG806" s="1837"/>
      <c r="BI806" s="1365"/>
      <c r="BJ806" s="1365"/>
      <c r="BK806" s="1365"/>
      <c r="BL806" s="1365"/>
      <c r="BM806" s="1365"/>
      <c r="BN806" s="1365"/>
      <c r="BO806" s="1365"/>
      <c r="BP806" s="1365"/>
      <c r="BQ806" s="1365"/>
      <c r="BR806" s="1365"/>
      <c r="BS806" s="1365"/>
    </row>
    <row r="807" spans="12:71">
      <c r="L807" s="626">
        <v>503.01</v>
      </c>
      <c r="M807" s="626" t="s">
        <v>2030</v>
      </c>
      <c r="AB807" s="626">
        <v>103.01</v>
      </c>
      <c r="AC807" s="626" t="s">
        <v>41</v>
      </c>
      <c r="AJ807" s="622">
        <v>809.02</v>
      </c>
      <c r="AK807" s="622" t="s">
        <v>102</v>
      </c>
      <c r="AP807" s="1837"/>
      <c r="AQ807" s="1837"/>
      <c r="AZ807" s="622">
        <v>3805</v>
      </c>
      <c r="BA807" s="625" t="s">
        <v>94</v>
      </c>
      <c r="BF807" s="1837"/>
      <c r="BG807" s="1837"/>
      <c r="BI807" s="1365"/>
      <c r="BJ807" s="1365"/>
      <c r="BK807" s="1365"/>
      <c r="BL807" s="1365"/>
      <c r="BM807" s="1365"/>
      <c r="BN807" s="1365"/>
      <c r="BO807" s="1365"/>
      <c r="BP807" s="1365"/>
      <c r="BQ807" s="1365"/>
      <c r="BR807" s="1365"/>
      <c r="BS807" s="1365"/>
    </row>
    <row r="808" spans="12:71">
      <c r="L808" s="626">
        <v>504.02</v>
      </c>
      <c r="M808" s="626" t="s">
        <v>2030</v>
      </c>
      <c r="AB808" s="626">
        <v>103.04</v>
      </c>
      <c r="AC808" s="626" t="s">
        <v>49</v>
      </c>
      <c r="AJ808" s="622">
        <v>812.01</v>
      </c>
      <c r="AK808" s="622" t="s">
        <v>102</v>
      </c>
      <c r="AP808" s="1837"/>
      <c r="AQ808" s="1837"/>
      <c r="AZ808" s="622">
        <v>3806</v>
      </c>
      <c r="BA808" s="625" t="s">
        <v>94</v>
      </c>
      <c r="BF808" s="1837"/>
      <c r="BG808" s="1837"/>
      <c r="BI808" s="1365"/>
      <c r="BJ808" s="1365"/>
      <c r="BK808" s="1365"/>
      <c r="BL808" s="1365"/>
      <c r="BM808" s="1365"/>
      <c r="BN808" s="1365"/>
      <c r="BO808" s="1365"/>
      <c r="BP808" s="1365"/>
      <c r="BQ808" s="1365"/>
      <c r="BR808" s="1365"/>
      <c r="BS808" s="1365"/>
    </row>
    <row r="809" spans="12:71">
      <c r="L809" s="626">
        <v>505.01</v>
      </c>
      <c r="M809" s="626" t="s">
        <v>2030</v>
      </c>
      <c r="AB809" s="626">
        <v>103.04</v>
      </c>
      <c r="AC809" s="626" t="s">
        <v>70</v>
      </c>
      <c r="AJ809" s="622">
        <v>812.02</v>
      </c>
      <c r="AK809" s="622" t="s">
        <v>102</v>
      </c>
      <c r="AP809" s="1837"/>
      <c r="AQ809" s="1837"/>
      <c r="AZ809" s="622">
        <v>3809.02</v>
      </c>
      <c r="BA809" s="622" t="s">
        <v>94</v>
      </c>
      <c r="BF809" s="1837"/>
      <c r="BG809" s="1837"/>
      <c r="BI809" s="1365"/>
      <c r="BJ809" s="1365"/>
      <c r="BK809" s="1365"/>
      <c r="BL809" s="1365"/>
      <c r="BM809" s="1365"/>
      <c r="BN809" s="1365"/>
      <c r="BO809" s="1365"/>
      <c r="BP809" s="1365"/>
      <c r="BQ809" s="1365"/>
      <c r="BR809" s="1365"/>
      <c r="BS809" s="1365"/>
    </row>
    <row r="810" spans="12:71">
      <c r="L810" s="626">
        <v>505.03</v>
      </c>
      <c r="M810" s="626" t="s">
        <v>2030</v>
      </c>
      <c r="AB810" s="626">
        <v>103.05</v>
      </c>
      <c r="AC810" s="626" t="s">
        <v>70</v>
      </c>
      <c r="AJ810" s="622">
        <v>815</v>
      </c>
      <c r="AK810" s="622" t="s">
        <v>102</v>
      </c>
      <c r="AP810" s="1837"/>
      <c r="AQ810" s="1837"/>
      <c r="AZ810" s="622">
        <v>3814.01</v>
      </c>
      <c r="BA810" s="622" t="s">
        <v>94</v>
      </c>
      <c r="BF810" s="1837"/>
      <c r="BG810" s="1837"/>
      <c r="BI810" s="1365"/>
      <c r="BJ810" s="1365"/>
      <c r="BK810" s="1365"/>
      <c r="BL810" s="1365"/>
      <c r="BM810" s="1365"/>
      <c r="BN810" s="1365"/>
      <c r="BO810" s="1365"/>
      <c r="BP810" s="1365"/>
      <c r="BQ810" s="1365"/>
      <c r="BR810" s="1365"/>
      <c r="BS810" s="1365"/>
    </row>
    <row r="811" spans="12:71">
      <c r="L811" s="626">
        <v>505.04</v>
      </c>
      <c r="M811" s="626" t="s">
        <v>2030</v>
      </c>
      <c r="AB811" s="626">
        <v>103.08</v>
      </c>
      <c r="AC811" s="626" t="s">
        <v>36</v>
      </c>
      <c r="AJ811" s="622">
        <v>816</v>
      </c>
      <c r="AK811" s="622" t="s">
        <v>102</v>
      </c>
      <c r="AP811" s="1837"/>
      <c r="AQ811" s="1837"/>
      <c r="AZ811" s="622">
        <v>3820.1</v>
      </c>
      <c r="BA811" s="622" t="s">
        <v>94</v>
      </c>
      <c r="BF811" s="1837"/>
      <c r="BG811" s="1837"/>
      <c r="BI811" s="1365"/>
      <c r="BJ811" s="1365"/>
      <c r="BK811" s="1365"/>
      <c r="BL811" s="1365"/>
      <c r="BM811" s="1365"/>
      <c r="BN811" s="1365"/>
      <c r="BO811" s="1365"/>
      <c r="BP811" s="1365"/>
      <c r="BQ811" s="1365"/>
      <c r="BR811" s="1365"/>
      <c r="BS811" s="1365"/>
    </row>
    <row r="812" spans="12:71">
      <c r="L812" s="626">
        <v>505.05</v>
      </c>
      <c r="M812" s="626" t="s">
        <v>2030</v>
      </c>
      <c r="AB812" s="626">
        <v>104.01</v>
      </c>
      <c r="AC812" s="626" t="s">
        <v>36</v>
      </c>
      <c r="AJ812" s="622">
        <v>818</v>
      </c>
      <c r="AK812" s="622" t="s">
        <v>102</v>
      </c>
      <c r="AP812" s="1837"/>
      <c r="AQ812" s="1837"/>
      <c r="AZ812" s="622">
        <v>4502.0200000000004</v>
      </c>
      <c r="BA812" s="625" t="s">
        <v>42</v>
      </c>
      <c r="BF812" s="1837"/>
      <c r="BG812" s="1837"/>
      <c r="BI812" s="1365"/>
      <c r="BJ812" s="1365"/>
      <c r="BK812" s="1365"/>
      <c r="BL812" s="1365"/>
      <c r="BM812" s="1365"/>
      <c r="BN812" s="1365"/>
      <c r="BO812" s="1365"/>
      <c r="BP812" s="1365"/>
      <c r="BQ812" s="1365"/>
      <c r="BR812" s="1365"/>
      <c r="BS812" s="1365"/>
    </row>
    <row r="813" spans="12:71">
      <c r="L813" s="626">
        <v>506.02</v>
      </c>
      <c r="M813" s="626" t="s">
        <v>2030</v>
      </c>
      <c r="AB813" s="626">
        <v>104.01</v>
      </c>
      <c r="AC813" s="626" t="s">
        <v>41</v>
      </c>
      <c r="AJ813" s="622">
        <v>819</v>
      </c>
      <c r="AK813" s="622" t="s">
        <v>102</v>
      </c>
      <c r="AP813" s="1837"/>
      <c r="AQ813" s="1837"/>
      <c r="AZ813" s="622">
        <v>4503.05</v>
      </c>
      <c r="BA813" s="625" t="s">
        <v>42</v>
      </c>
      <c r="BF813" s="1837"/>
      <c r="BG813" s="1837"/>
      <c r="BI813" s="1365"/>
      <c r="BJ813" s="1365"/>
      <c r="BK813" s="1365"/>
      <c r="BL813" s="1365"/>
      <c r="BM813" s="1365"/>
      <c r="BN813" s="1365"/>
      <c r="BO813" s="1365"/>
      <c r="BP813" s="1365"/>
      <c r="BQ813" s="1365"/>
      <c r="BR813" s="1365"/>
      <c r="BS813" s="1365"/>
    </row>
    <row r="814" spans="12:71">
      <c r="L814" s="626">
        <v>506.04</v>
      </c>
      <c r="M814" s="626" t="s">
        <v>2030</v>
      </c>
      <c r="AB814" s="626">
        <v>104.01</v>
      </c>
      <c r="AC814" s="626" t="s">
        <v>44</v>
      </c>
      <c r="AJ814" s="622">
        <v>820</v>
      </c>
      <c r="AK814" s="622" t="s">
        <v>102</v>
      </c>
      <c r="AP814" s="1837"/>
      <c r="AQ814" s="1837"/>
      <c r="AZ814" s="622">
        <v>4503.0600000000004</v>
      </c>
      <c r="BA814" s="625" t="s">
        <v>42</v>
      </c>
      <c r="BF814" s="1837"/>
      <c r="BG814" s="1837"/>
      <c r="BI814" s="1365"/>
      <c r="BJ814" s="1365"/>
      <c r="BK814" s="1365"/>
      <c r="BL814" s="1365"/>
      <c r="BM814" s="1365"/>
      <c r="BN814" s="1365"/>
      <c r="BO814" s="1365"/>
      <c r="BP814" s="1365"/>
      <c r="BQ814" s="1365"/>
      <c r="BR814" s="1365"/>
      <c r="BS814" s="1365"/>
    </row>
    <row r="815" spans="12:71">
      <c r="L815" s="626">
        <v>506.05</v>
      </c>
      <c r="M815" s="626" t="s">
        <v>2030</v>
      </c>
      <c r="AB815" s="626">
        <v>104.01</v>
      </c>
      <c r="AC815" s="626" t="s">
        <v>63</v>
      </c>
      <c r="AJ815" s="622">
        <v>821</v>
      </c>
      <c r="AK815" s="622" t="s">
        <v>102</v>
      </c>
      <c r="AP815" s="1837"/>
      <c r="AQ815" s="1837"/>
      <c r="AZ815" s="622">
        <v>4508</v>
      </c>
      <c r="BA815" s="625" t="s">
        <v>42</v>
      </c>
      <c r="BF815" s="1837"/>
      <c r="BG815" s="1837"/>
      <c r="BI815" s="1365"/>
      <c r="BJ815" s="1365"/>
      <c r="BK815" s="1365"/>
      <c r="BL815" s="1365"/>
      <c r="BM815" s="1365"/>
      <c r="BN815" s="1365"/>
      <c r="BO815" s="1365"/>
      <c r="BP815" s="1365"/>
      <c r="BQ815" s="1365"/>
      <c r="BR815" s="1365"/>
      <c r="BS815" s="1365"/>
    </row>
    <row r="816" spans="12:71">
      <c r="L816" s="626">
        <v>507.02</v>
      </c>
      <c r="M816" s="626" t="s">
        <v>2030</v>
      </c>
      <c r="AB816" s="626">
        <v>104.02</v>
      </c>
      <c r="AC816" s="626" t="s">
        <v>41</v>
      </c>
      <c r="AJ816" s="622">
        <v>822.01</v>
      </c>
      <c r="AK816" s="622" t="s">
        <v>102</v>
      </c>
      <c r="AP816" s="1837"/>
      <c r="AQ816" s="1837"/>
      <c r="AZ816" s="622">
        <v>4514</v>
      </c>
      <c r="BA816" s="625" t="s">
        <v>42</v>
      </c>
      <c r="BF816" s="1837"/>
      <c r="BG816" s="1837"/>
      <c r="BI816" s="1365"/>
      <c r="BJ816" s="1365"/>
      <c r="BK816" s="1365"/>
      <c r="BL816" s="1365"/>
      <c r="BM816" s="1365"/>
      <c r="BN816" s="1365"/>
      <c r="BO816" s="1365"/>
      <c r="BP816" s="1365"/>
      <c r="BQ816" s="1365"/>
      <c r="BR816" s="1365"/>
      <c r="BS816" s="1365"/>
    </row>
    <row r="817" spans="12:71">
      <c r="L817" s="626">
        <v>507.03</v>
      </c>
      <c r="M817" s="626" t="s">
        <v>2030</v>
      </c>
      <c r="AB817" s="626">
        <v>104.02</v>
      </c>
      <c r="AC817" s="626" t="s">
        <v>91</v>
      </c>
      <c r="AJ817" s="622">
        <v>823.02</v>
      </c>
      <c r="AK817" s="622" t="s">
        <v>102</v>
      </c>
      <c r="AP817" s="1837"/>
      <c r="AQ817" s="1837"/>
      <c r="AZ817" s="622">
        <v>9503.0400000000009</v>
      </c>
      <c r="BA817" s="625" t="s">
        <v>104</v>
      </c>
      <c r="BF817" s="1837"/>
      <c r="BG817" s="1837"/>
      <c r="BI817" s="1365"/>
      <c r="BJ817" s="1365"/>
      <c r="BK817" s="1365"/>
      <c r="BL817" s="1365"/>
      <c r="BM817" s="1365"/>
      <c r="BN817" s="1365"/>
      <c r="BO817" s="1365"/>
      <c r="BP817" s="1365"/>
      <c r="BQ817" s="1365"/>
      <c r="BR817" s="1365"/>
      <c r="BS817" s="1365"/>
    </row>
    <row r="818" spans="12:71">
      <c r="L818" s="626">
        <v>507.05</v>
      </c>
      <c r="M818" s="626" t="s">
        <v>2030</v>
      </c>
      <c r="AB818" s="626">
        <v>104.03</v>
      </c>
      <c r="AC818" s="626" t="s">
        <v>41</v>
      </c>
      <c r="AJ818" s="622">
        <v>823.03</v>
      </c>
      <c r="AK818" s="622" t="s">
        <v>102</v>
      </c>
      <c r="AP818" s="1837"/>
      <c r="AQ818" s="1837"/>
      <c r="AZ818" s="622">
        <v>9603</v>
      </c>
      <c r="BA818" s="622" t="s">
        <v>62</v>
      </c>
      <c r="BF818" s="1837"/>
      <c r="BG818" s="1837"/>
      <c r="BI818" s="1365"/>
      <c r="BJ818" s="1365"/>
      <c r="BK818" s="1365"/>
      <c r="BL818" s="1365"/>
      <c r="BM818" s="1365"/>
      <c r="BN818" s="1365"/>
      <c r="BO818" s="1365"/>
      <c r="BP818" s="1365"/>
      <c r="BQ818" s="1365"/>
      <c r="BR818" s="1365"/>
      <c r="BS818" s="1365"/>
    </row>
    <row r="819" spans="12:71">
      <c r="L819" s="626">
        <v>508.02</v>
      </c>
      <c r="M819" s="626" t="s">
        <v>2030</v>
      </c>
      <c r="AB819" s="626">
        <v>104.03</v>
      </c>
      <c r="AC819" s="626" t="s">
        <v>47</v>
      </c>
      <c r="AJ819" s="622">
        <v>824.01</v>
      </c>
      <c r="AK819" s="622" t="s">
        <v>102</v>
      </c>
      <c r="AP819" s="1837"/>
      <c r="AQ819" s="1837"/>
      <c r="AZ819" s="622">
        <v>9608</v>
      </c>
      <c r="BA819" s="622" t="s">
        <v>62</v>
      </c>
      <c r="BF819" s="1837"/>
      <c r="BG819" s="1837"/>
      <c r="BI819" s="1365"/>
      <c r="BJ819" s="1365"/>
      <c r="BK819" s="1365"/>
      <c r="BL819" s="1365"/>
      <c r="BM819" s="1365"/>
      <c r="BN819" s="1365"/>
      <c r="BO819" s="1365"/>
      <c r="BP819" s="1365"/>
      <c r="BQ819" s="1365"/>
      <c r="BR819" s="1365"/>
      <c r="BS819" s="1365"/>
    </row>
    <row r="820" spans="12:71">
      <c r="L820" s="626">
        <v>508.04</v>
      </c>
      <c r="M820" s="626" t="s">
        <v>2030</v>
      </c>
      <c r="AB820" s="626">
        <v>104.04</v>
      </c>
      <c r="AC820" s="626" t="s">
        <v>41</v>
      </c>
      <c r="AJ820" s="622">
        <v>825.11</v>
      </c>
      <c r="AK820" s="622" t="s">
        <v>102</v>
      </c>
      <c r="AP820" s="1837"/>
      <c r="AQ820" s="1837"/>
      <c r="AZ820" s="622">
        <v>9609</v>
      </c>
      <c r="BA820" s="622" t="s">
        <v>62</v>
      </c>
      <c r="BF820" s="1837"/>
      <c r="BG820" s="1837"/>
      <c r="BI820" s="1365"/>
      <c r="BJ820" s="1365"/>
      <c r="BK820" s="1365"/>
      <c r="BL820" s="1365"/>
      <c r="BM820" s="1365"/>
      <c r="BN820" s="1365"/>
      <c r="BO820" s="1365"/>
      <c r="BP820" s="1365"/>
      <c r="BQ820" s="1365"/>
      <c r="BR820" s="1365"/>
      <c r="BS820" s="1365"/>
    </row>
    <row r="821" spans="12:71">
      <c r="L821" s="626">
        <v>508.08</v>
      </c>
      <c r="M821" s="626" t="s">
        <v>2030</v>
      </c>
      <c r="AB821" s="626">
        <v>104.04</v>
      </c>
      <c r="AC821" s="626" t="s">
        <v>47</v>
      </c>
      <c r="AJ821" s="622">
        <v>825.13</v>
      </c>
      <c r="AK821" s="622" t="s">
        <v>102</v>
      </c>
      <c r="AP821" s="1837"/>
      <c r="AQ821" s="1837"/>
      <c r="AZ821" s="622">
        <v>9611</v>
      </c>
      <c r="BA821" s="622" t="s">
        <v>62</v>
      </c>
      <c r="BF821" s="1837"/>
      <c r="BG821" s="1837"/>
      <c r="BI821" s="1365"/>
      <c r="BJ821" s="1365"/>
      <c r="BK821" s="1365"/>
      <c r="BL821" s="1365"/>
      <c r="BM821" s="1365"/>
      <c r="BN821" s="1365"/>
      <c r="BO821" s="1365"/>
      <c r="BP821" s="1365"/>
      <c r="BQ821" s="1365"/>
      <c r="BR821" s="1365"/>
      <c r="BS821" s="1365"/>
    </row>
    <row r="822" spans="12:71">
      <c r="L822" s="626">
        <v>509.02</v>
      </c>
      <c r="M822" s="626" t="s">
        <v>2030</v>
      </c>
      <c r="AB822" s="626">
        <v>104.05</v>
      </c>
      <c r="AC822" s="626" t="s">
        <v>44</v>
      </c>
      <c r="AJ822" s="622">
        <v>905</v>
      </c>
      <c r="AK822" s="622" t="s">
        <v>102</v>
      </c>
      <c r="AP822" s="1837"/>
      <c r="AQ822" s="1837"/>
      <c r="AZ822" s="622">
        <v>9616.0400000000009</v>
      </c>
      <c r="BA822" s="622" t="s">
        <v>62</v>
      </c>
      <c r="BF822" s="1837"/>
      <c r="BG822" s="1837"/>
      <c r="BI822" s="1365"/>
      <c r="BJ822" s="1365"/>
      <c r="BK822" s="1365"/>
      <c r="BL822" s="1365"/>
      <c r="BM822" s="1365"/>
      <c r="BN822" s="1365"/>
      <c r="BO822" s="1365"/>
      <c r="BP822" s="1365"/>
      <c r="BQ822" s="1365"/>
      <c r="BR822" s="1365"/>
      <c r="BS822" s="1365"/>
    </row>
    <row r="823" spans="12:71">
      <c r="L823" s="626">
        <v>2103</v>
      </c>
      <c r="M823" s="626" t="s">
        <v>66</v>
      </c>
      <c r="AB823" s="626">
        <v>104.05</v>
      </c>
      <c r="AC823" s="626" t="s">
        <v>47</v>
      </c>
      <c r="AJ823" s="622">
        <v>906</v>
      </c>
      <c r="AK823" s="622" t="s">
        <v>102</v>
      </c>
      <c r="AP823" s="1837"/>
      <c r="AQ823" s="1837"/>
      <c r="AZ823" s="622">
        <v>9616.0499999999993</v>
      </c>
      <c r="BA823" s="625" t="s">
        <v>62</v>
      </c>
      <c r="BF823" s="1837"/>
      <c r="BG823" s="1837"/>
      <c r="BI823" s="1365"/>
      <c r="BJ823" s="1365"/>
      <c r="BK823" s="1365"/>
      <c r="BL823" s="1365"/>
      <c r="BM823" s="1365"/>
      <c r="BN823" s="1365"/>
      <c r="BO823" s="1365"/>
      <c r="BP823" s="1365"/>
      <c r="BQ823" s="1365"/>
      <c r="BR823" s="1365"/>
      <c r="BS823" s="1365"/>
    </row>
    <row r="824" spans="12:71">
      <c r="L824" s="626">
        <v>2104</v>
      </c>
      <c r="M824" s="626" t="s">
        <v>66</v>
      </c>
      <c r="AB824" s="626">
        <v>104.06</v>
      </c>
      <c r="AC824" s="626" t="s">
        <v>36</v>
      </c>
      <c r="AJ824" s="622">
        <v>9503.0400000000009</v>
      </c>
      <c r="AK824" s="622" t="s">
        <v>104</v>
      </c>
      <c r="AP824" s="1837"/>
      <c r="AQ824" s="1837"/>
      <c r="AZ824" s="622">
        <v>9807</v>
      </c>
      <c r="BA824" s="622" t="s">
        <v>78</v>
      </c>
      <c r="BF824" s="1837"/>
      <c r="BG824" s="1837"/>
      <c r="BI824" s="1365"/>
      <c r="BJ824" s="1365"/>
      <c r="BK824" s="1365"/>
      <c r="BL824" s="1365"/>
      <c r="BM824" s="1365"/>
      <c r="BN824" s="1365"/>
      <c r="BO824" s="1365"/>
      <c r="BP824" s="1365"/>
      <c r="BQ824" s="1365"/>
      <c r="BR824" s="1365"/>
      <c r="BS824" s="1365"/>
    </row>
    <row r="825" spans="12:71">
      <c r="L825" s="626">
        <v>2105</v>
      </c>
      <c r="M825" s="626" t="s">
        <v>66</v>
      </c>
      <c r="AB825" s="626">
        <v>104.06</v>
      </c>
      <c r="AC825" s="626" t="s">
        <v>47</v>
      </c>
      <c r="AP825" s="1837"/>
      <c r="AQ825" s="1837"/>
      <c r="BF825" s="1837"/>
      <c r="BG825" s="1837"/>
      <c r="BI825" s="1365"/>
      <c r="BJ825" s="1365"/>
      <c r="BK825" s="1365"/>
      <c r="BL825" s="1365"/>
      <c r="BM825" s="1365"/>
      <c r="BN825" s="1365"/>
      <c r="BO825" s="1365"/>
      <c r="BP825" s="1365"/>
      <c r="BQ825" s="1365"/>
      <c r="BR825" s="1365"/>
      <c r="BS825" s="1365"/>
    </row>
    <row r="826" spans="12:71">
      <c r="L826" s="626">
        <v>2107</v>
      </c>
      <c r="M826" s="626" t="s">
        <v>66</v>
      </c>
      <c r="AB826" s="626">
        <v>104.06</v>
      </c>
      <c r="AC826" s="626" t="s">
        <v>70</v>
      </c>
      <c r="AP826" s="1837"/>
      <c r="AQ826" s="1837"/>
      <c r="BF826" s="1837"/>
      <c r="BG826" s="1837"/>
      <c r="BI826" s="1365"/>
      <c r="BJ826" s="1365"/>
      <c r="BK826" s="1365"/>
      <c r="BL826" s="1365"/>
      <c r="BM826" s="1365"/>
      <c r="BN826" s="1365"/>
      <c r="BO826" s="1365"/>
      <c r="BP826" s="1365"/>
      <c r="BQ826" s="1365"/>
      <c r="BR826" s="1365"/>
      <c r="BS826" s="1365"/>
    </row>
    <row r="827" spans="12:71">
      <c r="L827" s="626">
        <v>2108</v>
      </c>
      <c r="M827" s="626" t="s">
        <v>66</v>
      </c>
      <c r="AB827" s="626">
        <v>104.07</v>
      </c>
      <c r="AC827" s="626" t="s">
        <v>70</v>
      </c>
      <c r="AP827" s="1837"/>
      <c r="AQ827" s="1837"/>
      <c r="BF827" s="1837"/>
      <c r="BG827" s="1837"/>
      <c r="BI827" s="1365"/>
      <c r="BJ827" s="1365"/>
      <c r="BK827" s="1365"/>
      <c r="BL827" s="1365"/>
      <c r="BM827" s="1365"/>
      <c r="BN827" s="1365"/>
      <c r="BO827" s="1365"/>
      <c r="BP827" s="1365"/>
      <c r="BQ827" s="1365"/>
      <c r="BR827" s="1365"/>
      <c r="BS827" s="1365"/>
    </row>
    <row r="828" spans="12:71">
      <c r="L828" s="626">
        <v>2110</v>
      </c>
      <c r="M828" s="626" t="s">
        <v>66</v>
      </c>
      <c r="AB828" s="626">
        <v>104.08</v>
      </c>
      <c r="AC828" s="626" t="s">
        <v>44</v>
      </c>
      <c r="AP828" s="1837"/>
      <c r="AQ828" s="1837"/>
      <c r="BF828" s="1837"/>
      <c r="BG828" s="1837"/>
      <c r="BI828" s="1365"/>
      <c r="BJ828" s="1365"/>
      <c r="BK828" s="1365"/>
      <c r="BL828" s="1365"/>
      <c r="BM828" s="1365"/>
      <c r="BN828" s="1365"/>
      <c r="BO828" s="1365"/>
      <c r="BP828" s="1365"/>
      <c r="BQ828" s="1365"/>
      <c r="BR828" s="1365"/>
      <c r="BS828" s="1365"/>
    </row>
    <row r="829" spans="12:71">
      <c r="L829" s="626">
        <v>2501.02</v>
      </c>
      <c r="M829" s="626" t="s">
        <v>67</v>
      </c>
      <c r="AB829" s="626">
        <v>104.09</v>
      </c>
      <c r="AC829" s="626" t="s">
        <v>70</v>
      </c>
      <c r="AP829" s="1837"/>
      <c r="AQ829" s="1837"/>
      <c r="BF829" s="1837"/>
      <c r="BG829" s="1837"/>
      <c r="BI829" s="1365"/>
      <c r="BJ829" s="1365"/>
      <c r="BK829" s="1365"/>
      <c r="BL829" s="1365"/>
      <c r="BM829" s="1365"/>
      <c r="BN829" s="1365"/>
      <c r="BO829" s="1365"/>
      <c r="BP829" s="1365"/>
      <c r="BQ829" s="1365"/>
      <c r="BR829" s="1365"/>
      <c r="BS829" s="1365"/>
    </row>
    <row r="830" spans="12:71">
      <c r="L830" s="626">
        <v>2502</v>
      </c>
      <c r="M830" s="626" t="s">
        <v>67</v>
      </c>
      <c r="AB830" s="626">
        <v>104.1</v>
      </c>
      <c r="AC830" s="626" t="s">
        <v>70</v>
      </c>
      <c r="AP830" s="1837"/>
      <c r="AQ830" s="1837"/>
      <c r="BF830" s="1837"/>
      <c r="BG830" s="1837"/>
      <c r="BI830" s="1365"/>
      <c r="BJ830" s="1365"/>
      <c r="BK830" s="1365"/>
      <c r="BL830" s="1365"/>
      <c r="BM830" s="1365"/>
      <c r="BN830" s="1365"/>
      <c r="BO830" s="1365"/>
      <c r="BP830" s="1365"/>
      <c r="BQ830" s="1365"/>
      <c r="BR830" s="1365"/>
      <c r="BS830" s="1365"/>
    </row>
    <row r="831" spans="12:71">
      <c r="L831" s="626">
        <v>301.04000000000002</v>
      </c>
      <c r="M831" s="626" t="s">
        <v>69</v>
      </c>
      <c r="AB831" s="626">
        <v>104.11</v>
      </c>
      <c r="AC831" s="626" t="s">
        <v>70</v>
      </c>
      <c r="AP831" s="1837"/>
      <c r="AQ831" s="1837"/>
      <c r="BF831" s="1837"/>
      <c r="BG831" s="1837"/>
      <c r="BI831" s="1365"/>
      <c r="BJ831" s="1365"/>
      <c r="BK831" s="1365"/>
      <c r="BL831" s="1365"/>
      <c r="BM831" s="1365"/>
      <c r="BN831" s="1365"/>
      <c r="BO831" s="1365"/>
      <c r="BP831" s="1365"/>
      <c r="BQ831" s="1365"/>
      <c r="BR831" s="1365"/>
      <c r="BS831" s="1365"/>
    </row>
    <row r="832" spans="12:71">
      <c r="L832" s="626">
        <v>301.05</v>
      </c>
      <c r="M832" s="626" t="s">
        <v>69</v>
      </c>
      <c r="AB832" s="626">
        <v>104.12</v>
      </c>
      <c r="AC832" s="626" t="s">
        <v>44</v>
      </c>
      <c r="AP832" s="1837"/>
      <c r="AQ832" s="1837"/>
      <c r="BF832" s="1837"/>
      <c r="BG832" s="1837"/>
      <c r="BI832" s="1365"/>
      <c r="BJ832" s="1365"/>
      <c r="BK832" s="1365"/>
      <c r="BL832" s="1365"/>
      <c r="BM832" s="1365"/>
      <c r="BN832" s="1365"/>
      <c r="BO832" s="1365"/>
      <c r="BP832" s="1365"/>
      <c r="BQ832" s="1365"/>
      <c r="BR832" s="1365"/>
      <c r="BS832" s="1365"/>
    </row>
    <row r="833" spans="12:71">
      <c r="L833" s="626">
        <v>301.08</v>
      </c>
      <c r="M833" s="626" t="s">
        <v>69</v>
      </c>
      <c r="AB833" s="626">
        <v>104.12</v>
      </c>
      <c r="AC833" s="626" t="s">
        <v>70</v>
      </c>
      <c r="AP833" s="1837"/>
      <c r="AQ833" s="1837"/>
      <c r="BF833" s="1837"/>
      <c r="BG833" s="1837"/>
      <c r="BI833" s="1365"/>
      <c r="BJ833" s="1365"/>
      <c r="BK833" s="1365"/>
      <c r="BL833" s="1365"/>
      <c r="BM833" s="1365"/>
      <c r="BN833" s="1365"/>
      <c r="BO833" s="1365"/>
      <c r="BP833" s="1365"/>
      <c r="BQ833" s="1365"/>
      <c r="BR833" s="1365"/>
      <c r="BS833" s="1365"/>
    </row>
    <row r="834" spans="12:71">
      <c r="L834" s="626">
        <v>302.02999999999997</v>
      </c>
      <c r="M834" s="626" t="s">
        <v>69</v>
      </c>
      <c r="AB834" s="626">
        <v>104.13</v>
      </c>
      <c r="AC834" s="626" t="s">
        <v>44</v>
      </c>
      <c r="AP834" s="1837"/>
      <c r="AQ834" s="1837"/>
      <c r="BF834" s="1837"/>
      <c r="BG834" s="1837"/>
      <c r="BI834" s="1365"/>
      <c r="BJ834" s="1365"/>
      <c r="BK834" s="1365"/>
      <c r="BL834" s="1365"/>
      <c r="BM834" s="1365"/>
      <c r="BN834" s="1365"/>
      <c r="BO834" s="1365"/>
      <c r="BP834" s="1365"/>
      <c r="BQ834" s="1365"/>
      <c r="BR834" s="1365"/>
      <c r="BS834" s="1365"/>
    </row>
    <row r="835" spans="12:71">
      <c r="L835" s="626">
        <v>302.07</v>
      </c>
      <c r="M835" s="626" t="s">
        <v>69</v>
      </c>
      <c r="AB835" s="626">
        <v>104.14</v>
      </c>
      <c r="AC835" s="626" t="s">
        <v>44</v>
      </c>
      <c r="AP835" s="1837"/>
      <c r="AQ835" s="1837"/>
      <c r="BF835" s="1837"/>
      <c r="BG835" s="1837"/>
      <c r="BI835" s="1365"/>
      <c r="BJ835" s="1365"/>
      <c r="BK835" s="1365"/>
      <c r="BL835" s="1365"/>
      <c r="BM835" s="1365"/>
      <c r="BN835" s="1365"/>
      <c r="BO835" s="1365"/>
      <c r="BP835" s="1365"/>
      <c r="BQ835" s="1365"/>
      <c r="BR835" s="1365"/>
      <c r="BS835" s="1365"/>
    </row>
    <row r="836" spans="12:71">
      <c r="L836" s="626">
        <v>302.08</v>
      </c>
      <c r="M836" s="626" t="s">
        <v>69</v>
      </c>
      <c r="AB836" s="626">
        <v>104.15</v>
      </c>
      <c r="AC836" s="626" t="s">
        <v>44</v>
      </c>
      <c r="AP836" s="1837"/>
      <c r="AQ836" s="1837"/>
      <c r="BF836" s="1837"/>
      <c r="BG836" s="1837"/>
      <c r="BI836" s="1365"/>
      <c r="BJ836" s="1365"/>
      <c r="BK836" s="1365"/>
      <c r="BL836" s="1365"/>
      <c r="BM836" s="1365"/>
      <c r="BN836" s="1365"/>
      <c r="BO836" s="1365"/>
      <c r="BP836" s="1365"/>
      <c r="BQ836" s="1365"/>
      <c r="BR836" s="1365"/>
      <c r="BS836" s="1365"/>
    </row>
    <row r="837" spans="12:71">
      <c r="L837" s="626">
        <v>303.02</v>
      </c>
      <c r="M837" s="626" t="s">
        <v>69</v>
      </c>
      <c r="AB837" s="626">
        <v>104.16</v>
      </c>
      <c r="AC837" s="626" t="s">
        <v>44</v>
      </c>
      <c r="AP837" s="1837"/>
      <c r="AQ837" s="1837"/>
      <c r="BF837" s="1837"/>
      <c r="BG837" s="1837"/>
      <c r="BI837" s="1365"/>
      <c r="BJ837" s="1365"/>
      <c r="BK837" s="1365"/>
      <c r="BL837" s="1365"/>
      <c r="BM837" s="1365"/>
      <c r="BN837" s="1365"/>
      <c r="BO837" s="1365"/>
      <c r="BP837" s="1365"/>
      <c r="BQ837" s="1365"/>
      <c r="BR837" s="1365"/>
      <c r="BS837" s="1365"/>
    </row>
    <row r="838" spans="12:71">
      <c r="L838" s="626">
        <v>303.05</v>
      </c>
      <c r="M838" s="626" t="s">
        <v>69</v>
      </c>
      <c r="AB838" s="626">
        <v>104.17</v>
      </c>
      <c r="AC838" s="626" t="s">
        <v>44</v>
      </c>
      <c r="AP838" s="1837"/>
      <c r="AQ838" s="1837"/>
      <c r="BF838" s="1837"/>
      <c r="BG838" s="1837"/>
      <c r="BI838" s="1365"/>
      <c r="BJ838" s="1365"/>
      <c r="BK838" s="1365"/>
      <c r="BL838" s="1365"/>
      <c r="BM838" s="1365"/>
      <c r="BN838" s="1365"/>
      <c r="BO838" s="1365"/>
      <c r="BP838" s="1365"/>
      <c r="BQ838" s="1365"/>
      <c r="BR838" s="1365"/>
      <c r="BS838" s="1365"/>
    </row>
    <row r="839" spans="12:71">
      <c r="L839" s="626">
        <v>303.08</v>
      </c>
      <c r="M839" s="626" t="s">
        <v>69</v>
      </c>
      <c r="AB839" s="626">
        <v>104.18</v>
      </c>
      <c r="AC839" s="626" t="s">
        <v>44</v>
      </c>
      <c r="AP839" s="1837"/>
      <c r="AQ839" s="1837"/>
      <c r="BF839" s="1837"/>
      <c r="BG839" s="1837"/>
      <c r="BI839" s="1365"/>
      <c r="BJ839" s="1365"/>
      <c r="BK839" s="1365"/>
      <c r="BL839" s="1365"/>
      <c r="BM839" s="1365"/>
      <c r="BN839" s="1365"/>
      <c r="BO839" s="1365"/>
      <c r="BP839" s="1365"/>
      <c r="BQ839" s="1365"/>
      <c r="BR839" s="1365"/>
      <c r="BS839" s="1365"/>
    </row>
    <row r="840" spans="12:71">
      <c r="L840" s="626">
        <v>304.06</v>
      </c>
      <c r="M840" s="626" t="s">
        <v>69</v>
      </c>
      <c r="AB840" s="626">
        <v>105.01</v>
      </c>
      <c r="AC840" s="626" t="s">
        <v>70</v>
      </c>
      <c r="AP840" s="1837"/>
      <c r="AQ840" s="1837"/>
      <c r="BF840" s="1837"/>
      <c r="BG840" s="1837"/>
      <c r="BI840" s="1365"/>
      <c r="BJ840" s="1365"/>
      <c r="BK840" s="1365"/>
      <c r="BL840" s="1365"/>
      <c r="BM840" s="1365"/>
      <c r="BN840" s="1365"/>
      <c r="BO840" s="1365"/>
      <c r="BP840" s="1365"/>
      <c r="BQ840" s="1365"/>
      <c r="BR840" s="1365"/>
      <c r="BS840" s="1365"/>
    </row>
    <row r="841" spans="12:71">
      <c r="L841" s="626">
        <v>304.08</v>
      </c>
      <c r="M841" s="626" t="s">
        <v>69</v>
      </c>
      <c r="AB841" s="626">
        <v>105.01</v>
      </c>
      <c r="AC841" s="626" t="s">
        <v>91</v>
      </c>
      <c r="AP841" s="1837"/>
      <c r="AQ841" s="1837"/>
      <c r="BF841" s="1837"/>
      <c r="BG841" s="1837"/>
      <c r="BI841" s="1365"/>
      <c r="BJ841" s="1365"/>
      <c r="BK841" s="1365"/>
      <c r="BL841" s="1365"/>
      <c r="BM841" s="1365"/>
      <c r="BN841" s="1365"/>
      <c r="BO841" s="1365"/>
      <c r="BP841" s="1365"/>
      <c r="BQ841" s="1365"/>
      <c r="BR841" s="1365"/>
      <c r="BS841" s="1365"/>
    </row>
    <row r="842" spans="12:71">
      <c r="L842" s="626">
        <v>304.10000000000002</v>
      </c>
      <c r="M842" s="626" t="s">
        <v>69</v>
      </c>
      <c r="AB842" s="626">
        <v>105.02</v>
      </c>
      <c r="AC842" s="626" t="s">
        <v>36</v>
      </c>
      <c r="AP842" s="1837"/>
      <c r="AQ842" s="1837"/>
      <c r="BF842" s="1837"/>
      <c r="BG842" s="1837"/>
      <c r="BI842" s="1365"/>
      <c r="BJ842" s="1365"/>
      <c r="BK842" s="1365"/>
      <c r="BL842" s="1365"/>
      <c r="BM842" s="1365"/>
      <c r="BN842" s="1365"/>
      <c r="BO842" s="1365"/>
      <c r="BP842" s="1365"/>
      <c r="BQ842" s="1365"/>
      <c r="BR842" s="1365"/>
      <c r="BS842" s="1365"/>
    </row>
    <row r="843" spans="12:71">
      <c r="L843" s="626">
        <v>307.01</v>
      </c>
      <c r="M843" s="626" t="s">
        <v>69</v>
      </c>
      <c r="AB843" s="626">
        <v>105.02</v>
      </c>
      <c r="AC843" s="626" t="s">
        <v>91</v>
      </c>
      <c r="AP843" s="1837"/>
      <c r="AQ843" s="1837"/>
      <c r="BF843" s="1837"/>
      <c r="BG843" s="1837"/>
      <c r="BI843" s="1365"/>
      <c r="BJ843" s="1365"/>
      <c r="BK843" s="1365"/>
      <c r="BL843" s="1365"/>
      <c r="BM843" s="1365"/>
      <c r="BN843" s="1365"/>
      <c r="BO843" s="1365"/>
      <c r="BP843" s="1365"/>
      <c r="BQ843" s="1365"/>
      <c r="BR843" s="1365"/>
      <c r="BS843" s="1365"/>
    </row>
    <row r="844" spans="12:71">
      <c r="L844" s="626">
        <v>307.02</v>
      </c>
      <c r="M844" s="626" t="s">
        <v>69</v>
      </c>
      <c r="AB844" s="626">
        <v>105.03</v>
      </c>
      <c r="AC844" s="626" t="s">
        <v>36</v>
      </c>
      <c r="AP844" s="1837"/>
      <c r="AQ844" s="1837"/>
      <c r="BF844" s="1837"/>
      <c r="BG844" s="1837"/>
      <c r="BI844" s="1365"/>
      <c r="BJ844" s="1365"/>
      <c r="BK844" s="1365"/>
      <c r="BL844" s="1365"/>
      <c r="BM844" s="1365"/>
      <c r="BN844" s="1365"/>
      <c r="BO844" s="1365"/>
      <c r="BP844" s="1365"/>
      <c r="BQ844" s="1365"/>
      <c r="BR844" s="1365"/>
      <c r="BS844" s="1365"/>
    </row>
    <row r="845" spans="12:71">
      <c r="L845" s="626">
        <v>308.04000000000002</v>
      </c>
      <c r="M845" s="626" t="s">
        <v>69</v>
      </c>
      <c r="AB845" s="626">
        <v>105.04</v>
      </c>
      <c r="AC845" s="626" t="s">
        <v>36</v>
      </c>
      <c r="AP845" s="1837"/>
      <c r="AQ845" s="1837"/>
      <c r="BF845" s="1837"/>
      <c r="BG845" s="1837"/>
      <c r="BI845" s="1365"/>
      <c r="BJ845" s="1365"/>
      <c r="BK845" s="1365"/>
      <c r="BL845" s="1365"/>
      <c r="BM845" s="1365"/>
      <c r="BN845" s="1365"/>
      <c r="BO845" s="1365"/>
      <c r="BP845" s="1365"/>
      <c r="BQ845" s="1365"/>
      <c r="BR845" s="1365"/>
      <c r="BS845" s="1365"/>
    </row>
    <row r="846" spans="12:71">
      <c r="L846" s="626">
        <v>309.02</v>
      </c>
      <c r="M846" s="626" t="s">
        <v>69</v>
      </c>
      <c r="AB846" s="626">
        <v>105.04</v>
      </c>
      <c r="AC846" s="626" t="s">
        <v>95</v>
      </c>
      <c r="AP846" s="1837"/>
      <c r="AQ846" s="1837"/>
      <c r="BF846" s="1837"/>
      <c r="BG846" s="1837"/>
      <c r="BI846" s="1365"/>
      <c r="BJ846" s="1365"/>
      <c r="BM846" s="1365"/>
      <c r="BN846" s="1365"/>
      <c r="BO846" s="1365"/>
      <c r="BP846" s="1365"/>
      <c r="BQ846" s="1365"/>
      <c r="BR846" s="1365"/>
      <c r="BS846" s="1365"/>
    </row>
    <row r="847" spans="12:71">
      <c r="L847" s="626">
        <v>309.12</v>
      </c>
      <c r="M847" s="626" t="s">
        <v>69</v>
      </c>
      <c r="AB847" s="626">
        <v>105.09</v>
      </c>
      <c r="AC847" s="626" t="s">
        <v>44</v>
      </c>
      <c r="AP847" s="1837"/>
      <c r="AQ847" s="1837"/>
      <c r="BF847" s="1837"/>
      <c r="BG847" s="1837"/>
      <c r="BI847" s="1365"/>
      <c r="BN847" s="1365"/>
      <c r="BO847" s="1365"/>
      <c r="BP847" s="1365"/>
      <c r="BQ847" s="1365"/>
      <c r="BR847" s="1365"/>
      <c r="BS847" s="1365"/>
    </row>
    <row r="848" spans="12:71">
      <c r="L848" s="626">
        <v>309.13</v>
      </c>
      <c r="M848" s="626" t="s">
        <v>69</v>
      </c>
      <c r="AB848" s="626">
        <v>106</v>
      </c>
      <c r="AC848" s="626" t="s">
        <v>49</v>
      </c>
      <c r="AP848" s="1837"/>
      <c r="AQ848" s="1837"/>
      <c r="BF848" s="1837"/>
      <c r="BG848" s="1837"/>
      <c r="BI848" s="1365"/>
      <c r="BN848" s="1365"/>
      <c r="BO848" s="1365"/>
      <c r="BP848" s="1365"/>
      <c r="BQ848" s="1365"/>
      <c r="BR848" s="1365"/>
      <c r="BS848" s="1365"/>
    </row>
    <row r="849" spans="12:71">
      <c r="L849" s="626">
        <v>309.14</v>
      </c>
      <c r="M849" s="626" t="s">
        <v>69</v>
      </c>
      <c r="AB849" s="626">
        <v>106</v>
      </c>
      <c r="AC849" s="626" t="s">
        <v>63</v>
      </c>
      <c r="AP849" s="1837"/>
      <c r="AQ849" s="1837"/>
      <c r="BF849" s="1837"/>
      <c r="BG849" s="1837"/>
      <c r="BI849" s="1365"/>
      <c r="BN849" s="1365"/>
      <c r="BO849" s="1365"/>
      <c r="BP849" s="1365"/>
      <c r="BQ849" s="1365"/>
      <c r="BR849" s="1365"/>
      <c r="BS849" s="1365"/>
    </row>
    <row r="850" spans="12:71">
      <c r="L850" s="626">
        <v>310</v>
      </c>
      <c r="M850" s="626" t="s">
        <v>69</v>
      </c>
      <c r="AB850" s="626">
        <v>106.01</v>
      </c>
      <c r="AC850" s="626" t="s">
        <v>36</v>
      </c>
      <c r="AP850" s="1837"/>
      <c r="AQ850" s="1837"/>
      <c r="BF850" s="1837"/>
      <c r="BG850" s="1837"/>
      <c r="BI850" s="1365"/>
      <c r="BQ850" s="1365"/>
      <c r="BR850" s="1365"/>
      <c r="BS850" s="1365"/>
    </row>
    <row r="851" spans="12:71">
      <c r="L851" s="626">
        <v>311.02</v>
      </c>
      <c r="M851" s="626" t="s">
        <v>69</v>
      </c>
      <c r="AB851" s="626">
        <v>106.01</v>
      </c>
      <c r="AC851" s="626" t="s">
        <v>70</v>
      </c>
      <c r="AP851" s="1837"/>
      <c r="AQ851" s="1837"/>
      <c r="BF851" s="1837"/>
      <c r="BG851" s="1837"/>
      <c r="BQ851" s="1365"/>
      <c r="BR851" s="1365"/>
      <c r="BS851" s="1365"/>
    </row>
    <row r="852" spans="12:71">
      <c r="L852" s="626">
        <v>311.02999999999997</v>
      </c>
      <c r="M852" s="626" t="s">
        <v>69</v>
      </c>
      <c r="AB852" s="626">
        <v>106.01</v>
      </c>
      <c r="AC852" s="626" t="s">
        <v>91</v>
      </c>
      <c r="AP852" s="1837"/>
      <c r="AQ852" s="1837"/>
      <c r="BF852" s="1837"/>
      <c r="BG852" s="1837"/>
      <c r="BQ852" s="1365"/>
      <c r="BR852" s="1365"/>
      <c r="BS852" s="1365"/>
    </row>
    <row r="853" spans="12:71">
      <c r="L853" s="626">
        <v>312.02</v>
      </c>
      <c r="M853" s="626" t="s">
        <v>69</v>
      </c>
      <c r="AB853" s="626">
        <v>106.03</v>
      </c>
      <c r="AC853" s="626" t="s">
        <v>36</v>
      </c>
      <c r="AP853" s="1837"/>
      <c r="AQ853" s="1837"/>
      <c r="BF853" s="1837"/>
      <c r="BG853" s="1837"/>
      <c r="BQ853" s="1365"/>
      <c r="BR853" s="1365"/>
      <c r="BS853" s="1365"/>
    </row>
    <row r="854" spans="12:71">
      <c r="L854" s="626">
        <v>313.01</v>
      </c>
      <c r="M854" s="626" t="s">
        <v>69</v>
      </c>
      <c r="AB854" s="626">
        <v>106.03</v>
      </c>
      <c r="AC854" s="626" t="s">
        <v>91</v>
      </c>
      <c r="AP854" s="1837"/>
      <c r="AQ854" s="1837"/>
      <c r="BF854" s="1837"/>
      <c r="BG854" s="1837"/>
    </row>
    <row r="855" spans="12:71">
      <c r="L855" s="626">
        <v>313.05</v>
      </c>
      <c r="M855" s="626" t="s">
        <v>69</v>
      </c>
      <c r="AB855" s="626">
        <v>106.04</v>
      </c>
      <c r="AC855" s="626" t="s">
        <v>36</v>
      </c>
      <c r="AP855" s="1837"/>
      <c r="AQ855" s="1837"/>
      <c r="BF855" s="1837"/>
      <c r="BG855" s="1837"/>
    </row>
    <row r="856" spans="12:71">
      <c r="L856" s="626">
        <v>313.06</v>
      </c>
      <c r="M856" s="626" t="s">
        <v>69</v>
      </c>
      <c r="AB856" s="626">
        <v>106.04</v>
      </c>
      <c r="AC856" s="626" t="s">
        <v>78</v>
      </c>
      <c r="AP856" s="1837"/>
      <c r="AQ856" s="1837"/>
      <c r="BF856" s="1837"/>
      <c r="BG856" s="1837"/>
    </row>
    <row r="857" spans="12:71">
      <c r="L857" s="626">
        <v>313.07</v>
      </c>
      <c r="M857" s="626" t="s">
        <v>69</v>
      </c>
      <c r="AB857" s="626">
        <v>106.04</v>
      </c>
      <c r="AC857" s="626" t="s">
        <v>91</v>
      </c>
      <c r="AP857" s="1837"/>
      <c r="AQ857" s="1837"/>
      <c r="BF857" s="1837"/>
      <c r="BG857" s="1837"/>
    </row>
    <row r="858" spans="12:71">
      <c r="L858" s="626">
        <v>313.08</v>
      </c>
      <c r="M858" s="626" t="s">
        <v>69</v>
      </c>
      <c r="AB858" s="626">
        <v>106.05</v>
      </c>
      <c r="AC858" s="626" t="s">
        <v>36</v>
      </c>
      <c r="AP858" s="1837"/>
      <c r="AQ858" s="1837"/>
      <c r="BF858" s="1837"/>
      <c r="BG858" s="1837"/>
    </row>
    <row r="859" spans="12:71">
      <c r="L859" s="626">
        <v>313.08999999999997</v>
      </c>
      <c r="M859" s="626" t="s">
        <v>69</v>
      </c>
      <c r="AB859" s="626">
        <v>106.06</v>
      </c>
      <c r="AC859" s="626" t="s">
        <v>36</v>
      </c>
      <c r="AP859" s="1837"/>
      <c r="AQ859" s="1837"/>
      <c r="BF859" s="1837"/>
      <c r="BG859" s="1837"/>
    </row>
    <row r="860" spans="12:71">
      <c r="L860" s="626">
        <v>313.10000000000002</v>
      </c>
      <c r="M860" s="626" t="s">
        <v>69</v>
      </c>
      <c r="AB860" s="626">
        <v>106.06</v>
      </c>
      <c r="AC860" s="626" t="s">
        <v>44</v>
      </c>
      <c r="AP860" s="1837"/>
      <c r="AQ860" s="1837"/>
      <c r="BF860" s="1837"/>
      <c r="BG860" s="1837"/>
    </row>
    <row r="861" spans="12:71">
      <c r="L861" s="626">
        <v>313.11</v>
      </c>
      <c r="M861" s="626" t="s">
        <v>69</v>
      </c>
      <c r="AB861" s="626">
        <v>106.06</v>
      </c>
      <c r="AC861" s="626" t="s">
        <v>78</v>
      </c>
      <c r="AP861" s="1837"/>
      <c r="AQ861" s="1837"/>
      <c r="BF861" s="1837"/>
      <c r="BG861" s="1837"/>
    </row>
    <row r="862" spans="12:71">
      <c r="L862" s="626">
        <v>8</v>
      </c>
      <c r="M862" s="626" t="s">
        <v>70</v>
      </c>
      <c r="AB862" s="626">
        <v>106.07</v>
      </c>
      <c r="AC862" s="626" t="s">
        <v>36</v>
      </c>
      <c r="AP862" s="1837"/>
      <c r="AQ862" s="1837"/>
      <c r="BF862" s="1837"/>
      <c r="BG862" s="1837"/>
    </row>
    <row r="863" spans="12:71">
      <c r="L863" s="626">
        <v>9</v>
      </c>
      <c r="M863" s="626" t="s">
        <v>70</v>
      </c>
      <c r="AB863" s="626">
        <v>106.08</v>
      </c>
      <c r="AC863" s="626" t="s">
        <v>78</v>
      </c>
      <c r="AP863" s="1837"/>
      <c r="AQ863" s="1837"/>
      <c r="BF863" s="1837"/>
      <c r="BG863" s="1837"/>
    </row>
    <row r="864" spans="12:71">
      <c r="L864" s="626">
        <v>10</v>
      </c>
      <c r="M864" s="626" t="s">
        <v>70</v>
      </c>
      <c r="AB864" s="626">
        <v>106.09</v>
      </c>
      <c r="AC864" s="626" t="s">
        <v>36</v>
      </c>
      <c r="AP864" s="1837"/>
      <c r="AQ864" s="1837"/>
      <c r="BF864" s="1837"/>
      <c r="BG864" s="1837"/>
    </row>
    <row r="865" spans="12:59">
      <c r="L865" s="626">
        <v>12.02</v>
      </c>
      <c r="M865" s="626" t="s">
        <v>70</v>
      </c>
      <c r="AB865" s="626">
        <v>106.1</v>
      </c>
      <c r="AC865" s="626" t="s">
        <v>36</v>
      </c>
      <c r="AP865" s="1837"/>
      <c r="AQ865" s="1837"/>
      <c r="BF865" s="1837"/>
      <c r="BG865" s="1837"/>
    </row>
    <row r="866" spans="12:59">
      <c r="L866" s="626">
        <v>14.02</v>
      </c>
      <c r="M866" s="626" t="s">
        <v>70</v>
      </c>
      <c r="AB866" s="626">
        <v>106.1</v>
      </c>
      <c r="AC866" s="626" t="s">
        <v>78</v>
      </c>
      <c r="AP866" s="1837"/>
      <c r="AQ866" s="1837"/>
      <c r="BF866" s="1837"/>
      <c r="BG866" s="1837"/>
    </row>
    <row r="867" spans="12:59">
      <c r="L867" s="626">
        <v>15.01</v>
      </c>
      <c r="M867" s="626" t="s">
        <v>70</v>
      </c>
      <c r="AB867" s="626">
        <v>106.11</v>
      </c>
      <c r="AC867" s="626" t="s">
        <v>36</v>
      </c>
      <c r="AP867" s="1837"/>
      <c r="AQ867" s="1837"/>
      <c r="BF867" s="1837"/>
      <c r="BG867" s="1837"/>
    </row>
    <row r="868" spans="12:59">
      <c r="L868" s="626">
        <v>16.010000000000002</v>
      </c>
      <c r="M868" s="626" t="s">
        <v>70</v>
      </c>
      <c r="AB868" s="626">
        <v>106.12</v>
      </c>
      <c r="AC868" s="626" t="s">
        <v>36</v>
      </c>
      <c r="AP868" s="1837"/>
      <c r="AQ868" s="1837"/>
      <c r="BF868" s="1837"/>
      <c r="BG868" s="1837"/>
    </row>
    <row r="869" spans="12:59">
      <c r="L869" s="626">
        <v>16.02</v>
      </c>
      <c r="M869" s="626" t="s">
        <v>70</v>
      </c>
      <c r="AB869" s="626">
        <v>106.12</v>
      </c>
      <c r="AC869" s="626" t="s">
        <v>78</v>
      </c>
      <c r="AP869" s="1837"/>
      <c r="AQ869" s="1837"/>
      <c r="BF869" s="1837"/>
      <c r="BG869" s="1837"/>
    </row>
    <row r="870" spans="12:59">
      <c r="L870" s="626">
        <v>17.010000000000002</v>
      </c>
      <c r="M870" s="626" t="s">
        <v>70</v>
      </c>
      <c r="AB870" s="626">
        <v>106.13</v>
      </c>
      <c r="AC870" s="626" t="s">
        <v>78</v>
      </c>
      <c r="AP870" s="1837"/>
      <c r="AQ870" s="1837"/>
      <c r="BF870" s="1837"/>
      <c r="BG870" s="1837"/>
    </row>
    <row r="871" spans="12:59">
      <c r="L871" s="626">
        <v>17.03</v>
      </c>
      <c r="M871" s="626" t="s">
        <v>70</v>
      </c>
      <c r="AB871" s="626">
        <v>106.17</v>
      </c>
      <c r="AC871" s="626" t="s">
        <v>78</v>
      </c>
      <c r="AP871" s="1837"/>
      <c r="AQ871" s="1837"/>
      <c r="BF871" s="1837"/>
      <c r="BG871" s="1837"/>
    </row>
    <row r="872" spans="12:59">
      <c r="L872" s="626">
        <v>17.05</v>
      </c>
      <c r="M872" s="626" t="s">
        <v>70</v>
      </c>
      <c r="AB872" s="626">
        <v>107.01</v>
      </c>
      <c r="AC872" s="626" t="s">
        <v>63</v>
      </c>
      <c r="AP872" s="1837"/>
      <c r="AQ872" s="1837"/>
      <c r="BF872" s="1837"/>
      <c r="BG872" s="1837"/>
    </row>
    <row r="873" spans="12:59">
      <c r="L873" s="626">
        <v>17.059999999999999</v>
      </c>
      <c r="M873" s="626" t="s">
        <v>70</v>
      </c>
      <c r="AB873" s="626">
        <v>107.01</v>
      </c>
      <c r="AC873" s="626" t="s">
        <v>70</v>
      </c>
      <c r="AP873" s="1837"/>
      <c r="AQ873" s="1837"/>
      <c r="BF873" s="1837"/>
      <c r="BG873" s="1837"/>
    </row>
    <row r="874" spans="12:59">
      <c r="L874" s="626">
        <v>18.010000000000002</v>
      </c>
      <c r="M874" s="626" t="s">
        <v>70</v>
      </c>
      <c r="AB874" s="626">
        <v>107.01</v>
      </c>
      <c r="AC874" s="626" t="s">
        <v>91</v>
      </c>
      <c r="AP874" s="1837"/>
      <c r="AQ874" s="1837"/>
      <c r="BF874" s="1837"/>
      <c r="BG874" s="1837"/>
    </row>
    <row r="875" spans="12:59">
      <c r="L875" s="626">
        <v>18.02</v>
      </c>
      <c r="M875" s="626" t="s">
        <v>70</v>
      </c>
      <c r="AB875" s="626">
        <v>107.02</v>
      </c>
      <c r="AC875" s="626" t="s">
        <v>44</v>
      </c>
      <c r="AP875" s="1837"/>
      <c r="AQ875" s="1837"/>
      <c r="BF875" s="1837"/>
      <c r="BG875" s="1837"/>
    </row>
    <row r="876" spans="12:59">
      <c r="L876" s="626">
        <v>19.03</v>
      </c>
      <c r="M876" s="626" t="s">
        <v>70</v>
      </c>
      <c r="AB876" s="626">
        <v>107.02</v>
      </c>
      <c r="AC876" s="626" t="s">
        <v>63</v>
      </c>
      <c r="AP876" s="1837"/>
      <c r="AQ876" s="1837"/>
      <c r="BF876" s="1837"/>
      <c r="BG876" s="1837"/>
    </row>
    <row r="877" spans="12:59">
      <c r="L877" s="626">
        <v>19.059999999999999</v>
      </c>
      <c r="M877" s="626" t="s">
        <v>70</v>
      </c>
      <c r="AB877" s="626">
        <v>107.02</v>
      </c>
      <c r="AC877" s="626" t="s">
        <v>91</v>
      </c>
      <c r="AP877" s="1837"/>
      <c r="AQ877" s="1837"/>
      <c r="BF877" s="1837"/>
      <c r="BG877" s="1837"/>
    </row>
    <row r="878" spans="12:59">
      <c r="L878" s="626">
        <v>19.07</v>
      </c>
      <c r="M878" s="626" t="s">
        <v>70</v>
      </c>
      <c r="AB878" s="626">
        <v>107.02</v>
      </c>
      <c r="AC878" s="626" t="s">
        <v>95</v>
      </c>
      <c r="AP878" s="1837"/>
      <c r="AQ878" s="1837"/>
      <c r="BF878" s="1837"/>
      <c r="BG878" s="1837"/>
    </row>
    <row r="879" spans="12:59">
      <c r="L879" s="626">
        <v>19.079999999999998</v>
      </c>
      <c r="M879" s="626" t="s">
        <v>70</v>
      </c>
      <c r="AB879" s="626">
        <v>107.04</v>
      </c>
      <c r="AC879" s="626" t="s">
        <v>95</v>
      </c>
      <c r="AP879" s="1837"/>
      <c r="AQ879" s="1837"/>
      <c r="BF879" s="1837"/>
      <c r="BG879" s="1837"/>
    </row>
    <row r="880" spans="12:59">
      <c r="L880" s="626">
        <v>19.11</v>
      </c>
      <c r="M880" s="626" t="s">
        <v>70</v>
      </c>
      <c r="AB880" s="626">
        <v>107.07</v>
      </c>
      <c r="AC880" s="626" t="s">
        <v>95</v>
      </c>
      <c r="AP880" s="1837"/>
      <c r="AQ880" s="1837"/>
      <c r="BF880" s="1837"/>
      <c r="BG880" s="1837"/>
    </row>
    <row r="881" spans="12:59">
      <c r="L881" s="626">
        <v>19.12</v>
      </c>
      <c r="M881" s="626" t="s">
        <v>70</v>
      </c>
      <c r="AB881" s="626">
        <v>108.01</v>
      </c>
      <c r="AC881" s="626" t="s">
        <v>44</v>
      </c>
      <c r="AP881" s="1837"/>
      <c r="AQ881" s="1837"/>
      <c r="BF881" s="1837"/>
      <c r="BG881" s="1837"/>
    </row>
    <row r="882" spans="12:59">
      <c r="L882" s="626">
        <v>19.149999999999999</v>
      </c>
      <c r="M882" s="626" t="s">
        <v>70</v>
      </c>
      <c r="AB882" s="626">
        <v>108.02</v>
      </c>
      <c r="AC882" s="626" t="s">
        <v>85</v>
      </c>
      <c r="AP882" s="1837"/>
      <c r="AQ882" s="1837"/>
      <c r="BF882" s="1837"/>
      <c r="BG882" s="1837"/>
    </row>
    <row r="883" spans="12:59">
      <c r="L883" s="626">
        <v>101.02</v>
      </c>
      <c r="M883" s="626" t="s">
        <v>70</v>
      </c>
      <c r="AB883" s="626">
        <v>108.02</v>
      </c>
      <c r="AC883" s="626" t="s">
        <v>95</v>
      </c>
      <c r="AP883" s="1837"/>
      <c r="AQ883" s="1837"/>
      <c r="BF883" s="1837"/>
      <c r="BG883" s="1837"/>
    </row>
    <row r="884" spans="12:59">
      <c r="L884" s="626">
        <v>101.04</v>
      </c>
      <c r="M884" s="626" t="s">
        <v>70</v>
      </c>
      <c r="AB884" s="626">
        <v>108.03</v>
      </c>
      <c r="AC884" s="626" t="s">
        <v>70</v>
      </c>
      <c r="AP884" s="1837"/>
      <c r="AQ884" s="1837"/>
      <c r="BF884" s="1837"/>
      <c r="BG884" s="1837"/>
    </row>
    <row r="885" spans="12:59">
      <c r="L885" s="626">
        <v>101.05</v>
      </c>
      <c r="M885" s="626" t="s">
        <v>70</v>
      </c>
      <c r="AB885" s="626">
        <v>108.1</v>
      </c>
      <c r="AC885" s="626" t="s">
        <v>63</v>
      </c>
      <c r="AP885" s="1837"/>
      <c r="AQ885" s="1837"/>
      <c r="BF885" s="1837"/>
      <c r="BG885" s="1837"/>
    </row>
    <row r="886" spans="12:59">
      <c r="L886" s="626">
        <v>103.04</v>
      </c>
      <c r="M886" s="626" t="s">
        <v>70</v>
      </c>
      <c r="AB886" s="626">
        <v>108.11</v>
      </c>
      <c r="AC886" s="626" t="s">
        <v>63</v>
      </c>
      <c r="AP886" s="1837"/>
      <c r="AQ886" s="1837"/>
      <c r="BF886" s="1837"/>
      <c r="BG886" s="1837"/>
    </row>
    <row r="887" spans="12:59">
      <c r="L887" s="626">
        <v>103.05</v>
      </c>
      <c r="M887" s="626" t="s">
        <v>70</v>
      </c>
      <c r="AB887" s="626">
        <v>108.11</v>
      </c>
      <c r="AC887" s="626" t="s">
        <v>95</v>
      </c>
      <c r="AP887" s="1837"/>
      <c r="AQ887" s="1837"/>
      <c r="BF887" s="1837"/>
      <c r="BG887" s="1837"/>
    </row>
    <row r="888" spans="12:59">
      <c r="L888" s="626">
        <v>104.06</v>
      </c>
      <c r="M888" s="626" t="s">
        <v>70</v>
      </c>
      <c r="AB888" s="626">
        <v>108.12</v>
      </c>
      <c r="AC888" s="626" t="s">
        <v>95</v>
      </c>
      <c r="AP888" s="1837"/>
      <c r="AQ888" s="1837"/>
      <c r="BF888" s="1837"/>
      <c r="BG888" s="1837"/>
    </row>
    <row r="889" spans="12:59">
      <c r="L889" s="626">
        <v>104.07</v>
      </c>
      <c r="M889" s="626" t="s">
        <v>70</v>
      </c>
      <c r="AB889" s="626">
        <v>108.13</v>
      </c>
      <c r="AC889" s="626" t="s">
        <v>95</v>
      </c>
      <c r="AP889" s="1837"/>
      <c r="AQ889" s="1837"/>
      <c r="BF889" s="1837"/>
      <c r="BG889" s="1837"/>
    </row>
    <row r="890" spans="12:59">
      <c r="L890" s="626">
        <v>104.09</v>
      </c>
      <c r="M890" s="626" t="s">
        <v>70</v>
      </c>
      <c r="AB890" s="626">
        <v>108.14</v>
      </c>
      <c r="AC890" s="626" t="s">
        <v>95</v>
      </c>
      <c r="AP890" s="1837"/>
      <c r="AQ890" s="1837"/>
      <c r="BF890" s="1837"/>
      <c r="BG890" s="1837"/>
    </row>
    <row r="891" spans="12:59">
      <c r="L891" s="626">
        <v>104.1</v>
      </c>
      <c r="M891" s="626" t="s">
        <v>70</v>
      </c>
      <c r="AB891" s="626">
        <v>108.17</v>
      </c>
      <c r="AC891" s="626" t="s">
        <v>95</v>
      </c>
      <c r="AP891" s="1837"/>
      <c r="AQ891" s="1837"/>
      <c r="BF891" s="1837"/>
      <c r="BG891" s="1837"/>
    </row>
    <row r="892" spans="12:59">
      <c r="L892" s="626">
        <v>104.11</v>
      </c>
      <c r="M892" s="626" t="s">
        <v>70</v>
      </c>
      <c r="AB892" s="626">
        <v>108.19</v>
      </c>
      <c r="AC892" s="626" t="s">
        <v>95</v>
      </c>
      <c r="AP892" s="1837"/>
      <c r="AQ892" s="1837"/>
      <c r="BF892" s="1837"/>
      <c r="BG892" s="1837"/>
    </row>
    <row r="893" spans="12:59">
      <c r="L893" s="626">
        <v>104.12</v>
      </c>
      <c r="M893" s="626" t="s">
        <v>70</v>
      </c>
      <c r="AB893" s="626">
        <v>109</v>
      </c>
      <c r="AC893" s="626" t="s">
        <v>95</v>
      </c>
      <c r="AP893" s="1837"/>
      <c r="AQ893" s="1837"/>
      <c r="BF893" s="1837"/>
      <c r="BG893" s="1837"/>
    </row>
    <row r="894" spans="12:59">
      <c r="L894" s="626">
        <v>105.01</v>
      </c>
      <c r="M894" s="626" t="s">
        <v>70</v>
      </c>
      <c r="AB894" s="626">
        <v>109.01</v>
      </c>
      <c r="AC894" s="626" t="s">
        <v>36</v>
      </c>
      <c r="AP894" s="1837"/>
      <c r="AQ894" s="1837"/>
      <c r="BF894" s="1837"/>
      <c r="BG894" s="1837"/>
    </row>
    <row r="895" spans="12:59">
      <c r="L895" s="626">
        <v>106.01</v>
      </c>
      <c r="M895" s="626" t="s">
        <v>70</v>
      </c>
      <c r="AB895" s="626">
        <v>109.02</v>
      </c>
      <c r="AC895" s="626" t="s">
        <v>36</v>
      </c>
      <c r="AP895" s="1837"/>
      <c r="AQ895" s="1837"/>
      <c r="BF895" s="1837"/>
      <c r="BG895" s="1837"/>
    </row>
    <row r="896" spans="12:59">
      <c r="L896" s="626">
        <v>107.01</v>
      </c>
      <c r="M896" s="626" t="s">
        <v>70</v>
      </c>
      <c r="AB896" s="626">
        <v>109.02</v>
      </c>
      <c r="AC896" s="626" t="s">
        <v>44</v>
      </c>
      <c r="AP896" s="1837"/>
      <c r="AQ896" s="1837"/>
      <c r="BF896" s="1837"/>
      <c r="BG896" s="1837"/>
    </row>
    <row r="897" spans="12:59">
      <c r="L897" s="626">
        <v>108.03</v>
      </c>
      <c r="M897" s="626" t="s">
        <v>70</v>
      </c>
      <c r="AB897" s="626">
        <v>109.03</v>
      </c>
      <c r="AC897" s="626" t="s">
        <v>44</v>
      </c>
      <c r="AP897" s="1837"/>
      <c r="AQ897" s="1837"/>
      <c r="BF897" s="1837"/>
      <c r="BG897" s="1837"/>
    </row>
    <row r="898" spans="12:59">
      <c r="L898" s="626">
        <v>201.01</v>
      </c>
      <c r="M898" s="626" t="s">
        <v>70</v>
      </c>
      <c r="AB898" s="626">
        <v>109.04</v>
      </c>
      <c r="AC898" s="626" t="s">
        <v>44</v>
      </c>
      <c r="AP898" s="1837"/>
      <c r="AQ898" s="1837"/>
      <c r="BF898" s="1837"/>
      <c r="BG898" s="1837"/>
    </row>
    <row r="899" spans="12:59">
      <c r="L899" s="626">
        <v>202.02</v>
      </c>
      <c r="M899" s="626" t="s">
        <v>70</v>
      </c>
      <c r="AB899" s="626">
        <v>109.05</v>
      </c>
      <c r="AC899" s="626" t="s">
        <v>44</v>
      </c>
      <c r="AP899" s="1837"/>
      <c r="AQ899" s="1837"/>
      <c r="BF899" s="1837"/>
      <c r="BG899" s="1837"/>
    </row>
    <row r="900" spans="12:59">
      <c r="L900" s="626">
        <v>204</v>
      </c>
      <c r="M900" s="626" t="s">
        <v>70</v>
      </c>
      <c r="AB900" s="626">
        <v>110</v>
      </c>
      <c r="AC900" s="626" t="s">
        <v>36</v>
      </c>
      <c r="AP900" s="1837"/>
      <c r="AQ900" s="1837"/>
      <c r="BF900" s="1837"/>
      <c r="BG900" s="1837"/>
    </row>
    <row r="901" spans="12:59">
      <c r="L901" s="626">
        <v>207</v>
      </c>
      <c r="M901" s="626" t="s">
        <v>70</v>
      </c>
      <c r="AB901" s="626">
        <v>110</v>
      </c>
      <c r="AC901" s="626" t="s">
        <v>85</v>
      </c>
      <c r="AP901" s="1837"/>
      <c r="AQ901" s="1837"/>
      <c r="BF901" s="1837"/>
      <c r="BG901" s="1837"/>
    </row>
    <row r="902" spans="12:59">
      <c r="L902" s="626">
        <v>301</v>
      </c>
      <c r="M902" s="626" t="s">
        <v>70</v>
      </c>
      <c r="AB902" s="626">
        <v>110.01</v>
      </c>
      <c r="AC902" s="626" t="s">
        <v>44</v>
      </c>
      <c r="AP902" s="1837"/>
      <c r="AQ902" s="1837"/>
      <c r="BF902" s="1837"/>
      <c r="BG902" s="1837"/>
    </row>
    <row r="903" spans="12:59">
      <c r="L903" s="626">
        <v>302.01</v>
      </c>
      <c r="M903" s="626" t="s">
        <v>70</v>
      </c>
      <c r="AB903" s="626">
        <v>110.02</v>
      </c>
      <c r="AC903" s="626" t="s">
        <v>44</v>
      </c>
      <c r="AP903" s="1837"/>
      <c r="AQ903" s="1837"/>
      <c r="BF903" s="1837"/>
      <c r="BG903" s="1837"/>
    </row>
    <row r="904" spans="12:59">
      <c r="L904" s="626">
        <v>302.02999999999997</v>
      </c>
      <c r="M904" s="626" t="s">
        <v>70</v>
      </c>
      <c r="AB904" s="626">
        <v>110.05</v>
      </c>
      <c r="AC904" s="626" t="s">
        <v>63</v>
      </c>
      <c r="AP904" s="1837"/>
      <c r="AQ904" s="1837"/>
      <c r="BF904" s="1837"/>
      <c r="BG904" s="1837"/>
    </row>
    <row r="905" spans="12:59">
      <c r="L905" s="626">
        <v>303</v>
      </c>
      <c r="M905" s="626" t="s">
        <v>70</v>
      </c>
      <c r="AB905" s="626">
        <v>110.06</v>
      </c>
      <c r="AC905" s="626" t="s">
        <v>63</v>
      </c>
      <c r="AP905" s="1837"/>
      <c r="AQ905" s="1837"/>
      <c r="BF905" s="1837"/>
      <c r="BG905" s="1837"/>
    </row>
    <row r="906" spans="12:59">
      <c r="L906" s="626">
        <v>401.08</v>
      </c>
      <c r="M906" s="626" t="s">
        <v>70</v>
      </c>
      <c r="AB906" s="626">
        <v>110.07</v>
      </c>
      <c r="AC906" s="626" t="s">
        <v>63</v>
      </c>
      <c r="AP906" s="1837"/>
      <c r="AQ906" s="1837"/>
      <c r="BF906" s="1837"/>
      <c r="BG906" s="1837"/>
    </row>
    <row r="907" spans="12:59">
      <c r="L907" s="626">
        <v>401.1</v>
      </c>
      <c r="M907" s="626" t="s">
        <v>70</v>
      </c>
      <c r="AB907" s="626">
        <v>110.07</v>
      </c>
      <c r="AC907" s="626" t="s">
        <v>78</v>
      </c>
      <c r="AP907" s="1837"/>
      <c r="AQ907" s="1837"/>
      <c r="BF907" s="1837"/>
      <c r="BG907" s="1837"/>
    </row>
    <row r="908" spans="12:59">
      <c r="L908" s="626">
        <v>401.11</v>
      </c>
      <c r="M908" s="626" t="s">
        <v>70</v>
      </c>
      <c r="AB908" s="626">
        <v>110.08</v>
      </c>
      <c r="AC908" s="626" t="s">
        <v>63</v>
      </c>
      <c r="AP908" s="1837"/>
      <c r="AQ908" s="1837"/>
      <c r="BF908" s="1837"/>
      <c r="BG908" s="1837"/>
    </row>
    <row r="909" spans="12:59">
      <c r="L909" s="626">
        <v>401.12</v>
      </c>
      <c r="M909" s="626" t="s">
        <v>70</v>
      </c>
      <c r="AB909" s="626">
        <v>110.08</v>
      </c>
      <c r="AC909" s="626" t="s">
        <v>78</v>
      </c>
      <c r="AP909" s="1837"/>
      <c r="AQ909" s="1837"/>
      <c r="BF909" s="1837"/>
      <c r="BG909" s="1837"/>
    </row>
    <row r="910" spans="12:59">
      <c r="L910" s="626">
        <v>401.13</v>
      </c>
      <c r="M910" s="626" t="s">
        <v>70</v>
      </c>
      <c r="AB910" s="626">
        <v>110.09</v>
      </c>
      <c r="AC910" s="626" t="s">
        <v>78</v>
      </c>
      <c r="AP910" s="1837"/>
      <c r="AQ910" s="1837"/>
      <c r="BF910" s="1837"/>
      <c r="BG910" s="1837"/>
    </row>
    <row r="911" spans="12:59">
      <c r="L911" s="626">
        <v>401.14</v>
      </c>
      <c r="M911" s="626" t="s">
        <v>70</v>
      </c>
      <c r="AB911" s="626">
        <v>110.12</v>
      </c>
      <c r="AC911" s="626" t="s">
        <v>63</v>
      </c>
      <c r="AP911" s="1837"/>
      <c r="AQ911" s="1837"/>
      <c r="BF911" s="1837"/>
      <c r="BG911" s="1837"/>
    </row>
    <row r="912" spans="12:59">
      <c r="L912" s="626">
        <v>401.15</v>
      </c>
      <c r="M912" s="626" t="s">
        <v>70</v>
      </c>
      <c r="AB912" s="626">
        <v>110.13</v>
      </c>
      <c r="AC912" s="626" t="s">
        <v>63</v>
      </c>
      <c r="AP912" s="1837"/>
      <c r="AQ912" s="1837"/>
      <c r="BF912" s="1837"/>
      <c r="BG912" s="1837"/>
    </row>
    <row r="913" spans="12:59">
      <c r="L913" s="626">
        <v>401.16</v>
      </c>
      <c r="M913" s="626" t="s">
        <v>70</v>
      </c>
      <c r="AB913" s="626">
        <v>110.14</v>
      </c>
      <c r="AC913" s="626" t="s">
        <v>63</v>
      </c>
      <c r="AP913" s="1837"/>
      <c r="AQ913" s="1837"/>
      <c r="BF913" s="1837"/>
      <c r="BG913" s="1837"/>
    </row>
    <row r="914" spans="12:59">
      <c r="L914" s="626">
        <v>401.17</v>
      </c>
      <c r="M914" s="626" t="s">
        <v>70</v>
      </c>
      <c r="AB914" s="626">
        <v>110.15</v>
      </c>
      <c r="AC914" s="626" t="s">
        <v>63</v>
      </c>
      <c r="AP914" s="1837"/>
      <c r="AQ914" s="1837"/>
      <c r="BF914" s="1837"/>
      <c r="BG914" s="1837"/>
    </row>
    <row r="915" spans="12:59">
      <c r="L915" s="626">
        <v>401.18</v>
      </c>
      <c r="M915" s="626" t="s">
        <v>70</v>
      </c>
      <c r="AB915" s="626">
        <v>110.16</v>
      </c>
      <c r="AC915" s="626" t="s">
        <v>63</v>
      </c>
      <c r="AP915" s="1837"/>
      <c r="AQ915" s="1837"/>
      <c r="BF915" s="1837"/>
      <c r="BG915" s="1837"/>
    </row>
    <row r="916" spans="12:59">
      <c r="L916" s="626">
        <v>401.19</v>
      </c>
      <c r="M916" s="626" t="s">
        <v>70</v>
      </c>
      <c r="AB916" s="626">
        <v>111</v>
      </c>
      <c r="AC916" s="626" t="s">
        <v>85</v>
      </c>
      <c r="AP916" s="1837"/>
      <c r="AQ916" s="1837"/>
      <c r="BF916" s="1837"/>
      <c r="BG916" s="1837"/>
    </row>
    <row r="917" spans="12:59">
      <c r="L917" s="626">
        <v>401.2</v>
      </c>
      <c r="M917" s="626" t="s">
        <v>70</v>
      </c>
      <c r="AB917" s="626">
        <v>111.02</v>
      </c>
      <c r="AC917" s="626" t="s">
        <v>44</v>
      </c>
      <c r="AP917" s="1837"/>
      <c r="AQ917" s="1837"/>
      <c r="BF917" s="1837"/>
      <c r="BG917" s="1837"/>
    </row>
    <row r="918" spans="12:59">
      <c r="L918" s="626">
        <v>401.23</v>
      </c>
      <c r="M918" s="626" t="s">
        <v>70</v>
      </c>
      <c r="AB918" s="626">
        <v>111.02</v>
      </c>
      <c r="AC918" s="626" t="s">
        <v>78</v>
      </c>
      <c r="AP918" s="1837"/>
      <c r="AQ918" s="1837"/>
      <c r="BF918" s="1837"/>
      <c r="BG918" s="1837"/>
    </row>
    <row r="919" spans="12:59">
      <c r="L919" s="626">
        <v>401.25</v>
      </c>
      <c r="M919" s="626" t="s">
        <v>70</v>
      </c>
      <c r="AB919" s="626">
        <v>111.03</v>
      </c>
      <c r="AC919" s="626" t="s">
        <v>63</v>
      </c>
      <c r="AP919" s="1837"/>
      <c r="AQ919" s="1837"/>
      <c r="BF919" s="1837"/>
      <c r="BG919" s="1837"/>
    </row>
    <row r="920" spans="12:59">
      <c r="L920" s="626">
        <v>402.06</v>
      </c>
      <c r="M920" s="626" t="s">
        <v>70</v>
      </c>
      <c r="AB920" s="626">
        <v>111.06</v>
      </c>
      <c r="AC920" s="626" t="s">
        <v>44</v>
      </c>
      <c r="AP920" s="1837"/>
      <c r="AQ920" s="1837"/>
      <c r="BF920" s="1837"/>
      <c r="BG920" s="1837"/>
    </row>
    <row r="921" spans="12:59">
      <c r="L921" s="626">
        <v>402.07</v>
      </c>
      <c r="M921" s="626" t="s">
        <v>70</v>
      </c>
      <c r="AB921" s="626">
        <v>111.06</v>
      </c>
      <c r="AC921" s="626" t="s">
        <v>63</v>
      </c>
      <c r="AP921" s="1837"/>
      <c r="AQ921" s="1837"/>
      <c r="BF921" s="1837"/>
      <c r="BG921" s="1837"/>
    </row>
    <row r="922" spans="12:59">
      <c r="L922" s="626">
        <v>403.1</v>
      </c>
      <c r="M922" s="626" t="s">
        <v>70</v>
      </c>
      <c r="AB922" s="626">
        <v>111.07</v>
      </c>
      <c r="AC922" s="626" t="s">
        <v>63</v>
      </c>
      <c r="AP922" s="1837"/>
      <c r="AQ922" s="1837"/>
      <c r="BF922" s="1837"/>
      <c r="BG922" s="1837"/>
    </row>
    <row r="923" spans="12:59">
      <c r="L923" s="626">
        <v>501.03</v>
      </c>
      <c r="M923" s="626" t="s">
        <v>70</v>
      </c>
      <c r="AB923" s="626">
        <v>111.08</v>
      </c>
      <c r="AC923" s="626" t="s">
        <v>63</v>
      </c>
      <c r="AP923" s="1837"/>
      <c r="AQ923" s="1837"/>
      <c r="BF923" s="1837"/>
      <c r="BG923" s="1837"/>
    </row>
    <row r="924" spans="12:59">
      <c r="L924" s="626">
        <v>501.05</v>
      </c>
      <c r="M924" s="626" t="s">
        <v>70</v>
      </c>
      <c r="AB924" s="626">
        <v>111.09</v>
      </c>
      <c r="AC924" s="626" t="s">
        <v>63</v>
      </c>
      <c r="AP924" s="1837"/>
      <c r="AQ924" s="1837"/>
      <c r="BF924" s="1837"/>
      <c r="BG924" s="1837"/>
    </row>
    <row r="925" spans="12:59">
      <c r="L925" s="626">
        <v>501.06</v>
      </c>
      <c r="M925" s="626" t="s">
        <v>70</v>
      </c>
      <c r="AB925" s="626">
        <v>112</v>
      </c>
      <c r="AC925" s="626" t="s">
        <v>85</v>
      </c>
      <c r="AP925" s="1837"/>
      <c r="AQ925" s="1837"/>
      <c r="BF925" s="1837"/>
      <c r="BG925" s="1837"/>
    </row>
    <row r="926" spans="12:59">
      <c r="L926" s="626">
        <v>502.03</v>
      </c>
      <c r="M926" s="626" t="s">
        <v>70</v>
      </c>
      <c r="AB926" s="626">
        <v>112.01</v>
      </c>
      <c r="AC926" s="626" t="s">
        <v>44</v>
      </c>
      <c r="AP926" s="1837"/>
      <c r="AQ926" s="1837"/>
      <c r="BF926" s="1837"/>
      <c r="BG926" s="1837"/>
    </row>
    <row r="927" spans="12:59">
      <c r="L927" s="626">
        <v>502.04</v>
      </c>
      <c r="M927" s="626" t="s">
        <v>70</v>
      </c>
      <c r="AB927" s="626">
        <v>112.02</v>
      </c>
      <c r="AC927" s="626" t="s">
        <v>44</v>
      </c>
      <c r="AP927" s="1837"/>
      <c r="AQ927" s="1837"/>
      <c r="BF927" s="1837"/>
      <c r="BG927" s="1837"/>
    </row>
    <row r="928" spans="12:59">
      <c r="L928" s="626">
        <v>502.06</v>
      </c>
      <c r="M928" s="626" t="s">
        <v>70</v>
      </c>
      <c r="AB928" s="626">
        <v>112.03</v>
      </c>
      <c r="AC928" s="626" t="s">
        <v>63</v>
      </c>
      <c r="AP928" s="1837"/>
      <c r="AQ928" s="1837"/>
      <c r="BF928" s="1837"/>
      <c r="BG928" s="1837"/>
    </row>
    <row r="929" spans="12:59">
      <c r="L929" s="626">
        <v>502.07</v>
      </c>
      <c r="M929" s="626" t="s">
        <v>70</v>
      </c>
      <c r="AB929" s="626">
        <v>112.05</v>
      </c>
      <c r="AC929" s="626" t="s">
        <v>63</v>
      </c>
      <c r="AP929" s="1837"/>
      <c r="AQ929" s="1837"/>
      <c r="BF929" s="1837"/>
      <c r="BG929" s="1837"/>
    </row>
    <row r="930" spans="12:59">
      <c r="L930" s="626">
        <v>502.08</v>
      </c>
      <c r="M930" s="626" t="s">
        <v>70</v>
      </c>
      <c r="AB930" s="626">
        <v>113</v>
      </c>
      <c r="AC930" s="626" t="s">
        <v>85</v>
      </c>
      <c r="AP930" s="1837"/>
      <c r="AQ930" s="1837"/>
      <c r="BF930" s="1837"/>
      <c r="BG930" s="1837"/>
    </row>
    <row r="931" spans="12:59">
      <c r="L931" s="626">
        <v>502.09</v>
      </c>
      <c r="M931" s="626" t="s">
        <v>70</v>
      </c>
      <c r="AB931" s="626">
        <v>113.01</v>
      </c>
      <c r="AC931" s="626" t="s">
        <v>63</v>
      </c>
      <c r="AP931" s="1837"/>
      <c r="AQ931" s="1837"/>
      <c r="BF931" s="1837"/>
      <c r="BG931" s="1837"/>
    </row>
    <row r="932" spans="12:59">
      <c r="L932" s="626">
        <v>503.05</v>
      </c>
      <c r="M932" s="626" t="s">
        <v>70</v>
      </c>
      <c r="AB932" s="626">
        <v>113.03</v>
      </c>
      <c r="AC932" s="626" t="s">
        <v>63</v>
      </c>
      <c r="AP932" s="1837"/>
      <c r="AQ932" s="1837"/>
      <c r="BF932" s="1837"/>
      <c r="BG932" s="1837"/>
    </row>
    <row r="933" spans="12:59">
      <c r="L933" s="626">
        <v>503.06</v>
      </c>
      <c r="M933" s="626" t="s">
        <v>70</v>
      </c>
      <c r="AB933" s="626">
        <v>113.04</v>
      </c>
      <c r="AC933" s="626" t="s">
        <v>63</v>
      </c>
      <c r="AP933" s="1837"/>
      <c r="AQ933" s="1837"/>
      <c r="BF933" s="1837"/>
      <c r="BG933" s="1837"/>
    </row>
    <row r="934" spans="12:59">
      <c r="L934" s="626">
        <v>503.07</v>
      </c>
      <c r="M934" s="626" t="s">
        <v>70</v>
      </c>
      <c r="AB934" s="626">
        <v>114.01</v>
      </c>
      <c r="AC934" s="626" t="s">
        <v>78</v>
      </c>
      <c r="AP934" s="1837"/>
      <c r="AQ934" s="1837"/>
      <c r="BF934" s="1837"/>
      <c r="BG934" s="1837"/>
    </row>
    <row r="935" spans="12:59">
      <c r="L935" s="626">
        <v>503.08</v>
      </c>
      <c r="M935" s="626" t="s">
        <v>70</v>
      </c>
      <c r="AB935" s="626">
        <v>114.07</v>
      </c>
      <c r="AC935" s="626" t="s">
        <v>63</v>
      </c>
      <c r="AP935" s="1837"/>
      <c r="AQ935" s="1837"/>
      <c r="BF935" s="1837"/>
      <c r="BG935" s="1837"/>
    </row>
    <row r="936" spans="12:59">
      <c r="L936" s="626">
        <v>503.1</v>
      </c>
      <c r="M936" s="626" t="s">
        <v>70</v>
      </c>
      <c r="AB936" s="626">
        <v>114.08</v>
      </c>
      <c r="AC936" s="626" t="s">
        <v>63</v>
      </c>
      <c r="AP936" s="1837"/>
      <c r="AQ936" s="1837"/>
      <c r="BF936" s="1837"/>
      <c r="BG936" s="1837"/>
    </row>
    <row r="937" spans="12:59">
      <c r="L937" s="626">
        <v>503.11</v>
      </c>
      <c r="M937" s="626" t="s">
        <v>70</v>
      </c>
      <c r="AB937" s="626">
        <v>114.09</v>
      </c>
      <c r="AC937" s="626" t="s">
        <v>63</v>
      </c>
      <c r="AP937" s="1837"/>
      <c r="AQ937" s="1837"/>
      <c r="BF937" s="1837"/>
      <c r="BG937" s="1837"/>
    </row>
    <row r="938" spans="12:59">
      <c r="L938" s="626">
        <v>503.13</v>
      </c>
      <c r="M938" s="626" t="s">
        <v>70</v>
      </c>
      <c r="AB938" s="626">
        <v>114.1</v>
      </c>
      <c r="AC938" s="626" t="s">
        <v>63</v>
      </c>
      <c r="AP938" s="1837"/>
      <c r="AQ938" s="1837"/>
      <c r="BF938" s="1837"/>
      <c r="BG938" s="1837"/>
    </row>
    <row r="939" spans="12:59">
      <c r="L939" s="626">
        <v>503.14</v>
      </c>
      <c r="M939" s="626" t="s">
        <v>70</v>
      </c>
      <c r="AB939" s="626">
        <v>114.11</v>
      </c>
      <c r="AC939" s="626" t="s">
        <v>63</v>
      </c>
      <c r="AP939" s="1837"/>
      <c r="AQ939" s="1837"/>
      <c r="BF939" s="1837"/>
      <c r="BG939" s="1837"/>
    </row>
    <row r="940" spans="12:59">
      <c r="L940" s="626">
        <v>504</v>
      </c>
      <c r="M940" s="626" t="s">
        <v>70</v>
      </c>
      <c r="AB940" s="626">
        <v>114.12</v>
      </c>
      <c r="AC940" s="626" t="s">
        <v>63</v>
      </c>
      <c r="AP940" s="1837"/>
      <c r="AQ940" s="1837"/>
      <c r="BF940" s="1837"/>
      <c r="BG940" s="1837"/>
    </row>
    <row r="941" spans="12:59">
      <c r="L941" s="626">
        <v>505</v>
      </c>
      <c r="M941" s="626" t="s">
        <v>70</v>
      </c>
      <c r="AB941" s="626">
        <v>114.13</v>
      </c>
      <c r="AC941" s="626" t="s">
        <v>63</v>
      </c>
      <c r="AP941" s="1837"/>
      <c r="AQ941" s="1837"/>
      <c r="BF941" s="1837"/>
      <c r="BG941" s="1837"/>
    </row>
    <row r="942" spans="12:59">
      <c r="L942" s="626">
        <v>506.01</v>
      </c>
      <c r="M942" s="626" t="s">
        <v>70</v>
      </c>
      <c r="AB942" s="626">
        <v>114.14</v>
      </c>
      <c r="AC942" s="626" t="s">
        <v>63</v>
      </c>
      <c r="AP942" s="1837"/>
      <c r="AQ942" s="1837"/>
      <c r="BF942" s="1837"/>
      <c r="BG942" s="1837"/>
    </row>
    <row r="943" spans="12:59">
      <c r="L943" s="626">
        <v>506.02</v>
      </c>
      <c r="M943" s="626" t="s">
        <v>70</v>
      </c>
      <c r="AB943" s="626">
        <v>114.15</v>
      </c>
      <c r="AC943" s="626" t="s">
        <v>63</v>
      </c>
      <c r="AP943" s="1837"/>
      <c r="AQ943" s="1837"/>
      <c r="BF943" s="1837"/>
      <c r="BG943" s="1837"/>
    </row>
    <row r="944" spans="12:59">
      <c r="L944" s="626">
        <v>601.02</v>
      </c>
      <c r="M944" s="626" t="s">
        <v>70</v>
      </c>
      <c r="AB944" s="626">
        <v>114.16</v>
      </c>
      <c r="AC944" s="626" t="s">
        <v>63</v>
      </c>
      <c r="AP944" s="1837"/>
      <c r="AQ944" s="1837"/>
      <c r="BF944" s="1837"/>
      <c r="BG944" s="1837"/>
    </row>
    <row r="945" spans="12:59">
      <c r="L945" s="626">
        <v>602.01</v>
      </c>
      <c r="M945" s="626" t="s">
        <v>70</v>
      </c>
      <c r="AB945" s="626">
        <v>114.17</v>
      </c>
      <c r="AC945" s="626" t="s">
        <v>63</v>
      </c>
      <c r="AP945" s="1837"/>
      <c r="AQ945" s="1837"/>
      <c r="BF945" s="1837"/>
      <c r="BG945" s="1837"/>
    </row>
    <row r="946" spans="12:59">
      <c r="L946" s="626">
        <v>602.02</v>
      </c>
      <c r="M946" s="626" t="s">
        <v>70</v>
      </c>
      <c r="AB946" s="626">
        <v>114.18</v>
      </c>
      <c r="AC946" s="626" t="s">
        <v>63</v>
      </c>
      <c r="AP946" s="1837"/>
      <c r="AQ946" s="1837"/>
      <c r="BF946" s="1837"/>
      <c r="BG946" s="1837"/>
    </row>
    <row r="947" spans="12:59">
      <c r="L947" s="626">
        <v>602.03</v>
      </c>
      <c r="M947" s="626" t="s">
        <v>70</v>
      </c>
      <c r="AB947" s="626">
        <v>115</v>
      </c>
      <c r="AC947" s="626" t="s">
        <v>78</v>
      </c>
      <c r="AP947" s="1837"/>
      <c r="AQ947" s="1837"/>
      <c r="BF947" s="1837"/>
      <c r="BG947" s="1837"/>
    </row>
    <row r="948" spans="12:59">
      <c r="L948" s="626">
        <v>603</v>
      </c>
      <c r="M948" s="626" t="s">
        <v>70</v>
      </c>
      <c r="AB948" s="626">
        <v>115.02</v>
      </c>
      <c r="AC948" s="626" t="s">
        <v>91</v>
      </c>
      <c r="AP948" s="1837"/>
      <c r="AQ948" s="1837"/>
      <c r="BF948" s="1837"/>
      <c r="BG948" s="1837"/>
    </row>
    <row r="949" spans="12:59">
      <c r="L949" s="626">
        <v>701.01</v>
      </c>
      <c r="M949" s="626" t="s">
        <v>70</v>
      </c>
      <c r="AB949" s="626">
        <v>115.04</v>
      </c>
      <c r="AC949" s="626" t="s">
        <v>63</v>
      </c>
      <c r="AP949" s="1837"/>
      <c r="AQ949" s="1837"/>
      <c r="BF949" s="1837"/>
      <c r="BG949" s="1837"/>
    </row>
    <row r="950" spans="12:59">
      <c r="L950" s="626">
        <v>701.02</v>
      </c>
      <c r="M950" s="626" t="s">
        <v>70</v>
      </c>
      <c r="AB950" s="626">
        <v>115.06</v>
      </c>
      <c r="AC950" s="626" t="s">
        <v>63</v>
      </c>
      <c r="AP950" s="1837"/>
      <c r="AQ950" s="1837"/>
      <c r="BF950" s="1837"/>
      <c r="BG950" s="1837"/>
    </row>
    <row r="951" spans="12:59">
      <c r="L951" s="626">
        <v>702</v>
      </c>
      <c r="M951" s="626" t="s">
        <v>70</v>
      </c>
      <c r="AB951" s="626">
        <v>115.07</v>
      </c>
      <c r="AC951" s="626" t="s">
        <v>63</v>
      </c>
      <c r="AP951" s="1837"/>
      <c r="AQ951" s="1837"/>
      <c r="BF951" s="1837"/>
      <c r="BG951" s="1837"/>
    </row>
    <row r="952" spans="12:59">
      <c r="L952" s="626">
        <v>802.02</v>
      </c>
      <c r="M952" s="626" t="s">
        <v>70</v>
      </c>
      <c r="AB952" s="626">
        <v>115.09</v>
      </c>
      <c r="AC952" s="626" t="s">
        <v>63</v>
      </c>
      <c r="AP952" s="1837"/>
      <c r="AQ952" s="1837"/>
      <c r="BF952" s="1837"/>
      <c r="BG952" s="1837"/>
    </row>
    <row r="953" spans="12:59">
      <c r="L953" s="626">
        <v>802.03</v>
      </c>
      <c r="M953" s="626" t="s">
        <v>70</v>
      </c>
      <c r="AB953" s="626">
        <v>115.1</v>
      </c>
      <c r="AC953" s="626" t="s">
        <v>63</v>
      </c>
      <c r="AP953" s="1837"/>
      <c r="AQ953" s="1837"/>
      <c r="BF953" s="1837"/>
      <c r="BG953" s="1837"/>
    </row>
    <row r="954" spans="12:59">
      <c r="L954" s="626">
        <v>802.04</v>
      </c>
      <c r="M954" s="626" t="s">
        <v>70</v>
      </c>
      <c r="AB954" s="626">
        <v>115.12</v>
      </c>
      <c r="AC954" s="626" t="s">
        <v>63</v>
      </c>
      <c r="AP954" s="1837"/>
      <c r="AQ954" s="1837"/>
      <c r="BF954" s="1837"/>
      <c r="BG954" s="1837"/>
    </row>
    <row r="955" spans="12:59">
      <c r="L955" s="626">
        <v>803</v>
      </c>
      <c r="M955" s="626" t="s">
        <v>70</v>
      </c>
      <c r="AB955" s="626">
        <v>115.14</v>
      </c>
      <c r="AC955" s="626" t="s">
        <v>63</v>
      </c>
      <c r="AP955" s="1837"/>
      <c r="AQ955" s="1837"/>
      <c r="BF955" s="1837"/>
      <c r="BG955" s="1837"/>
    </row>
    <row r="956" spans="12:59">
      <c r="L956" s="626">
        <v>901</v>
      </c>
      <c r="M956" s="626" t="s">
        <v>70</v>
      </c>
      <c r="AB956" s="626">
        <v>115.15</v>
      </c>
      <c r="AC956" s="626" t="s">
        <v>63</v>
      </c>
      <c r="AP956" s="1837"/>
      <c r="AQ956" s="1837"/>
      <c r="BF956" s="1837"/>
      <c r="BG956" s="1837"/>
    </row>
    <row r="957" spans="12:59">
      <c r="L957" s="626">
        <v>2</v>
      </c>
      <c r="M957" s="626" t="s">
        <v>71</v>
      </c>
      <c r="AB957" s="626">
        <v>115.16</v>
      </c>
      <c r="AC957" s="626" t="s">
        <v>63</v>
      </c>
      <c r="AP957" s="1837"/>
      <c r="AQ957" s="1837"/>
      <c r="BF957" s="1837"/>
      <c r="BG957" s="1837"/>
    </row>
    <row r="958" spans="12:59">
      <c r="L958" s="626">
        <v>3.01</v>
      </c>
      <c r="M958" s="626" t="s">
        <v>71</v>
      </c>
      <c r="AB958" s="626">
        <v>115.17</v>
      </c>
      <c r="AC958" s="626" t="s">
        <v>63</v>
      </c>
      <c r="AP958" s="1837"/>
      <c r="AQ958" s="1837"/>
      <c r="BF958" s="1837"/>
      <c r="BG958" s="1837"/>
    </row>
    <row r="959" spans="12:59">
      <c r="L959" s="626">
        <v>3.02</v>
      </c>
      <c r="M959" s="626" t="s">
        <v>71</v>
      </c>
      <c r="AB959" s="626">
        <v>115.18</v>
      </c>
      <c r="AC959" s="626" t="s">
        <v>63</v>
      </c>
      <c r="AP959" s="1837"/>
      <c r="AQ959" s="1837"/>
      <c r="BF959" s="1837"/>
      <c r="BG959" s="1837"/>
    </row>
    <row r="960" spans="12:59">
      <c r="L960" s="626">
        <v>7</v>
      </c>
      <c r="M960" s="626" t="s">
        <v>71</v>
      </c>
      <c r="AB960" s="626">
        <v>115.19</v>
      </c>
      <c r="AC960" s="626" t="s">
        <v>63</v>
      </c>
      <c r="AP960" s="1837"/>
      <c r="AQ960" s="1837"/>
      <c r="BF960" s="1837"/>
      <c r="BG960" s="1837"/>
    </row>
    <row r="961" spans="12:59">
      <c r="L961" s="626">
        <v>8</v>
      </c>
      <c r="M961" s="626" t="s">
        <v>71</v>
      </c>
      <c r="AB961" s="626">
        <v>115.2</v>
      </c>
      <c r="AC961" s="626" t="s">
        <v>63</v>
      </c>
      <c r="AP961" s="1837"/>
      <c r="AQ961" s="1837"/>
      <c r="BF961" s="1837"/>
      <c r="BG961" s="1837"/>
    </row>
    <row r="962" spans="12:59">
      <c r="L962" s="626">
        <v>9.01</v>
      </c>
      <c r="M962" s="626" t="s">
        <v>71</v>
      </c>
      <c r="AB962" s="626">
        <v>115.21</v>
      </c>
      <c r="AC962" s="626" t="s">
        <v>63</v>
      </c>
      <c r="AP962" s="1837"/>
      <c r="AQ962" s="1837"/>
      <c r="BF962" s="1837"/>
      <c r="BG962" s="1837"/>
    </row>
    <row r="963" spans="12:59">
      <c r="L963" s="626">
        <v>9.0299999999999994</v>
      </c>
      <c r="M963" s="626" t="s">
        <v>71</v>
      </c>
      <c r="AB963" s="626">
        <v>115.22</v>
      </c>
      <c r="AC963" s="626" t="s">
        <v>63</v>
      </c>
      <c r="AP963" s="1837"/>
      <c r="AQ963" s="1837"/>
      <c r="BF963" s="1837"/>
      <c r="BG963" s="1837"/>
    </row>
    <row r="964" spans="12:59">
      <c r="L964" s="626">
        <v>9.0399999999999991</v>
      </c>
      <c r="M964" s="626" t="s">
        <v>71</v>
      </c>
      <c r="AB964" s="626">
        <v>115.23</v>
      </c>
      <c r="AC964" s="626" t="s">
        <v>63</v>
      </c>
      <c r="AP964" s="1837"/>
      <c r="AQ964" s="1837"/>
      <c r="BF964" s="1837"/>
      <c r="BG964" s="1837"/>
    </row>
    <row r="965" spans="12:59">
      <c r="L965" s="626">
        <v>9.0500000000000007</v>
      </c>
      <c r="M965" s="626" t="s">
        <v>71</v>
      </c>
      <c r="AB965" s="626">
        <v>115.24</v>
      </c>
      <c r="AC965" s="626" t="s">
        <v>63</v>
      </c>
      <c r="AP965" s="1837"/>
      <c r="AQ965" s="1837"/>
      <c r="BF965" s="1837"/>
      <c r="BG965" s="1837"/>
    </row>
    <row r="966" spans="12:59">
      <c r="L966" s="626">
        <v>15</v>
      </c>
      <c r="M966" s="626" t="s">
        <v>71</v>
      </c>
      <c r="AB966" s="626">
        <v>116</v>
      </c>
      <c r="AC966" s="626" t="s">
        <v>78</v>
      </c>
      <c r="AP966" s="1837"/>
      <c r="AQ966" s="1837"/>
      <c r="BF966" s="1837"/>
      <c r="BG966" s="1837"/>
    </row>
    <row r="967" spans="12:59">
      <c r="L967" s="626">
        <v>16.02</v>
      </c>
      <c r="M967" s="626" t="s">
        <v>71</v>
      </c>
      <c r="AB967" s="626">
        <v>116.06</v>
      </c>
      <c r="AC967" s="626" t="s">
        <v>63</v>
      </c>
      <c r="AP967" s="1837"/>
      <c r="AQ967" s="1837"/>
      <c r="BF967" s="1837"/>
      <c r="BG967" s="1837"/>
    </row>
    <row r="968" spans="12:59">
      <c r="L968" s="626">
        <v>17</v>
      </c>
      <c r="M968" s="626" t="s">
        <v>71</v>
      </c>
      <c r="AB968" s="626">
        <v>116.08</v>
      </c>
      <c r="AC968" s="626" t="s">
        <v>63</v>
      </c>
      <c r="AP968" s="1837"/>
      <c r="AQ968" s="1837"/>
      <c r="BF968" s="1837"/>
      <c r="BG968" s="1837"/>
    </row>
    <row r="969" spans="12:59">
      <c r="L969" s="626">
        <v>21.01</v>
      </c>
      <c r="M969" s="626" t="s">
        <v>71</v>
      </c>
      <c r="AB969" s="626">
        <v>116.12</v>
      </c>
      <c r="AC969" s="626" t="s">
        <v>63</v>
      </c>
      <c r="AP969" s="1837"/>
      <c r="AQ969" s="1837"/>
      <c r="BF969" s="1837"/>
      <c r="BG969" s="1837"/>
    </row>
    <row r="970" spans="12:59">
      <c r="L970" s="626">
        <v>22.05</v>
      </c>
      <c r="M970" s="626" t="s">
        <v>71</v>
      </c>
      <c r="AB970" s="626">
        <v>117.06</v>
      </c>
      <c r="AC970" s="626" t="s">
        <v>63</v>
      </c>
      <c r="AP970" s="1837"/>
      <c r="AQ970" s="1837"/>
      <c r="BF970" s="1837"/>
      <c r="BG970" s="1837"/>
    </row>
    <row r="971" spans="12:59">
      <c r="L971" s="626">
        <v>22.06</v>
      </c>
      <c r="M971" s="626" t="s">
        <v>71</v>
      </c>
      <c r="AB971" s="626">
        <v>117.08</v>
      </c>
      <c r="AC971" s="626" t="s">
        <v>63</v>
      </c>
      <c r="AP971" s="1837"/>
      <c r="AQ971" s="1837"/>
      <c r="BF971" s="1837"/>
      <c r="BG971" s="1837"/>
    </row>
    <row r="972" spans="12:59">
      <c r="L972" s="626">
        <v>22.08</v>
      </c>
      <c r="M972" s="626" t="s">
        <v>71</v>
      </c>
      <c r="AB972" s="626">
        <v>117.09</v>
      </c>
      <c r="AC972" s="626" t="s">
        <v>63</v>
      </c>
      <c r="AP972" s="1837"/>
      <c r="AQ972" s="1837"/>
      <c r="BF972" s="1837"/>
      <c r="BG972" s="1837"/>
    </row>
    <row r="973" spans="12:59">
      <c r="L973" s="626">
        <v>23.02</v>
      </c>
      <c r="M973" s="626" t="s">
        <v>71</v>
      </c>
      <c r="AB973" s="626">
        <v>117.1</v>
      </c>
      <c r="AC973" s="626" t="s">
        <v>63</v>
      </c>
      <c r="AP973" s="1837"/>
      <c r="AQ973" s="1837"/>
      <c r="BF973" s="1837"/>
      <c r="BG973" s="1837"/>
    </row>
    <row r="974" spans="12:59">
      <c r="L974" s="626">
        <v>23.03</v>
      </c>
      <c r="M974" s="626" t="s">
        <v>71</v>
      </c>
      <c r="AB974" s="626">
        <v>117.12</v>
      </c>
      <c r="AC974" s="626" t="s">
        <v>63</v>
      </c>
      <c r="AP974" s="1837"/>
      <c r="AQ974" s="1837"/>
      <c r="BF974" s="1837"/>
      <c r="BG974" s="1837"/>
    </row>
    <row r="975" spans="12:59">
      <c r="L975" s="626">
        <v>24.03</v>
      </c>
      <c r="M975" s="626" t="s">
        <v>71</v>
      </c>
      <c r="AB975" s="626">
        <v>118</v>
      </c>
      <c r="AC975" s="626" t="s">
        <v>78</v>
      </c>
      <c r="AP975" s="1837"/>
      <c r="AQ975" s="1837"/>
      <c r="BF975" s="1837"/>
      <c r="BG975" s="1837"/>
    </row>
    <row r="976" spans="12:59">
      <c r="L976" s="626">
        <v>24.08</v>
      </c>
      <c r="M976" s="626" t="s">
        <v>71</v>
      </c>
      <c r="AB976" s="626">
        <v>118.21</v>
      </c>
      <c r="AC976" s="626" t="s">
        <v>91</v>
      </c>
      <c r="AP976" s="1837"/>
      <c r="AQ976" s="1837"/>
      <c r="BF976" s="1837"/>
      <c r="BG976" s="1837"/>
    </row>
    <row r="977" spans="12:59">
      <c r="L977" s="626">
        <v>24.1</v>
      </c>
      <c r="M977" s="626" t="s">
        <v>71</v>
      </c>
      <c r="AB977" s="626">
        <v>118.22</v>
      </c>
      <c r="AC977" s="626" t="s">
        <v>91</v>
      </c>
      <c r="AP977" s="1837"/>
      <c r="AQ977" s="1837"/>
      <c r="BF977" s="1837"/>
      <c r="BG977" s="1837"/>
    </row>
    <row r="978" spans="12:59">
      <c r="L978" s="626">
        <v>24.12</v>
      </c>
      <c r="M978" s="626" t="s">
        <v>71</v>
      </c>
      <c r="AB978" s="626">
        <v>118.32</v>
      </c>
      <c r="AC978" s="626" t="s">
        <v>91</v>
      </c>
      <c r="AP978" s="1837"/>
      <c r="AQ978" s="1837"/>
      <c r="BF978" s="1837"/>
      <c r="BG978" s="1837"/>
    </row>
    <row r="979" spans="12:59">
      <c r="L979" s="626">
        <v>24.13</v>
      </c>
      <c r="M979" s="626" t="s">
        <v>71</v>
      </c>
      <c r="AB979" s="626">
        <v>118.33</v>
      </c>
      <c r="AC979" s="626" t="s">
        <v>91</v>
      </c>
      <c r="AP979" s="1837"/>
      <c r="AQ979" s="1837"/>
      <c r="BF979" s="1837"/>
      <c r="BG979" s="1837"/>
    </row>
    <row r="980" spans="12:59">
      <c r="L980" s="626">
        <v>24.14</v>
      </c>
      <c r="M980" s="626" t="s">
        <v>71</v>
      </c>
      <c r="AB980" s="626">
        <v>118.34</v>
      </c>
      <c r="AC980" s="626" t="s">
        <v>91</v>
      </c>
      <c r="AP980" s="1837"/>
      <c r="AQ980" s="1837"/>
      <c r="BF980" s="1837"/>
      <c r="BG980" s="1837"/>
    </row>
    <row r="981" spans="12:59">
      <c r="L981" s="626">
        <v>24.15</v>
      </c>
      <c r="M981" s="626" t="s">
        <v>71</v>
      </c>
      <c r="AB981" s="626">
        <v>118.35</v>
      </c>
      <c r="AC981" s="626" t="s">
        <v>91</v>
      </c>
      <c r="AP981" s="1837"/>
      <c r="AQ981" s="1837"/>
      <c r="BF981" s="1837"/>
      <c r="BG981" s="1837"/>
    </row>
    <row r="982" spans="12:59">
      <c r="L982" s="626">
        <v>24.16</v>
      </c>
      <c r="M982" s="626" t="s">
        <v>71</v>
      </c>
      <c r="AB982" s="626">
        <v>118.36</v>
      </c>
      <c r="AC982" s="626" t="s">
        <v>91</v>
      </c>
      <c r="AP982" s="1837"/>
      <c r="AQ982" s="1837"/>
      <c r="BF982" s="1837"/>
      <c r="BG982" s="1837"/>
    </row>
    <row r="983" spans="12:59">
      <c r="L983" s="626">
        <v>24.17</v>
      </c>
      <c r="M983" s="626" t="s">
        <v>71</v>
      </c>
      <c r="AB983" s="626">
        <v>119</v>
      </c>
      <c r="AC983" s="626" t="s">
        <v>78</v>
      </c>
      <c r="AP983" s="1837"/>
      <c r="AQ983" s="1837"/>
      <c r="BF983" s="1837"/>
      <c r="BG983" s="1837"/>
    </row>
    <row r="984" spans="12:59">
      <c r="L984" s="626">
        <v>25.05</v>
      </c>
      <c r="M984" s="626" t="s">
        <v>71</v>
      </c>
      <c r="AB984" s="626">
        <v>119.02</v>
      </c>
      <c r="AC984" s="626" t="s">
        <v>91</v>
      </c>
      <c r="AP984" s="1837"/>
      <c r="AQ984" s="1837"/>
      <c r="BF984" s="1837"/>
      <c r="BG984" s="1837"/>
    </row>
    <row r="985" spans="12:59">
      <c r="L985" s="626">
        <v>25.07</v>
      </c>
      <c r="M985" s="626" t="s">
        <v>71</v>
      </c>
      <c r="AB985" s="626">
        <v>119.03</v>
      </c>
      <c r="AC985" s="626" t="s">
        <v>49</v>
      </c>
      <c r="AP985" s="1837"/>
      <c r="AQ985" s="1837"/>
      <c r="BF985" s="1837"/>
      <c r="BG985" s="1837"/>
    </row>
    <row r="986" spans="12:59">
      <c r="L986" s="626">
        <v>25.08</v>
      </c>
      <c r="M986" s="626" t="s">
        <v>71</v>
      </c>
      <c r="AB986" s="626">
        <v>119.08</v>
      </c>
      <c r="AC986" s="626" t="s">
        <v>91</v>
      </c>
      <c r="AP986" s="1837"/>
      <c r="AQ986" s="1837"/>
      <c r="BF986" s="1837"/>
      <c r="BG986" s="1837"/>
    </row>
    <row r="987" spans="12:59">
      <c r="L987" s="626">
        <v>25.09</v>
      </c>
      <c r="M987" s="626" t="s">
        <v>71</v>
      </c>
      <c r="AB987" s="626">
        <v>119.09</v>
      </c>
      <c r="AC987" s="626" t="s">
        <v>91</v>
      </c>
      <c r="AP987" s="1837"/>
      <c r="AQ987" s="1837"/>
      <c r="BF987" s="1837"/>
      <c r="BG987" s="1837"/>
    </row>
    <row r="988" spans="12:59">
      <c r="L988" s="626">
        <v>25.1</v>
      </c>
      <c r="M988" s="626" t="s">
        <v>71</v>
      </c>
      <c r="AB988" s="626">
        <v>119.1</v>
      </c>
      <c r="AC988" s="626" t="s">
        <v>91</v>
      </c>
      <c r="AP988" s="1837"/>
      <c r="AQ988" s="1837"/>
      <c r="BF988" s="1837"/>
      <c r="BG988" s="1837"/>
    </row>
    <row r="989" spans="12:59">
      <c r="L989" s="626">
        <v>25.11</v>
      </c>
      <c r="M989" s="626" t="s">
        <v>71</v>
      </c>
      <c r="AB989" s="626">
        <v>119.11</v>
      </c>
      <c r="AC989" s="626" t="s">
        <v>91</v>
      </c>
      <c r="AP989" s="1837"/>
      <c r="AQ989" s="1837"/>
      <c r="BF989" s="1837"/>
      <c r="BG989" s="1837"/>
    </row>
    <row r="990" spans="12:59">
      <c r="L990" s="626">
        <v>25.12</v>
      </c>
      <c r="M990" s="626" t="s">
        <v>71</v>
      </c>
      <c r="AB990" s="626">
        <v>119.12</v>
      </c>
      <c r="AC990" s="626" t="s">
        <v>91</v>
      </c>
      <c r="AP990" s="1837"/>
      <c r="AQ990" s="1837"/>
      <c r="BF990" s="1837"/>
      <c r="BG990" s="1837"/>
    </row>
    <row r="991" spans="12:59">
      <c r="L991" s="626">
        <v>25.13</v>
      </c>
      <c r="M991" s="626" t="s">
        <v>71</v>
      </c>
      <c r="AB991" s="626">
        <v>119.13</v>
      </c>
      <c r="AC991" s="626" t="s">
        <v>91</v>
      </c>
      <c r="AP991" s="1837"/>
      <c r="AQ991" s="1837"/>
      <c r="BF991" s="1837"/>
      <c r="BG991" s="1837"/>
    </row>
    <row r="992" spans="12:59">
      <c r="L992" s="626">
        <v>26.05</v>
      </c>
      <c r="M992" s="626" t="s">
        <v>71</v>
      </c>
      <c r="AB992" s="626">
        <v>120.04</v>
      </c>
      <c r="AC992" s="626" t="s">
        <v>91</v>
      </c>
      <c r="AP992" s="1837"/>
      <c r="AQ992" s="1837"/>
      <c r="BF992" s="1837"/>
      <c r="BG992" s="1837"/>
    </row>
    <row r="993" spans="12:59">
      <c r="L993" s="626">
        <v>26.06</v>
      </c>
      <c r="M993" s="626" t="s">
        <v>71</v>
      </c>
      <c r="AB993" s="626">
        <v>121</v>
      </c>
      <c r="AC993" s="626" t="s">
        <v>78</v>
      </c>
      <c r="AP993" s="1837"/>
      <c r="AQ993" s="1837"/>
      <c r="BF993" s="1837"/>
      <c r="BG993" s="1837"/>
    </row>
    <row r="994" spans="12:59">
      <c r="L994" s="626">
        <v>27.02</v>
      </c>
      <c r="M994" s="626" t="s">
        <v>71</v>
      </c>
      <c r="AB994" s="626">
        <v>121.08</v>
      </c>
      <c r="AC994" s="626" t="s">
        <v>63</v>
      </c>
      <c r="AP994" s="1837"/>
      <c r="AQ994" s="1837"/>
      <c r="BF994" s="1837"/>
      <c r="BG994" s="1837"/>
    </row>
    <row r="995" spans="12:59">
      <c r="L995" s="626">
        <v>9701.01</v>
      </c>
      <c r="M995" s="626" t="s">
        <v>72</v>
      </c>
      <c r="AB995" s="626">
        <v>121.11</v>
      </c>
      <c r="AC995" s="626" t="s">
        <v>91</v>
      </c>
      <c r="AP995" s="1837"/>
      <c r="AQ995" s="1837"/>
      <c r="BF995" s="1837"/>
      <c r="BG995" s="1837"/>
    </row>
    <row r="996" spans="12:59">
      <c r="L996" s="626">
        <v>9703.01</v>
      </c>
      <c r="M996" s="626" t="s">
        <v>72</v>
      </c>
      <c r="AB996" s="626">
        <v>121.13</v>
      </c>
      <c r="AC996" s="626" t="s">
        <v>91</v>
      </c>
      <c r="AP996" s="1837"/>
      <c r="AQ996" s="1837"/>
      <c r="BF996" s="1837"/>
      <c r="BG996" s="1837"/>
    </row>
    <row r="997" spans="12:59">
      <c r="L997" s="626">
        <v>9704</v>
      </c>
      <c r="M997" s="626" t="s">
        <v>72</v>
      </c>
      <c r="AB997" s="626">
        <v>121.26</v>
      </c>
      <c r="AC997" s="626" t="s">
        <v>91</v>
      </c>
      <c r="AP997" s="1837"/>
      <c r="AQ997" s="1837"/>
      <c r="BF997" s="1837"/>
      <c r="BG997" s="1837"/>
    </row>
    <row r="998" spans="12:59">
      <c r="L998" s="626">
        <v>9705</v>
      </c>
      <c r="M998" s="626" t="s">
        <v>72</v>
      </c>
      <c r="AB998" s="626">
        <v>121.27</v>
      </c>
      <c r="AC998" s="626" t="s">
        <v>91</v>
      </c>
      <c r="AP998" s="1837"/>
      <c r="AQ998" s="1837"/>
      <c r="BF998" s="1837"/>
      <c r="BG998" s="1837"/>
    </row>
    <row r="999" spans="12:59">
      <c r="L999" s="626">
        <v>9706</v>
      </c>
      <c r="M999" s="626" t="s">
        <v>72</v>
      </c>
      <c r="AB999" s="626">
        <v>121.28</v>
      </c>
      <c r="AC999" s="626" t="s">
        <v>91</v>
      </c>
      <c r="AP999" s="1837"/>
      <c r="AQ999" s="1837"/>
      <c r="BF999" s="1837"/>
      <c r="BG999" s="1837"/>
    </row>
    <row r="1000" spans="12:59">
      <c r="L1000" s="626">
        <v>9501</v>
      </c>
      <c r="M1000" s="626" t="s">
        <v>73</v>
      </c>
      <c r="AB1000" s="626">
        <v>121.29</v>
      </c>
      <c r="AC1000" s="626" t="s">
        <v>91</v>
      </c>
      <c r="AP1000" s="1837"/>
      <c r="AQ1000" s="1837"/>
      <c r="BF1000" s="1837"/>
      <c r="BG1000" s="1837"/>
    </row>
    <row r="1001" spans="12:59">
      <c r="L1001" s="626">
        <v>1101</v>
      </c>
      <c r="M1001" s="626" t="s">
        <v>74</v>
      </c>
      <c r="AB1001" s="626">
        <v>122</v>
      </c>
      <c r="AC1001" s="626" t="s">
        <v>78</v>
      </c>
      <c r="AP1001" s="1837"/>
      <c r="AQ1001" s="1837"/>
      <c r="BF1001" s="1837"/>
      <c r="BG1001" s="1837"/>
    </row>
    <row r="1002" spans="12:59">
      <c r="L1002" s="626">
        <v>1103.01</v>
      </c>
      <c r="M1002" s="626" t="s">
        <v>74</v>
      </c>
      <c r="AB1002" s="626">
        <v>122.04</v>
      </c>
      <c r="AC1002" s="626" t="s">
        <v>91</v>
      </c>
      <c r="AP1002" s="1837"/>
      <c r="AQ1002" s="1837"/>
      <c r="BF1002" s="1837"/>
      <c r="BG1002" s="1837"/>
    </row>
    <row r="1003" spans="12:59">
      <c r="L1003" s="626">
        <v>1104</v>
      </c>
      <c r="M1003" s="626" t="s">
        <v>74</v>
      </c>
      <c r="AB1003" s="626">
        <v>122.05</v>
      </c>
      <c r="AC1003" s="626" t="s">
        <v>91</v>
      </c>
      <c r="AP1003" s="1837"/>
      <c r="AQ1003" s="1837"/>
      <c r="BF1003" s="1837"/>
      <c r="BG1003" s="1837"/>
    </row>
    <row r="1004" spans="12:59">
      <c r="L1004" s="626">
        <v>1.01</v>
      </c>
      <c r="M1004" s="626" t="s">
        <v>75</v>
      </c>
      <c r="AB1004" s="626">
        <v>122.06</v>
      </c>
      <c r="AC1004" s="626" t="s">
        <v>63</v>
      </c>
      <c r="AP1004" s="1837"/>
      <c r="AQ1004" s="1837"/>
      <c r="BF1004" s="1837"/>
      <c r="BG1004" s="1837"/>
    </row>
    <row r="1005" spans="12:59">
      <c r="L1005" s="626">
        <v>4.03</v>
      </c>
      <c r="M1005" s="626" t="s">
        <v>75</v>
      </c>
      <c r="AB1005" s="626">
        <v>122.06</v>
      </c>
      <c r="AC1005" s="626" t="s">
        <v>91</v>
      </c>
      <c r="AP1005" s="1837"/>
      <c r="AQ1005" s="1837"/>
      <c r="BF1005" s="1837"/>
      <c r="BG1005" s="1837"/>
    </row>
    <row r="1006" spans="12:59">
      <c r="L1006" s="626">
        <v>4.05</v>
      </c>
      <c r="M1006" s="626" t="s">
        <v>75</v>
      </c>
      <c r="AB1006" s="626">
        <v>122.07</v>
      </c>
      <c r="AC1006" s="626" t="s">
        <v>63</v>
      </c>
      <c r="AP1006" s="1837"/>
      <c r="AQ1006" s="1837"/>
      <c r="BF1006" s="1837"/>
      <c r="BG1006" s="1837"/>
    </row>
    <row r="1007" spans="12:59">
      <c r="L1007" s="626">
        <v>4.07</v>
      </c>
      <c r="M1007" s="626" t="s">
        <v>75</v>
      </c>
      <c r="AB1007" s="626">
        <v>122.08</v>
      </c>
      <c r="AC1007" s="626" t="s">
        <v>63</v>
      </c>
      <c r="AP1007" s="1837"/>
      <c r="AQ1007" s="1837"/>
      <c r="BF1007" s="1837"/>
      <c r="BG1007" s="1837"/>
    </row>
    <row r="1008" spans="12:59">
      <c r="L1008" s="626">
        <v>5.01</v>
      </c>
      <c r="M1008" s="626" t="s">
        <v>75</v>
      </c>
      <c r="AB1008" s="626">
        <v>122.09</v>
      </c>
      <c r="AC1008" s="626" t="s">
        <v>63</v>
      </c>
      <c r="AP1008" s="1837"/>
      <c r="AQ1008" s="1837"/>
      <c r="BF1008" s="1837"/>
      <c r="BG1008" s="1837"/>
    </row>
    <row r="1009" spans="12:59">
      <c r="L1009" s="626">
        <v>5.03</v>
      </c>
      <c r="M1009" s="626" t="s">
        <v>75</v>
      </c>
      <c r="AB1009" s="626">
        <v>122.12</v>
      </c>
      <c r="AC1009" s="626" t="s">
        <v>63</v>
      </c>
      <c r="AP1009" s="1837"/>
      <c r="AQ1009" s="1837"/>
      <c r="BF1009" s="1837"/>
      <c r="BG1009" s="1837"/>
    </row>
    <row r="1010" spans="12:59">
      <c r="L1010" s="626">
        <v>8.0399999999999991</v>
      </c>
      <c r="M1010" s="626" t="s">
        <v>75</v>
      </c>
      <c r="AB1010" s="626">
        <v>122.13</v>
      </c>
      <c r="AC1010" s="626" t="s">
        <v>63</v>
      </c>
      <c r="AP1010" s="1837"/>
      <c r="AQ1010" s="1837"/>
      <c r="BF1010" s="1837"/>
      <c r="BG1010" s="1837"/>
    </row>
    <row r="1011" spans="12:59">
      <c r="L1011" s="626">
        <v>8.0500000000000007</v>
      </c>
      <c r="M1011" s="626" t="s">
        <v>75</v>
      </c>
      <c r="AB1011" s="626">
        <v>123</v>
      </c>
      <c r="AC1011" s="626" t="s">
        <v>78</v>
      </c>
      <c r="AP1011" s="1837"/>
      <c r="AQ1011" s="1837"/>
      <c r="BF1011" s="1837"/>
      <c r="BG1011" s="1837"/>
    </row>
    <row r="1012" spans="12:59">
      <c r="L1012" s="626">
        <v>8.07</v>
      </c>
      <c r="M1012" s="626" t="s">
        <v>75</v>
      </c>
      <c r="AB1012" s="626">
        <v>123.03</v>
      </c>
      <c r="AC1012" s="626" t="s">
        <v>85</v>
      </c>
      <c r="AP1012" s="1837"/>
      <c r="AQ1012" s="1837"/>
      <c r="BF1012" s="1837"/>
      <c r="BG1012" s="1837"/>
    </row>
    <row r="1013" spans="12:59">
      <c r="L1013" s="626">
        <v>8.08</v>
      </c>
      <c r="M1013" s="626" t="s">
        <v>75</v>
      </c>
      <c r="AB1013" s="626">
        <v>123.03</v>
      </c>
      <c r="AC1013" s="626" t="s">
        <v>91</v>
      </c>
      <c r="AP1013" s="1837"/>
      <c r="AQ1013" s="1837"/>
      <c r="BF1013" s="1837"/>
      <c r="BG1013" s="1837"/>
    </row>
    <row r="1014" spans="12:59">
      <c r="L1014" s="626">
        <v>8.09</v>
      </c>
      <c r="M1014" s="626" t="s">
        <v>75</v>
      </c>
      <c r="AB1014" s="626">
        <v>123.04</v>
      </c>
      <c r="AC1014" s="626" t="s">
        <v>91</v>
      </c>
      <c r="AP1014" s="1837"/>
      <c r="AQ1014" s="1837"/>
      <c r="BF1014" s="1837"/>
      <c r="BG1014" s="1837"/>
    </row>
    <row r="1015" spans="12:59">
      <c r="L1015" s="626">
        <v>8.1</v>
      </c>
      <c r="M1015" s="626" t="s">
        <v>75</v>
      </c>
      <c r="AB1015" s="626">
        <v>123.06</v>
      </c>
      <c r="AC1015" s="626" t="s">
        <v>91</v>
      </c>
      <c r="AP1015" s="1837"/>
      <c r="AQ1015" s="1837"/>
      <c r="BF1015" s="1837"/>
      <c r="BG1015" s="1837"/>
    </row>
    <row r="1016" spans="12:59">
      <c r="L1016" s="626">
        <v>9.01</v>
      </c>
      <c r="M1016" s="626" t="s">
        <v>75</v>
      </c>
      <c r="AB1016" s="626">
        <v>123.09</v>
      </c>
      <c r="AC1016" s="626" t="s">
        <v>91</v>
      </c>
      <c r="AP1016" s="1837"/>
      <c r="AQ1016" s="1837"/>
      <c r="BF1016" s="1837"/>
      <c r="BG1016" s="1837"/>
    </row>
    <row r="1017" spans="12:59">
      <c r="L1017" s="626">
        <v>9.02</v>
      </c>
      <c r="M1017" s="626" t="s">
        <v>75</v>
      </c>
      <c r="AB1017" s="626">
        <v>124</v>
      </c>
      <c r="AC1017" s="626" t="s">
        <v>78</v>
      </c>
      <c r="AP1017" s="1837"/>
      <c r="AQ1017" s="1837"/>
      <c r="BF1017" s="1837"/>
      <c r="BG1017" s="1837"/>
    </row>
    <row r="1018" spans="12:59">
      <c r="L1018" s="626">
        <v>11.04</v>
      </c>
      <c r="M1018" s="626" t="s">
        <v>75</v>
      </c>
      <c r="AB1018" s="626">
        <v>124.03</v>
      </c>
      <c r="AC1018" s="626" t="s">
        <v>91</v>
      </c>
      <c r="AP1018" s="1837"/>
      <c r="AQ1018" s="1837"/>
      <c r="BF1018" s="1837"/>
      <c r="BG1018" s="1837"/>
    </row>
    <row r="1019" spans="12:59">
      <c r="L1019" s="626">
        <v>11.05</v>
      </c>
      <c r="M1019" s="626" t="s">
        <v>75</v>
      </c>
      <c r="AB1019" s="626">
        <v>124.04</v>
      </c>
      <c r="AC1019" s="626" t="s">
        <v>91</v>
      </c>
      <c r="AP1019" s="1837"/>
      <c r="AQ1019" s="1837"/>
      <c r="BF1019" s="1837"/>
      <c r="BG1019" s="1837"/>
    </row>
    <row r="1020" spans="12:59">
      <c r="L1020" s="626">
        <v>11.08</v>
      </c>
      <c r="M1020" s="626" t="s">
        <v>75</v>
      </c>
      <c r="AB1020" s="626">
        <v>124.05</v>
      </c>
      <c r="AC1020" s="626" t="s">
        <v>91</v>
      </c>
      <c r="AP1020" s="1837"/>
      <c r="AQ1020" s="1837"/>
      <c r="BF1020" s="1837"/>
      <c r="BG1020" s="1837"/>
    </row>
    <row r="1021" spans="12:59">
      <c r="L1021" s="626">
        <v>12.02</v>
      </c>
      <c r="M1021" s="626" t="s">
        <v>75</v>
      </c>
      <c r="AB1021" s="626">
        <v>124.06</v>
      </c>
      <c r="AC1021" s="626" t="s">
        <v>91</v>
      </c>
      <c r="AP1021" s="1837"/>
      <c r="AQ1021" s="1837"/>
      <c r="BF1021" s="1837"/>
      <c r="BG1021" s="1837"/>
    </row>
    <row r="1022" spans="12:59">
      <c r="L1022" s="626">
        <v>12.03</v>
      </c>
      <c r="M1022" s="626" t="s">
        <v>75</v>
      </c>
      <c r="AB1022" s="626">
        <v>124.07</v>
      </c>
      <c r="AC1022" s="626" t="s">
        <v>91</v>
      </c>
      <c r="AP1022" s="1837"/>
      <c r="AQ1022" s="1837"/>
      <c r="BF1022" s="1837"/>
      <c r="BG1022" s="1837"/>
    </row>
    <row r="1023" spans="12:59">
      <c r="L1023" s="626">
        <v>12.04</v>
      </c>
      <c r="M1023" s="626" t="s">
        <v>75</v>
      </c>
      <c r="AB1023" s="626">
        <v>124.08</v>
      </c>
      <c r="AC1023" s="626" t="s">
        <v>91</v>
      </c>
      <c r="AP1023" s="1837"/>
      <c r="AQ1023" s="1837"/>
      <c r="BF1023" s="1837"/>
      <c r="BG1023" s="1837"/>
    </row>
    <row r="1024" spans="12:59">
      <c r="L1024" s="626">
        <v>14.02</v>
      </c>
      <c r="M1024" s="626" t="s">
        <v>75</v>
      </c>
      <c r="AB1024" s="626">
        <v>124.09</v>
      </c>
      <c r="AC1024" s="626" t="s">
        <v>91</v>
      </c>
      <c r="AP1024" s="1837"/>
      <c r="AQ1024" s="1837"/>
      <c r="BF1024" s="1837"/>
      <c r="BG1024" s="1837"/>
    </row>
    <row r="1025" spans="12:59">
      <c r="L1025" s="626">
        <v>17.010000000000002</v>
      </c>
      <c r="M1025" s="626" t="s">
        <v>75</v>
      </c>
      <c r="AB1025" s="626">
        <v>124.1</v>
      </c>
      <c r="AC1025" s="626" t="s">
        <v>91</v>
      </c>
      <c r="AP1025" s="1837"/>
      <c r="AQ1025" s="1837"/>
      <c r="BF1025" s="1837"/>
      <c r="BG1025" s="1837"/>
    </row>
    <row r="1026" spans="12:59">
      <c r="L1026" s="626">
        <v>17.03</v>
      </c>
      <c r="M1026" s="626" t="s">
        <v>75</v>
      </c>
      <c r="AB1026" s="626">
        <v>124.11</v>
      </c>
      <c r="AC1026" s="626" t="s">
        <v>91</v>
      </c>
      <c r="AP1026" s="1837"/>
      <c r="AQ1026" s="1837"/>
      <c r="BF1026" s="1837"/>
      <c r="BG1026" s="1837"/>
    </row>
    <row r="1027" spans="12:59">
      <c r="L1027" s="626">
        <v>17.04</v>
      </c>
      <c r="M1027" s="626" t="s">
        <v>75</v>
      </c>
      <c r="AB1027" s="626">
        <v>125</v>
      </c>
      <c r="AC1027" s="626" t="s">
        <v>49</v>
      </c>
      <c r="AP1027" s="1837"/>
      <c r="AQ1027" s="1837"/>
      <c r="BF1027" s="1837"/>
      <c r="BG1027" s="1837"/>
    </row>
    <row r="1028" spans="12:59">
      <c r="L1028" s="626">
        <v>18</v>
      </c>
      <c r="M1028" s="626" t="s">
        <v>75</v>
      </c>
      <c r="AB1028" s="626">
        <v>125</v>
      </c>
      <c r="AC1028" s="626" t="s">
        <v>78</v>
      </c>
      <c r="AP1028" s="1837"/>
      <c r="AQ1028" s="1837"/>
      <c r="BF1028" s="1837"/>
      <c r="BG1028" s="1837"/>
    </row>
    <row r="1029" spans="12:59">
      <c r="L1029" s="626">
        <v>19.07</v>
      </c>
      <c r="M1029" s="626" t="s">
        <v>75</v>
      </c>
      <c r="AB1029" s="626">
        <v>125</v>
      </c>
      <c r="AC1029" s="626" t="s">
        <v>85</v>
      </c>
      <c r="AP1029" s="1837"/>
      <c r="AQ1029" s="1837"/>
      <c r="BF1029" s="1837"/>
      <c r="BG1029" s="1837"/>
    </row>
    <row r="1030" spans="12:59">
      <c r="L1030" s="626">
        <v>19.09</v>
      </c>
      <c r="M1030" s="626" t="s">
        <v>75</v>
      </c>
      <c r="AB1030" s="626">
        <v>125.02</v>
      </c>
      <c r="AC1030" s="626" t="s">
        <v>91</v>
      </c>
      <c r="AP1030" s="1837"/>
      <c r="AQ1030" s="1837"/>
      <c r="BF1030" s="1837"/>
      <c r="BG1030" s="1837"/>
    </row>
    <row r="1031" spans="12:59">
      <c r="L1031" s="626">
        <v>19.100000000000001</v>
      </c>
      <c r="M1031" s="626" t="s">
        <v>75</v>
      </c>
      <c r="AB1031" s="626">
        <v>125.03</v>
      </c>
      <c r="AC1031" s="626" t="s">
        <v>63</v>
      </c>
      <c r="AP1031" s="1837"/>
      <c r="AQ1031" s="1837"/>
      <c r="BF1031" s="1837"/>
      <c r="BG1031" s="1837"/>
    </row>
    <row r="1032" spans="12:59">
      <c r="L1032" s="626">
        <v>19.11</v>
      </c>
      <c r="M1032" s="626" t="s">
        <v>75</v>
      </c>
      <c r="AB1032" s="626">
        <v>125.03</v>
      </c>
      <c r="AC1032" s="626" t="s">
        <v>91</v>
      </c>
      <c r="AP1032" s="1837"/>
      <c r="AQ1032" s="1837"/>
      <c r="BF1032" s="1837"/>
      <c r="BG1032" s="1837"/>
    </row>
    <row r="1033" spans="12:59">
      <c r="L1033" s="626">
        <v>19.12</v>
      </c>
      <c r="M1033" s="626" t="s">
        <v>75</v>
      </c>
      <c r="AB1033" s="626">
        <v>125.04</v>
      </c>
      <c r="AC1033" s="626" t="s">
        <v>91</v>
      </c>
      <c r="AP1033" s="1837"/>
      <c r="AQ1033" s="1837"/>
      <c r="BF1033" s="1837"/>
      <c r="BG1033" s="1837"/>
    </row>
    <row r="1034" spans="12:59">
      <c r="L1034" s="626">
        <v>19.13</v>
      </c>
      <c r="M1034" s="626" t="s">
        <v>75</v>
      </c>
      <c r="AB1034" s="626">
        <v>125.06</v>
      </c>
      <c r="AC1034" s="626" t="s">
        <v>91</v>
      </c>
      <c r="AP1034" s="1837"/>
      <c r="AQ1034" s="1837"/>
      <c r="BF1034" s="1837"/>
      <c r="BG1034" s="1837"/>
    </row>
    <row r="1035" spans="12:59">
      <c r="L1035" s="626">
        <v>19.14</v>
      </c>
      <c r="M1035" s="626" t="s">
        <v>75</v>
      </c>
      <c r="AB1035" s="626">
        <v>125.07</v>
      </c>
      <c r="AC1035" s="626" t="s">
        <v>91</v>
      </c>
      <c r="AP1035" s="1837"/>
      <c r="AQ1035" s="1837"/>
      <c r="BF1035" s="1837"/>
      <c r="BG1035" s="1837"/>
    </row>
    <row r="1036" spans="12:59">
      <c r="L1036" s="626">
        <v>20.03</v>
      </c>
      <c r="M1036" s="626" t="s">
        <v>75</v>
      </c>
      <c r="AB1036" s="626">
        <v>126</v>
      </c>
      <c r="AC1036" s="626" t="s">
        <v>78</v>
      </c>
      <c r="AP1036" s="1837"/>
      <c r="AQ1036" s="1837"/>
      <c r="BF1036" s="1837"/>
      <c r="BG1036" s="1837"/>
    </row>
    <row r="1037" spans="12:59">
      <c r="L1037" s="626">
        <v>20.05</v>
      </c>
      <c r="M1037" s="626" t="s">
        <v>75</v>
      </c>
      <c r="AB1037" s="626">
        <v>126</v>
      </c>
      <c r="AC1037" s="626" t="s">
        <v>85</v>
      </c>
      <c r="AP1037" s="1837"/>
      <c r="AQ1037" s="1837"/>
      <c r="BF1037" s="1837"/>
      <c r="BG1037" s="1837"/>
    </row>
    <row r="1038" spans="12:59">
      <c r="L1038" s="626">
        <v>20.07</v>
      </c>
      <c r="M1038" s="626" t="s">
        <v>75</v>
      </c>
      <c r="AB1038" s="626">
        <v>127</v>
      </c>
      <c r="AC1038" s="626" t="s">
        <v>78</v>
      </c>
      <c r="AP1038" s="1837"/>
      <c r="AQ1038" s="1837"/>
      <c r="BF1038" s="1837"/>
      <c r="BG1038" s="1837"/>
    </row>
    <row r="1039" spans="12:59">
      <c r="L1039" s="626">
        <v>20.079999999999998</v>
      </c>
      <c r="M1039" s="626" t="s">
        <v>75</v>
      </c>
      <c r="AB1039" s="626">
        <v>127.01</v>
      </c>
      <c r="AC1039" s="626" t="s">
        <v>85</v>
      </c>
      <c r="AP1039" s="1837"/>
      <c r="AQ1039" s="1837"/>
      <c r="BF1039" s="1837"/>
      <c r="BG1039" s="1837"/>
    </row>
    <row r="1040" spans="12:59">
      <c r="L1040" s="626">
        <v>20.100000000000001</v>
      </c>
      <c r="M1040" s="626" t="s">
        <v>75</v>
      </c>
      <c r="AB1040" s="626">
        <v>128</v>
      </c>
      <c r="AC1040" s="626" t="s">
        <v>78</v>
      </c>
      <c r="AP1040" s="1837"/>
      <c r="AQ1040" s="1837"/>
      <c r="BF1040" s="1837"/>
      <c r="BG1040" s="1837"/>
    </row>
    <row r="1041" spans="12:59">
      <c r="L1041" s="626">
        <v>20.11</v>
      </c>
      <c r="M1041" s="626" t="s">
        <v>75</v>
      </c>
      <c r="AB1041" s="626">
        <v>128</v>
      </c>
      <c r="AC1041" s="626" t="s">
        <v>85</v>
      </c>
      <c r="AP1041" s="1837"/>
      <c r="AQ1041" s="1837"/>
      <c r="BF1041" s="1837"/>
      <c r="BG1041" s="1837"/>
    </row>
    <row r="1042" spans="12:59">
      <c r="L1042" s="626">
        <v>20.12</v>
      </c>
      <c r="M1042" s="626" t="s">
        <v>75</v>
      </c>
      <c r="AB1042" s="626">
        <v>128.02000000000001</v>
      </c>
      <c r="AC1042" s="626" t="s">
        <v>91</v>
      </c>
      <c r="AP1042" s="1837"/>
      <c r="AQ1042" s="1837"/>
      <c r="BF1042" s="1837"/>
      <c r="BG1042" s="1837"/>
    </row>
    <row r="1043" spans="12:59">
      <c r="L1043" s="626">
        <v>20.13</v>
      </c>
      <c r="M1043" s="626" t="s">
        <v>75</v>
      </c>
      <c r="AB1043" s="626">
        <v>128.03</v>
      </c>
      <c r="AC1043" s="626" t="s">
        <v>91</v>
      </c>
      <c r="AP1043" s="1837"/>
      <c r="AQ1043" s="1837"/>
      <c r="BF1043" s="1837"/>
      <c r="BG1043" s="1837"/>
    </row>
    <row r="1044" spans="12:59">
      <c r="L1044" s="626">
        <v>20.14</v>
      </c>
      <c r="M1044" s="626" t="s">
        <v>75</v>
      </c>
      <c r="AB1044" s="626">
        <v>129</v>
      </c>
      <c r="AC1044" s="626" t="s">
        <v>85</v>
      </c>
      <c r="AP1044" s="1837"/>
      <c r="AQ1044" s="1837"/>
      <c r="BF1044" s="1837"/>
      <c r="BG1044" s="1837"/>
    </row>
    <row r="1045" spans="12:59">
      <c r="L1045" s="626">
        <v>20.149999999999999</v>
      </c>
      <c r="M1045" s="626" t="s">
        <v>75</v>
      </c>
      <c r="AB1045" s="626">
        <v>129</v>
      </c>
      <c r="AC1045" s="626" t="s">
        <v>91</v>
      </c>
      <c r="AP1045" s="1837"/>
      <c r="AQ1045" s="1837"/>
      <c r="BF1045" s="1837"/>
      <c r="BG1045" s="1837"/>
    </row>
    <row r="1046" spans="12:59">
      <c r="L1046" s="626">
        <v>20.16</v>
      </c>
      <c r="M1046" s="626" t="s">
        <v>75</v>
      </c>
      <c r="AB1046" s="626">
        <v>130</v>
      </c>
      <c r="AC1046" s="626" t="s">
        <v>49</v>
      </c>
      <c r="AP1046" s="1837"/>
      <c r="AQ1046" s="1837"/>
      <c r="BF1046" s="1837"/>
      <c r="BG1046" s="1837"/>
    </row>
    <row r="1047" spans="12:59">
      <c r="L1047" s="626">
        <v>20.170000000000002</v>
      </c>
      <c r="M1047" s="626" t="s">
        <v>75</v>
      </c>
      <c r="AB1047" s="626">
        <v>130</v>
      </c>
      <c r="AC1047" s="626" t="s">
        <v>78</v>
      </c>
      <c r="AP1047" s="1837"/>
      <c r="AQ1047" s="1837"/>
      <c r="BF1047" s="1837"/>
      <c r="BG1047" s="1837"/>
    </row>
    <row r="1048" spans="12:59">
      <c r="L1048" s="626">
        <v>1</v>
      </c>
      <c r="M1048" s="626" t="s">
        <v>76</v>
      </c>
      <c r="AB1048" s="626">
        <v>130.01</v>
      </c>
      <c r="AC1048" s="626" t="s">
        <v>63</v>
      </c>
      <c r="AP1048" s="1837"/>
      <c r="AQ1048" s="1837"/>
      <c r="BF1048" s="1837"/>
      <c r="BG1048" s="1837"/>
    </row>
    <row r="1049" spans="12:59">
      <c r="L1049" s="626">
        <v>3.01</v>
      </c>
      <c r="M1049" s="626" t="s">
        <v>76</v>
      </c>
      <c r="AB1049" s="626">
        <v>130.01</v>
      </c>
      <c r="AC1049" s="626" t="s">
        <v>91</v>
      </c>
      <c r="AP1049" s="1837"/>
      <c r="AQ1049" s="1837"/>
      <c r="BF1049" s="1837"/>
      <c r="BG1049" s="1837"/>
    </row>
    <row r="1050" spans="12:59">
      <c r="L1050" s="626">
        <v>7.02</v>
      </c>
      <c r="M1050" s="626" t="s">
        <v>76</v>
      </c>
      <c r="AB1050" s="626">
        <v>130.04</v>
      </c>
      <c r="AC1050" s="626" t="s">
        <v>63</v>
      </c>
      <c r="AP1050" s="1837"/>
      <c r="AQ1050" s="1837"/>
      <c r="BF1050" s="1837"/>
      <c r="BG1050" s="1837"/>
    </row>
    <row r="1051" spans="12:59">
      <c r="L1051" s="626">
        <v>8.01</v>
      </c>
      <c r="M1051" s="626" t="s">
        <v>76</v>
      </c>
      <c r="AB1051" s="626">
        <v>131</v>
      </c>
      <c r="AC1051" s="626" t="s">
        <v>49</v>
      </c>
      <c r="AP1051" s="1837"/>
      <c r="AQ1051" s="1837"/>
      <c r="BF1051" s="1837"/>
      <c r="BG1051" s="1837"/>
    </row>
    <row r="1052" spans="12:59">
      <c r="L1052" s="626">
        <v>8.02</v>
      </c>
      <c r="M1052" s="626" t="s">
        <v>76</v>
      </c>
      <c r="AB1052" s="626">
        <v>131.01</v>
      </c>
      <c r="AC1052" s="626" t="s">
        <v>91</v>
      </c>
      <c r="AP1052" s="1837"/>
      <c r="AQ1052" s="1837"/>
      <c r="BF1052" s="1837"/>
      <c r="BG1052" s="1837"/>
    </row>
    <row r="1053" spans="12:59">
      <c r="L1053" s="626">
        <v>9.02</v>
      </c>
      <c r="M1053" s="626" t="s">
        <v>76</v>
      </c>
      <c r="AB1053" s="626">
        <v>132</v>
      </c>
      <c r="AC1053" s="626" t="s">
        <v>49</v>
      </c>
      <c r="AP1053" s="1837"/>
      <c r="AQ1053" s="1837"/>
      <c r="BF1053" s="1837"/>
      <c r="BG1053" s="1837"/>
    </row>
    <row r="1054" spans="12:59">
      <c r="L1054" s="626">
        <v>10.039999999999999</v>
      </c>
      <c r="M1054" s="626" t="s">
        <v>76</v>
      </c>
      <c r="AB1054" s="626">
        <v>132</v>
      </c>
      <c r="AC1054" s="626" t="s">
        <v>78</v>
      </c>
      <c r="AP1054" s="1837"/>
      <c r="AQ1054" s="1837"/>
      <c r="BF1054" s="1837"/>
      <c r="BG1054" s="1837"/>
    </row>
    <row r="1055" spans="12:59">
      <c r="L1055" s="626">
        <v>10.050000000000001</v>
      </c>
      <c r="M1055" s="626" t="s">
        <v>76</v>
      </c>
      <c r="AB1055" s="626">
        <v>132.03</v>
      </c>
      <c r="AC1055" s="626" t="s">
        <v>63</v>
      </c>
      <c r="AP1055" s="1837"/>
      <c r="AQ1055" s="1837"/>
      <c r="BF1055" s="1837"/>
      <c r="BG1055" s="1837"/>
    </row>
    <row r="1056" spans="12:59">
      <c r="L1056" s="626">
        <v>10.06</v>
      </c>
      <c r="M1056" s="626" t="s">
        <v>76</v>
      </c>
      <c r="AB1056" s="626">
        <v>132.05000000000001</v>
      </c>
      <c r="AC1056" s="626" t="s">
        <v>63</v>
      </c>
      <c r="AP1056" s="1837"/>
      <c r="AQ1056" s="1837"/>
      <c r="BF1056" s="1837"/>
      <c r="BG1056" s="1837"/>
    </row>
    <row r="1057" spans="12:59">
      <c r="L1057" s="626">
        <v>10.07</v>
      </c>
      <c r="M1057" s="626" t="s">
        <v>76</v>
      </c>
      <c r="AB1057" s="626">
        <v>132.06</v>
      </c>
      <c r="AC1057" s="626" t="s">
        <v>63</v>
      </c>
      <c r="AP1057" s="1837"/>
      <c r="AQ1057" s="1837"/>
      <c r="BF1057" s="1837"/>
      <c r="BG1057" s="1837"/>
    </row>
    <row r="1058" spans="12:59">
      <c r="L1058" s="626">
        <v>10.08</v>
      </c>
      <c r="M1058" s="626" t="s">
        <v>76</v>
      </c>
      <c r="AB1058" s="626">
        <v>132.07</v>
      </c>
      <c r="AC1058" s="626" t="s">
        <v>63</v>
      </c>
      <c r="AP1058" s="1837"/>
      <c r="AQ1058" s="1837"/>
      <c r="BF1058" s="1837"/>
      <c r="BG1058" s="1837"/>
    </row>
    <row r="1059" spans="12:59">
      <c r="L1059" s="626">
        <v>11.03</v>
      </c>
      <c r="M1059" s="626" t="s">
        <v>76</v>
      </c>
      <c r="AB1059" s="626">
        <v>132.08000000000001</v>
      </c>
      <c r="AC1059" s="626" t="s">
        <v>63</v>
      </c>
      <c r="AP1059" s="1837"/>
      <c r="AQ1059" s="1837"/>
      <c r="BF1059" s="1837"/>
      <c r="BG1059" s="1837"/>
    </row>
    <row r="1060" spans="12:59">
      <c r="L1060" s="626">
        <v>12.06</v>
      </c>
      <c r="M1060" s="626" t="s">
        <v>76</v>
      </c>
      <c r="AB1060" s="626">
        <v>133</v>
      </c>
      <c r="AC1060" s="626" t="s">
        <v>49</v>
      </c>
      <c r="AP1060" s="1837"/>
      <c r="AQ1060" s="1837"/>
      <c r="BF1060" s="1837"/>
      <c r="BG1060" s="1837"/>
    </row>
    <row r="1061" spans="12:59">
      <c r="L1061" s="626">
        <v>12.08</v>
      </c>
      <c r="M1061" s="626" t="s">
        <v>76</v>
      </c>
      <c r="AB1061" s="626">
        <v>133</v>
      </c>
      <c r="AC1061" s="626" t="s">
        <v>78</v>
      </c>
      <c r="AP1061" s="1837"/>
      <c r="AQ1061" s="1837"/>
      <c r="BF1061" s="1837"/>
      <c r="BG1061" s="1837"/>
    </row>
    <row r="1062" spans="12:59">
      <c r="L1062" s="626">
        <v>13.02</v>
      </c>
      <c r="M1062" s="626" t="s">
        <v>76</v>
      </c>
      <c r="AB1062" s="626">
        <v>133.05000000000001</v>
      </c>
      <c r="AC1062" s="626" t="s">
        <v>63</v>
      </c>
      <c r="AP1062" s="1837"/>
      <c r="AQ1062" s="1837"/>
      <c r="BF1062" s="1837"/>
      <c r="BG1062" s="1837"/>
    </row>
    <row r="1063" spans="12:59">
      <c r="L1063" s="626">
        <v>21</v>
      </c>
      <c r="M1063" s="626" t="s">
        <v>76</v>
      </c>
      <c r="AB1063" s="626">
        <v>133.07</v>
      </c>
      <c r="AC1063" s="626" t="s">
        <v>63</v>
      </c>
      <c r="AP1063" s="1837"/>
      <c r="AQ1063" s="1837"/>
      <c r="BF1063" s="1837"/>
      <c r="BG1063" s="1837"/>
    </row>
    <row r="1064" spans="12:59">
      <c r="L1064" s="626">
        <v>22.01</v>
      </c>
      <c r="M1064" s="626" t="s">
        <v>76</v>
      </c>
      <c r="AB1064" s="626">
        <v>133.1</v>
      </c>
      <c r="AC1064" s="626" t="s">
        <v>63</v>
      </c>
      <c r="AP1064" s="1837"/>
      <c r="AQ1064" s="1837"/>
      <c r="BF1064" s="1837"/>
      <c r="BG1064" s="1837"/>
    </row>
    <row r="1065" spans="12:59">
      <c r="L1065" s="626">
        <v>22.02</v>
      </c>
      <c r="M1065" s="626" t="s">
        <v>76</v>
      </c>
      <c r="AB1065" s="626">
        <v>133.11000000000001</v>
      </c>
      <c r="AC1065" s="626" t="s">
        <v>63</v>
      </c>
      <c r="AP1065" s="1837"/>
      <c r="AQ1065" s="1837"/>
      <c r="BF1065" s="1837"/>
      <c r="BG1065" s="1837"/>
    </row>
    <row r="1066" spans="12:59">
      <c r="L1066" s="626">
        <v>22.03</v>
      </c>
      <c r="M1066" s="626" t="s">
        <v>76</v>
      </c>
      <c r="AB1066" s="626">
        <v>133.12</v>
      </c>
      <c r="AC1066" s="626" t="s">
        <v>63</v>
      </c>
      <c r="AP1066" s="1837"/>
      <c r="AQ1066" s="1837"/>
      <c r="BF1066" s="1837"/>
      <c r="BG1066" s="1837"/>
    </row>
    <row r="1067" spans="12:59">
      <c r="L1067" s="626">
        <v>23.01</v>
      </c>
      <c r="M1067" s="626" t="s">
        <v>76</v>
      </c>
      <c r="AB1067" s="626">
        <v>133.13</v>
      </c>
      <c r="AC1067" s="626" t="s">
        <v>63</v>
      </c>
      <c r="AP1067" s="1837"/>
      <c r="AQ1067" s="1837"/>
      <c r="BF1067" s="1837"/>
      <c r="BG1067" s="1837"/>
    </row>
    <row r="1068" spans="12:59">
      <c r="L1068" s="626">
        <v>23.02</v>
      </c>
      <c r="M1068" s="626" t="s">
        <v>76</v>
      </c>
      <c r="AB1068" s="626">
        <v>133.13999999999999</v>
      </c>
      <c r="AC1068" s="626" t="s">
        <v>63</v>
      </c>
      <c r="AP1068" s="1837"/>
      <c r="AQ1068" s="1837"/>
      <c r="BF1068" s="1837"/>
      <c r="BG1068" s="1837"/>
    </row>
    <row r="1069" spans="12:59">
      <c r="L1069" s="626">
        <v>24.01</v>
      </c>
      <c r="M1069" s="626" t="s">
        <v>76</v>
      </c>
      <c r="AB1069" s="626">
        <v>133.15</v>
      </c>
      <c r="AC1069" s="626" t="s">
        <v>63</v>
      </c>
      <c r="AP1069" s="1837"/>
      <c r="AQ1069" s="1837"/>
      <c r="BF1069" s="1837"/>
      <c r="BG1069" s="1837"/>
    </row>
    <row r="1070" spans="12:59">
      <c r="L1070" s="626">
        <v>24.02</v>
      </c>
      <c r="M1070" s="626" t="s">
        <v>76</v>
      </c>
      <c r="AB1070" s="626">
        <v>133.16999999999999</v>
      </c>
      <c r="AC1070" s="626" t="s">
        <v>63</v>
      </c>
      <c r="AP1070" s="1837"/>
      <c r="AQ1070" s="1837"/>
      <c r="BF1070" s="1837"/>
      <c r="BG1070" s="1837"/>
    </row>
    <row r="1071" spans="12:59">
      <c r="L1071" s="626">
        <v>25.02</v>
      </c>
      <c r="M1071" s="626" t="s">
        <v>76</v>
      </c>
      <c r="AB1071" s="626">
        <v>133.18</v>
      </c>
      <c r="AC1071" s="626" t="s">
        <v>63</v>
      </c>
      <c r="AP1071" s="1837"/>
      <c r="AQ1071" s="1837"/>
      <c r="BF1071" s="1837"/>
      <c r="BG1071" s="1837"/>
    </row>
    <row r="1072" spans="12:59">
      <c r="L1072" s="626">
        <v>25.03</v>
      </c>
      <c r="M1072" s="626" t="s">
        <v>76</v>
      </c>
      <c r="AB1072" s="626">
        <v>133.19</v>
      </c>
      <c r="AC1072" s="626" t="s">
        <v>63</v>
      </c>
      <c r="AP1072" s="1837"/>
      <c r="AQ1072" s="1837"/>
      <c r="BF1072" s="1837"/>
      <c r="BG1072" s="1837"/>
    </row>
    <row r="1073" spans="12:59">
      <c r="L1073" s="626">
        <v>26.04</v>
      </c>
      <c r="M1073" s="626" t="s">
        <v>76</v>
      </c>
      <c r="AB1073" s="626">
        <v>133.19999999999999</v>
      </c>
      <c r="AC1073" s="626" t="s">
        <v>63</v>
      </c>
      <c r="AP1073" s="1837"/>
      <c r="AQ1073" s="1837"/>
      <c r="BF1073" s="1837"/>
      <c r="BG1073" s="1837"/>
    </row>
    <row r="1074" spans="12:59">
      <c r="L1074" s="626">
        <v>26.05</v>
      </c>
      <c r="M1074" s="626" t="s">
        <v>76</v>
      </c>
      <c r="AB1074" s="626">
        <v>133.21</v>
      </c>
      <c r="AC1074" s="626" t="s">
        <v>63</v>
      </c>
      <c r="AP1074" s="1837"/>
      <c r="AQ1074" s="1837"/>
      <c r="BF1074" s="1837"/>
      <c r="BG1074" s="1837"/>
    </row>
    <row r="1075" spans="12:59">
      <c r="L1075" s="626">
        <v>26.06</v>
      </c>
      <c r="M1075" s="626" t="s">
        <v>76</v>
      </c>
      <c r="AB1075" s="626">
        <v>133.22</v>
      </c>
      <c r="AC1075" s="626" t="s">
        <v>63</v>
      </c>
      <c r="AP1075" s="1837"/>
      <c r="AQ1075" s="1837"/>
      <c r="BF1075" s="1837"/>
      <c r="BG1075" s="1837"/>
    </row>
    <row r="1076" spans="12:59">
      <c r="L1076" s="626">
        <v>27.02</v>
      </c>
      <c r="M1076" s="626" t="s">
        <v>76</v>
      </c>
      <c r="AB1076" s="626">
        <v>134.07</v>
      </c>
      <c r="AC1076" s="626" t="s">
        <v>63</v>
      </c>
      <c r="AP1076" s="1837"/>
      <c r="AQ1076" s="1837"/>
      <c r="BF1076" s="1837"/>
      <c r="BG1076" s="1837"/>
    </row>
    <row r="1077" spans="12:59">
      <c r="L1077" s="626">
        <v>1</v>
      </c>
      <c r="M1077" s="626" t="s">
        <v>77</v>
      </c>
      <c r="AB1077" s="626">
        <v>134.09</v>
      </c>
      <c r="AC1077" s="626" t="s">
        <v>63</v>
      </c>
      <c r="AP1077" s="1837"/>
      <c r="AQ1077" s="1837"/>
      <c r="BF1077" s="1837"/>
      <c r="BG1077" s="1837"/>
    </row>
    <row r="1078" spans="12:59">
      <c r="L1078" s="626">
        <v>2</v>
      </c>
      <c r="M1078" s="626" t="s">
        <v>77</v>
      </c>
      <c r="AB1078" s="626">
        <v>134.1</v>
      </c>
      <c r="AC1078" s="626" t="s">
        <v>63</v>
      </c>
      <c r="AP1078" s="1837"/>
      <c r="AQ1078" s="1837"/>
      <c r="BF1078" s="1837"/>
      <c r="BG1078" s="1837"/>
    </row>
    <row r="1079" spans="12:59">
      <c r="L1079" s="626">
        <v>4</v>
      </c>
      <c r="M1079" s="626" t="s">
        <v>77</v>
      </c>
      <c r="AB1079" s="626">
        <v>134.12</v>
      </c>
      <c r="AC1079" s="626" t="s">
        <v>63</v>
      </c>
      <c r="AP1079" s="1837"/>
      <c r="AQ1079" s="1837"/>
      <c r="BF1079" s="1837"/>
      <c r="BG1079" s="1837"/>
    </row>
    <row r="1080" spans="12:59">
      <c r="L1080" s="626">
        <v>5.0199999999999996</v>
      </c>
      <c r="M1080" s="626" t="s">
        <v>77</v>
      </c>
      <c r="AB1080" s="626">
        <v>134.13</v>
      </c>
      <c r="AC1080" s="626" t="s">
        <v>63</v>
      </c>
      <c r="AP1080" s="1837"/>
      <c r="AQ1080" s="1837"/>
      <c r="BF1080" s="1837"/>
      <c r="BG1080" s="1837"/>
    </row>
    <row r="1081" spans="12:59">
      <c r="L1081" s="626">
        <v>6.03</v>
      </c>
      <c r="M1081" s="626" t="s">
        <v>77</v>
      </c>
      <c r="AB1081" s="626">
        <v>134.13999999999999</v>
      </c>
      <c r="AC1081" s="626" t="s">
        <v>63</v>
      </c>
      <c r="AP1081" s="1837"/>
      <c r="AQ1081" s="1837"/>
      <c r="BF1081" s="1837"/>
      <c r="BG1081" s="1837"/>
    </row>
    <row r="1082" spans="12:59">
      <c r="L1082" s="626">
        <v>6.04</v>
      </c>
      <c r="M1082" s="626" t="s">
        <v>77</v>
      </c>
      <c r="AB1082" s="626">
        <v>134.15</v>
      </c>
      <c r="AC1082" s="626" t="s">
        <v>63</v>
      </c>
      <c r="AP1082" s="1837"/>
      <c r="AQ1082" s="1837"/>
      <c r="BF1082" s="1837"/>
      <c r="BG1082" s="1837"/>
    </row>
    <row r="1083" spans="12:59">
      <c r="L1083" s="626">
        <v>6.06</v>
      </c>
      <c r="M1083" s="626" t="s">
        <v>77</v>
      </c>
      <c r="AB1083" s="626">
        <v>135</v>
      </c>
      <c r="AC1083" s="626" t="s">
        <v>91</v>
      </c>
      <c r="AP1083" s="1837"/>
      <c r="AQ1083" s="1837"/>
      <c r="BF1083" s="1837"/>
      <c r="BG1083" s="1837"/>
    </row>
    <row r="1084" spans="12:59">
      <c r="L1084" s="626">
        <v>6.07</v>
      </c>
      <c r="M1084" s="626" t="s">
        <v>77</v>
      </c>
      <c r="AB1084" s="626">
        <v>135.07</v>
      </c>
      <c r="AC1084" s="626" t="s">
        <v>85</v>
      </c>
      <c r="AP1084" s="1837"/>
      <c r="AQ1084" s="1837"/>
      <c r="BF1084" s="1837"/>
      <c r="BG1084" s="1837"/>
    </row>
    <row r="1085" spans="12:59">
      <c r="L1085" s="626">
        <v>6.1</v>
      </c>
      <c r="M1085" s="626" t="s">
        <v>77</v>
      </c>
      <c r="AB1085" s="626">
        <v>135.09</v>
      </c>
      <c r="AC1085" s="626" t="s">
        <v>85</v>
      </c>
      <c r="AP1085" s="1837"/>
      <c r="AQ1085" s="1837"/>
      <c r="BF1085" s="1837"/>
      <c r="BG1085" s="1837"/>
    </row>
    <row r="1086" spans="12:59">
      <c r="L1086" s="626">
        <v>9.01</v>
      </c>
      <c r="M1086" s="626" t="s">
        <v>77</v>
      </c>
      <c r="AB1086" s="626">
        <v>135.22</v>
      </c>
      <c r="AC1086" s="626" t="s">
        <v>49</v>
      </c>
      <c r="AP1086" s="1837"/>
      <c r="AQ1086" s="1837"/>
      <c r="BF1086" s="1837"/>
      <c r="BG1086" s="1837"/>
    </row>
    <row r="1087" spans="12:59">
      <c r="L1087" s="626">
        <v>11.02</v>
      </c>
      <c r="M1087" s="626" t="s">
        <v>77</v>
      </c>
      <c r="AB1087" s="626">
        <v>136.04</v>
      </c>
      <c r="AC1087" s="626" t="s">
        <v>85</v>
      </c>
      <c r="AP1087" s="1837"/>
      <c r="AQ1087" s="1837"/>
      <c r="BF1087" s="1837"/>
      <c r="BG1087" s="1837"/>
    </row>
    <row r="1088" spans="12:59">
      <c r="L1088" s="626">
        <v>11.03</v>
      </c>
      <c r="M1088" s="626" t="s">
        <v>77</v>
      </c>
      <c r="AB1088" s="626">
        <v>137.02000000000001</v>
      </c>
      <c r="AC1088" s="626" t="s">
        <v>63</v>
      </c>
      <c r="AP1088" s="1837"/>
      <c r="AQ1088" s="1837"/>
      <c r="BF1088" s="1837"/>
      <c r="BG1088" s="1837"/>
    </row>
    <row r="1089" spans="12:59">
      <c r="L1089" s="626">
        <v>11.04</v>
      </c>
      <c r="M1089" s="626" t="s">
        <v>77</v>
      </c>
      <c r="AB1089" s="626">
        <v>137.02000000000001</v>
      </c>
      <c r="AC1089" s="626" t="s">
        <v>91</v>
      </c>
      <c r="AP1089" s="1837"/>
      <c r="AQ1089" s="1837"/>
      <c r="BF1089" s="1837"/>
      <c r="BG1089" s="1837"/>
    </row>
    <row r="1090" spans="12:59">
      <c r="L1090" s="626">
        <v>13.02</v>
      </c>
      <c r="M1090" s="626" t="s">
        <v>77</v>
      </c>
      <c r="AB1090" s="626">
        <v>137.03</v>
      </c>
      <c r="AC1090" s="626" t="s">
        <v>63</v>
      </c>
      <c r="AP1090" s="1837"/>
      <c r="AQ1090" s="1837"/>
      <c r="BF1090" s="1837"/>
      <c r="BG1090" s="1837"/>
    </row>
    <row r="1091" spans="12:59">
      <c r="L1091" s="626">
        <v>14.04</v>
      </c>
      <c r="M1091" s="626" t="s">
        <v>77</v>
      </c>
      <c r="AB1091" s="626">
        <v>137.04</v>
      </c>
      <c r="AC1091" s="626" t="s">
        <v>63</v>
      </c>
      <c r="AP1091" s="1837"/>
      <c r="AQ1091" s="1837"/>
      <c r="BF1091" s="1837"/>
      <c r="BG1091" s="1837"/>
    </row>
    <row r="1092" spans="12:59">
      <c r="L1092" s="626">
        <v>14.06</v>
      </c>
      <c r="M1092" s="626" t="s">
        <v>77</v>
      </c>
      <c r="AB1092" s="626">
        <v>137.21</v>
      </c>
      <c r="AC1092" s="626" t="s">
        <v>49</v>
      </c>
      <c r="AP1092" s="1837"/>
      <c r="AQ1092" s="1837"/>
      <c r="BF1092" s="1837"/>
      <c r="BG1092" s="1837"/>
    </row>
    <row r="1093" spans="12:59">
      <c r="L1093" s="626">
        <v>14.09</v>
      </c>
      <c r="M1093" s="626" t="s">
        <v>77</v>
      </c>
      <c r="AB1093" s="626">
        <v>137.22999999999999</v>
      </c>
      <c r="AC1093" s="626" t="s">
        <v>49</v>
      </c>
      <c r="AP1093" s="1837"/>
      <c r="AQ1093" s="1837"/>
      <c r="BF1093" s="1837"/>
      <c r="BG1093" s="1837"/>
    </row>
    <row r="1094" spans="12:59">
      <c r="L1094" s="626">
        <v>15</v>
      </c>
      <c r="M1094" s="626" t="s">
        <v>77</v>
      </c>
      <c r="AB1094" s="626">
        <v>137.26</v>
      </c>
      <c r="AC1094" s="626" t="s">
        <v>49</v>
      </c>
      <c r="AP1094" s="1837"/>
      <c r="AQ1094" s="1837"/>
      <c r="BF1094" s="1837"/>
      <c r="BG1094" s="1837"/>
    </row>
    <row r="1095" spans="12:59">
      <c r="L1095" s="626">
        <v>16.010000000000002</v>
      </c>
      <c r="M1095" s="626" t="s">
        <v>77</v>
      </c>
      <c r="AB1095" s="626">
        <v>137.27000000000001</v>
      </c>
      <c r="AC1095" s="626" t="s">
        <v>49</v>
      </c>
      <c r="AP1095" s="1837"/>
      <c r="AQ1095" s="1837"/>
      <c r="BF1095" s="1837"/>
      <c r="BG1095" s="1837"/>
    </row>
    <row r="1096" spans="12:59">
      <c r="L1096" s="626">
        <v>16.02</v>
      </c>
      <c r="M1096" s="626" t="s">
        <v>77</v>
      </c>
      <c r="AB1096" s="626">
        <v>138</v>
      </c>
      <c r="AC1096" s="626" t="s">
        <v>49</v>
      </c>
      <c r="AP1096" s="1837"/>
      <c r="AQ1096" s="1837"/>
      <c r="BF1096" s="1837"/>
      <c r="BG1096" s="1837"/>
    </row>
    <row r="1097" spans="12:59">
      <c r="L1097" s="626">
        <v>17</v>
      </c>
      <c r="M1097" s="626" t="s">
        <v>77</v>
      </c>
      <c r="AB1097" s="626">
        <v>138.01</v>
      </c>
      <c r="AC1097" s="626" t="s">
        <v>85</v>
      </c>
      <c r="AP1097" s="1837"/>
      <c r="AQ1097" s="1837"/>
      <c r="BF1097" s="1837"/>
      <c r="BG1097" s="1837"/>
    </row>
    <row r="1098" spans="12:59">
      <c r="L1098" s="626">
        <v>1.07</v>
      </c>
      <c r="M1098" s="626" t="s">
        <v>78</v>
      </c>
      <c r="AB1098" s="626">
        <v>138.02000000000001</v>
      </c>
      <c r="AC1098" s="626" t="s">
        <v>63</v>
      </c>
      <c r="AP1098" s="1837"/>
      <c r="AQ1098" s="1837"/>
      <c r="BF1098" s="1837"/>
      <c r="BG1098" s="1837"/>
    </row>
    <row r="1099" spans="12:59">
      <c r="L1099" s="626">
        <v>1.1299999999999999</v>
      </c>
      <c r="M1099" s="626" t="s">
        <v>78</v>
      </c>
      <c r="AB1099" s="626">
        <v>138.02000000000001</v>
      </c>
      <c r="AC1099" s="626" t="s">
        <v>85</v>
      </c>
      <c r="AP1099" s="1837"/>
      <c r="AQ1099" s="1837"/>
      <c r="BF1099" s="1837"/>
      <c r="BG1099" s="1837"/>
    </row>
    <row r="1100" spans="12:59">
      <c r="L1100" s="626">
        <v>1.1499999999999999</v>
      </c>
      <c r="M1100" s="626" t="s">
        <v>78</v>
      </c>
      <c r="AB1100" s="626">
        <v>138.03</v>
      </c>
      <c r="AC1100" s="626" t="s">
        <v>85</v>
      </c>
      <c r="AP1100" s="1837"/>
      <c r="AQ1100" s="1837"/>
      <c r="BF1100" s="1837"/>
      <c r="BG1100" s="1837"/>
    </row>
    <row r="1101" spans="12:59">
      <c r="L1101" s="626">
        <v>1.18</v>
      </c>
      <c r="M1101" s="626" t="s">
        <v>78</v>
      </c>
      <c r="AB1101" s="626">
        <v>138.06</v>
      </c>
      <c r="AC1101" s="626" t="s">
        <v>63</v>
      </c>
      <c r="AP1101" s="1837"/>
      <c r="AQ1101" s="1837"/>
      <c r="BF1101" s="1837"/>
      <c r="BG1101" s="1837"/>
    </row>
    <row r="1102" spans="12:59">
      <c r="L1102" s="626">
        <v>1.19</v>
      </c>
      <c r="M1102" s="626" t="s">
        <v>78</v>
      </c>
      <c r="AB1102" s="626">
        <v>138.07</v>
      </c>
      <c r="AC1102" s="626" t="s">
        <v>63</v>
      </c>
      <c r="AP1102" s="1837"/>
      <c r="AQ1102" s="1837"/>
      <c r="BF1102" s="1837"/>
      <c r="BG1102" s="1837"/>
    </row>
    <row r="1103" spans="12:59">
      <c r="L1103" s="626">
        <v>1.2</v>
      </c>
      <c r="M1103" s="626" t="s">
        <v>78</v>
      </c>
      <c r="AB1103" s="626">
        <v>139</v>
      </c>
      <c r="AC1103" s="626" t="s">
        <v>78</v>
      </c>
      <c r="AP1103" s="1837"/>
      <c r="AQ1103" s="1837"/>
      <c r="BF1103" s="1837"/>
      <c r="BG1103" s="1837"/>
    </row>
    <row r="1104" spans="12:59">
      <c r="L1104" s="626">
        <v>1.21</v>
      </c>
      <c r="M1104" s="626" t="s">
        <v>78</v>
      </c>
      <c r="AB1104" s="626">
        <v>139</v>
      </c>
      <c r="AC1104" s="626" t="s">
        <v>85</v>
      </c>
      <c r="AP1104" s="1837"/>
      <c r="AQ1104" s="1837"/>
      <c r="BF1104" s="1837"/>
      <c r="BG1104" s="1837"/>
    </row>
    <row r="1105" spans="12:59">
      <c r="L1105" s="626">
        <v>1.22</v>
      </c>
      <c r="M1105" s="626" t="s">
        <v>78</v>
      </c>
      <c r="AB1105" s="626">
        <v>139.01</v>
      </c>
      <c r="AC1105" s="626" t="s">
        <v>49</v>
      </c>
      <c r="AP1105" s="1837"/>
      <c r="AQ1105" s="1837"/>
      <c r="BF1105" s="1837"/>
      <c r="BG1105" s="1837"/>
    </row>
    <row r="1106" spans="12:59">
      <c r="L1106" s="626">
        <v>1.23</v>
      </c>
      <c r="M1106" s="626" t="s">
        <v>78</v>
      </c>
      <c r="AB1106" s="626">
        <v>139.02000000000001</v>
      </c>
      <c r="AC1106" s="626" t="s">
        <v>49</v>
      </c>
      <c r="AP1106" s="1837"/>
      <c r="AQ1106" s="1837"/>
      <c r="BF1106" s="1837"/>
      <c r="BG1106" s="1837"/>
    </row>
    <row r="1107" spans="12:59">
      <c r="L1107" s="626">
        <v>1.25</v>
      </c>
      <c r="M1107" s="626" t="s">
        <v>78</v>
      </c>
      <c r="AB1107" s="626">
        <v>139.02000000000001</v>
      </c>
      <c r="AC1107" s="626" t="s">
        <v>91</v>
      </c>
      <c r="AP1107" s="1837"/>
      <c r="AQ1107" s="1837"/>
      <c r="BF1107" s="1837"/>
      <c r="BG1107" s="1837"/>
    </row>
    <row r="1108" spans="12:59">
      <c r="L1108" s="626">
        <v>1.26</v>
      </c>
      <c r="M1108" s="626" t="s">
        <v>78</v>
      </c>
      <c r="AB1108" s="626">
        <v>139.03</v>
      </c>
      <c r="AC1108" s="626" t="s">
        <v>63</v>
      </c>
      <c r="AP1108" s="1837"/>
      <c r="AQ1108" s="1837"/>
      <c r="BF1108" s="1837"/>
      <c r="BG1108" s="1837"/>
    </row>
    <row r="1109" spans="12:59">
      <c r="L1109" s="626">
        <v>1.27</v>
      </c>
      <c r="M1109" s="626" t="s">
        <v>78</v>
      </c>
      <c r="AB1109" s="626">
        <v>139.05000000000001</v>
      </c>
      <c r="AC1109" s="626" t="s">
        <v>49</v>
      </c>
      <c r="AP1109" s="1837"/>
      <c r="AQ1109" s="1837"/>
      <c r="BF1109" s="1837"/>
      <c r="BG1109" s="1837"/>
    </row>
    <row r="1110" spans="12:59">
      <c r="L1110" s="626">
        <v>1.28</v>
      </c>
      <c r="M1110" s="626" t="s">
        <v>78</v>
      </c>
      <c r="AB1110" s="626">
        <v>139.06</v>
      </c>
      <c r="AC1110" s="626" t="s">
        <v>49</v>
      </c>
      <c r="AP1110" s="1837"/>
      <c r="AQ1110" s="1837"/>
      <c r="BF1110" s="1837"/>
      <c r="BG1110" s="1837"/>
    </row>
    <row r="1111" spans="12:59">
      <c r="L1111" s="626">
        <v>1.29</v>
      </c>
      <c r="M1111" s="626" t="s">
        <v>78</v>
      </c>
      <c r="AB1111" s="626">
        <v>139.07</v>
      </c>
      <c r="AC1111" s="626" t="s">
        <v>63</v>
      </c>
      <c r="AP1111" s="1837"/>
      <c r="AQ1111" s="1837"/>
      <c r="BF1111" s="1837"/>
      <c r="BG1111" s="1837"/>
    </row>
    <row r="1112" spans="12:59">
      <c r="L1112" s="626">
        <v>1.3</v>
      </c>
      <c r="M1112" s="626" t="s">
        <v>78</v>
      </c>
      <c r="AB1112" s="626">
        <v>139.08000000000001</v>
      </c>
      <c r="AC1112" s="626" t="s">
        <v>63</v>
      </c>
      <c r="AP1112" s="1837"/>
      <c r="AQ1112" s="1837"/>
      <c r="BF1112" s="1837"/>
      <c r="BG1112" s="1837"/>
    </row>
    <row r="1113" spans="12:59">
      <c r="L1113" s="626">
        <v>1.31</v>
      </c>
      <c r="M1113" s="626" t="s">
        <v>78</v>
      </c>
      <c r="AB1113" s="626">
        <v>139.13999999999999</v>
      </c>
      <c r="AC1113" s="626" t="s">
        <v>63</v>
      </c>
      <c r="AP1113" s="1837"/>
      <c r="AQ1113" s="1837"/>
      <c r="BF1113" s="1837"/>
      <c r="BG1113" s="1837"/>
    </row>
    <row r="1114" spans="12:59">
      <c r="L1114" s="626">
        <v>1.33</v>
      </c>
      <c r="M1114" s="626" t="s">
        <v>78</v>
      </c>
      <c r="AB1114" s="626">
        <v>139.15</v>
      </c>
      <c r="AC1114" s="626" t="s">
        <v>63</v>
      </c>
      <c r="AP1114" s="1837"/>
      <c r="AQ1114" s="1837"/>
      <c r="BF1114" s="1837"/>
      <c r="BG1114" s="1837"/>
    </row>
    <row r="1115" spans="12:59">
      <c r="L1115" s="626">
        <v>1.34</v>
      </c>
      <c r="M1115" s="626" t="s">
        <v>78</v>
      </c>
      <c r="AB1115" s="626">
        <v>139.16</v>
      </c>
      <c r="AC1115" s="626" t="s">
        <v>63</v>
      </c>
      <c r="AP1115" s="1837"/>
      <c r="AQ1115" s="1837"/>
      <c r="BF1115" s="1837"/>
      <c r="BG1115" s="1837"/>
    </row>
    <row r="1116" spans="12:59">
      <c r="L1116" s="626">
        <v>1.4</v>
      </c>
      <c r="M1116" s="626" t="s">
        <v>78</v>
      </c>
      <c r="AB1116" s="626">
        <v>139.16999999999999</v>
      </c>
      <c r="AC1116" s="626" t="s">
        <v>63</v>
      </c>
      <c r="AP1116" s="1837"/>
      <c r="AQ1116" s="1837"/>
      <c r="BF1116" s="1837"/>
      <c r="BG1116" s="1837"/>
    </row>
    <row r="1117" spans="12:59">
      <c r="L1117" s="626">
        <v>2.11</v>
      </c>
      <c r="M1117" s="626" t="s">
        <v>78</v>
      </c>
      <c r="AB1117" s="626">
        <v>139.19</v>
      </c>
      <c r="AC1117" s="626" t="s">
        <v>63</v>
      </c>
      <c r="AP1117" s="1837"/>
      <c r="AQ1117" s="1837"/>
      <c r="BF1117" s="1837"/>
      <c r="BG1117" s="1837"/>
    </row>
    <row r="1118" spans="12:59">
      <c r="L1118" s="626">
        <v>2.13</v>
      </c>
      <c r="M1118" s="626" t="s">
        <v>78</v>
      </c>
      <c r="AB1118" s="626">
        <v>139.19999999999999</v>
      </c>
      <c r="AC1118" s="626" t="s">
        <v>63</v>
      </c>
      <c r="AP1118" s="1837"/>
      <c r="AQ1118" s="1837"/>
      <c r="BF1118" s="1837"/>
      <c r="BG1118" s="1837"/>
    </row>
    <row r="1119" spans="12:59">
      <c r="L1119" s="626">
        <v>2.14</v>
      </c>
      <c r="M1119" s="626" t="s">
        <v>78</v>
      </c>
      <c r="AB1119" s="626">
        <v>139.21</v>
      </c>
      <c r="AC1119" s="626" t="s">
        <v>63</v>
      </c>
      <c r="AP1119" s="1837"/>
      <c r="AQ1119" s="1837"/>
      <c r="BF1119" s="1837"/>
      <c r="BG1119" s="1837"/>
    </row>
    <row r="1120" spans="12:59">
      <c r="L1120" s="626">
        <v>3.07</v>
      </c>
      <c r="M1120" s="626" t="s">
        <v>78</v>
      </c>
      <c r="AB1120" s="626">
        <v>139.22</v>
      </c>
      <c r="AC1120" s="626" t="s">
        <v>63</v>
      </c>
      <c r="AP1120" s="1837"/>
      <c r="AQ1120" s="1837"/>
      <c r="BF1120" s="1837"/>
      <c r="BG1120" s="1837"/>
    </row>
    <row r="1121" spans="12:59">
      <c r="L1121" s="626">
        <v>4.09</v>
      </c>
      <c r="M1121" s="626" t="s">
        <v>78</v>
      </c>
      <c r="AB1121" s="626">
        <v>139.22999999999999</v>
      </c>
      <c r="AC1121" s="626" t="s">
        <v>63</v>
      </c>
      <c r="AP1121" s="1837"/>
      <c r="AQ1121" s="1837"/>
      <c r="BF1121" s="1837"/>
      <c r="BG1121" s="1837"/>
    </row>
    <row r="1122" spans="12:59">
      <c r="L1122" s="626">
        <v>4.0999999999999996</v>
      </c>
      <c r="M1122" s="626" t="s">
        <v>78</v>
      </c>
      <c r="AB1122" s="626">
        <v>140</v>
      </c>
      <c r="AC1122" s="626" t="s">
        <v>85</v>
      </c>
      <c r="AP1122" s="1837"/>
      <c r="AQ1122" s="1837"/>
      <c r="BF1122" s="1837"/>
      <c r="BG1122" s="1837"/>
    </row>
    <row r="1123" spans="12:59">
      <c r="L1123" s="626">
        <v>6.04</v>
      </c>
      <c r="M1123" s="626" t="s">
        <v>78</v>
      </c>
      <c r="AB1123" s="626">
        <v>140.01</v>
      </c>
      <c r="AC1123" s="626" t="s">
        <v>49</v>
      </c>
      <c r="AP1123" s="1837"/>
      <c r="AQ1123" s="1837"/>
      <c r="BF1123" s="1837"/>
      <c r="BG1123" s="1837"/>
    </row>
    <row r="1124" spans="12:59">
      <c r="L1124" s="626">
        <v>11.04</v>
      </c>
      <c r="M1124" s="626" t="s">
        <v>78</v>
      </c>
      <c r="AB1124" s="626">
        <v>140.01</v>
      </c>
      <c r="AC1124" s="626" t="s">
        <v>91</v>
      </c>
      <c r="AP1124" s="1837"/>
      <c r="AQ1124" s="1837"/>
      <c r="BF1124" s="1837"/>
      <c r="BG1124" s="1837"/>
    </row>
    <row r="1125" spans="12:59">
      <c r="L1125" s="626">
        <v>12.04</v>
      </c>
      <c r="M1125" s="626" t="s">
        <v>78</v>
      </c>
      <c r="AB1125" s="626">
        <v>140.02000000000001</v>
      </c>
      <c r="AC1125" s="626" t="s">
        <v>49</v>
      </c>
      <c r="AP1125" s="1837"/>
      <c r="AQ1125" s="1837"/>
      <c r="BF1125" s="1837"/>
      <c r="BG1125" s="1837"/>
    </row>
    <row r="1126" spans="12:59">
      <c r="L1126" s="626">
        <v>12.05</v>
      </c>
      <c r="M1126" s="626" t="s">
        <v>78</v>
      </c>
      <c r="AB1126" s="626">
        <v>140.03</v>
      </c>
      <c r="AC1126" s="626" t="s">
        <v>63</v>
      </c>
      <c r="AP1126" s="1837"/>
      <c r="AQ1126" s="1837"/>
      <c r="BF1126" s="1837"/>
      <c r="BG1126" s="1837"/>
    </row>
    <row r="1127" spans="12:59">
      <c r="L1127" s="626">
        <v>12.06</v>
      </c>
      <c r="M1127" s="626" t="s">
        <v>78</v>
      </c>
      <c r="AB1127" s="626">
        <v>140.03</v>
      </c>
      <c r="AC1127" s="626" t="s">
        <v>91</v>
      </c>
      <c r="AP1127" s="1837"/>
      <c r="AQ1127" s="1837"/>
      <c r="BF1127" s="1837"/>
      <c r="BG1127" s="1837"/>
    </row>
    <row r="1128" spans="12:59">
      <c r="L1128" s="626">
        <v>13.02</v>
      </c>
      <c r="M1128" s="626" t="s">
        <v>78</v>
      </c>
      <c r="AB1128" s="626">
        <v>140.05000000000001</v>
      </c>
      <c r="AC1128" s="626" t="s">
        <v>91</v>
      </c>
      <c r="AP1128" s="1837"/>
      <c r="AQ1128" s="1837"/>
      <c r="BF1128" s="1837"/>
      <c r="BG1128" s="1837"/>
    </row>
    <row r="1129" spans="12:59">
      <c r="L1129" s="626">
        <v>16.03</v>
      </c>
      <c r="M1129" s="626" t="s">
        <v>78</v>
      </c>
      <c r="AB1129" s="626">
        <v>140.06</v>
      </c>
      <c r="AC1129" s="626" t="s">
        <v>91</v>
      </c>
      <c r="AP1129" s="1837"/>
      <c r="AQ1129" s="1837"/>
      <c r="BF1129" s="1837"/>
      <c r="BG1129" s="1837"/>
    </row>
    <row r="1130" spans="12:59">
      <c r="L1130" s="626">
        <v>21</v>
      </c>
      <c r="M1130" s="626" t="s">
        <v>78</v>
      </c>
      <c r="AB1130" s="626">
        <v>140.07</v>
      </c>
      <c r="AC1130" s="626" t="s">
        <v>63</v>
      </c>
      <c r="AP1130" s="1837"/>
      <c r="AQ1130" s="1837"/>
      <c r="BF1130" s="1837"/>
      <c r="BG1130" s="1837"/>
    </row>
    <row r="1131" spans="12:59">
      <c r="L1131" s="626">
        <v>22.01</v>
      </c>
      <c r="M1131" s="626" t="s">
        <v>78</v>
      </c>
      <c r="AB1131" s="626">
        <v>140.08000000000001</v>
      </c>
      <c r="AC1131" s="626" t="s">
        <v>63</v>
      </c>
      <c r="AP1131" s="1837"/>
      <c r="AQ1131" s="1837"/>
      <c r="BF1131" s="1837"/>
      <c r="BG1131" s="1837"/>
    </row>
    <row r="1132" spans="12:59">
      <c r="L1132" s="626">
        <v>27.02</v>
      </c>
      <c r="M1132" s="626" t="s">
        <v>78</v>
      </c>
      <c r="AB1132" s="626">
        <v>140.09</v>
      </c>
      <c r="AC1132" s="626" t="s">
        <v>63</v>
      </c>
      <c r="AP1132" s="1837"/>
      <c r="AQ1132" s="1837"/>
      <c r="BF1132" s="1837"/>
      <c r="BG1132" s="1837"/>
    </row>
    <row r="1133" spans="12:59">
      <c r="L1133" s="626">
        <v>27.03</v>
      </c>
      <c r="M1133" s="626" t="s">
        <v>78</v>
      </c>
      <c r="AB1133" s="626">
        <v>140.11000000000001</v>
      </c>
      <c r="AC1133" s="626" t="s">
        <v>63</v>
      </c>
      <c r="AP1133" s="1837"/>
      <c r="AQ1133" s="1837"/>
      <c r="BF1133" s="1837"/>
      <c r="BG1133" s="1837"/>
    </row>
    <row r="1134" spans="12:59">
      <c r="L1134" s="626">
        <v>27.05</v>
      </c>
      <c r="M1134" s="626" t="s">
        <v>78</v>
      </c>
      <c r="AB1134" s="626">
        <v>140.12</v>
      </c>
      <c r="AC1134" s="626" t="s">
        <v>63</v>
      </c>
      <c r="AP1134" s="1837"/>
      <c r="AQ1134" s="1837"/>
      <c r="BF1134" s="1837"/>
      <c r="BG1134" s="1837"/>
    </row>
    <row r="1135" spans="12:59">
      <c r="L1135" s="626">
        <v>27.06</v>
      </c>
      <c r="M1135" s="626" t="s">
        <v>78</v>
      </c>
      <c r="AB1135" s="626">
        <v>140.15</v>
      </c>
      <c r="AC1135" s="626" t="s">
        <v>63</v>
      </c>
      <c r="AP1135" s="1837"/>
      <c r="AQ1135" s="1837"/>
      <c r="BF1135" s="1837"/>
      <c r="BG1135" s="1837"/>
    </row>
    <row r="1136" spans="12:59">
      <c r="L1136" s="626">
        <v>37.020000000000003</v>
      </c>
      <c r="M1136" s="626" t="s">
        <v>78</v>
      </c>
      <c r="AB1136" s="626">
        <v>140.16</v>
      </c>
      <c r="AC1136" s="626" t="s">
        <v>63</v>
      </c>
      <c r="AP1136" s="1837"/>
      <c r="AQ1136" s="1837"/>
      <c r="BF1136" s="1837"/>
      <c r="BG1136" s="1837"/>
    </row>
    <row r="1137" spans="12:59">
      <c r="L1137" s="626">
        <v>37.03</v>
      </c>
      <c r="M1137" s="626" t="s">
        <v>78</v>
      </c>
      <c r="AB1137" s="626">
        <v>141</v>
      </c>
      <c r="AC1137" s="626" t="s">
        <v>85</v>
      </c>
      <c r="AP1137" s="1837"/>
      <c r="AQ1137" s="1837"/>
      <c r="BF1137" s="1837"/>
      <c r="BG1137" s="1837"/>
    </row>
    <row r="1138" spans="12:59">
      <c r="L1138" s="626">
        <v>37.04</v>
      </c>
      <c r="M1138" s="626" t="s">
        <v>78</v>
      </c>
      <c r="AB1138" s="626">
        <v>141.01</v>
      </c>
      <c r="AC1138" s="626" t="s">
        <v>49</v>
      </c>
      <c r="AP1138" s="1837"/>
      <c r="AQ1138" s="1837"/>
      <c r="BF1138" s="1837"/>
      <c r="BG1138" s="1837"/>
    </row>
    <row r="1139" spans="12:59">
      <c r="L1139" s="626">
        <v>37.049999999999997</v>
      </c>
      <c r="M1139" s="626" t="s">
        <v>78</v>
      </c>
      <c r="AB1139" s="626">
        <v>141.02000000000001</v>
      </c>
      <c r="AC1139" s="626" t="s">
        <v>49</v>
      </c>
      <c r="AP1139" s="1837"/>
      <c r="AQ1139" s="1837"/>
      <c r="BF1139" s="1837"/>
      <c r="BG1139" s="1837"/>
    </row>
    <row r="1140" spans="12:59">
      <c r="L1140" s="626">
        <v>37.07</v>
      </c>
      <c r="M1140" s="626" t="s">
        <v>78</v>
      </c>
      <c r="AB1140" s="626">
        <v>141.03</v>
      </c>
      <c r="AC1140" s="626" t="s">
        <v>91</v>
      </c>
      <c r="AP1140" s="1837"/>
      <c r="AQ1140" s="1837"/>
      <c r="BF1140" s="1837"/>
      <c r="BG1140" s="1837"/>
    </row>
    <row r="1141" spans="12:59">
      <c r="L1141" s="626">
        <v>38.01</v>
      </c>
      <c r="M1141" s="626" t="s">
        <v>78</v>
      </c>
      <c r="AB1141" s="626">
        <v>141.04</v>
      </c>
      <c r="AC1141" s="626" t="s">
        <v>91</v>
      </c>
      <c r="AP1141" s="1837"/>
      <c r="AQ1141" s="1837"/>
      <c r="BF1141" s="1837"/>
      <c r="BG1141" s="1837"/>
    </row>
    <row r="1142" spans="12:59">
      <c r="L1142" s="626">
        <v>38.03</v>
      </c>
      <c r="M1142" s="626" t="s">
        <v>78</v>
      </c>
      <c r="AB1142" s="626">
        <v>141.05000000000001</v>
      </c>
      <c r="AC1142" s="626" t="s">
        <v>91</v>
      </c>
      <c r="AP1142" s="1837"/>
      <c r="AQ1142" s="1837"/>
      <c r="BF1142" s="1837"/>
      <c r="BG1142" s="1837"/>
    </row>
    <row r="1143" spans="12:59">
      <c r="L1143" s="626">
        <v>38.04</v>
      </c>
      <c r="M1143" s="626" t="s">
        <v>78</v>
      </c>
      <c r="AB1143" s="626">
        <v>141.09</v>
      </c>
      <c r="AC1143" s="626" t="s">
        <v>63</v>
      </c>
      <c r="AP1143" s="1837"/>
      <c r="AQ1143" s="1837"/>
      <c r="BF1143" s="1837"/>
      <c r="BG1143" s="1837"/>
    </row>
    <row r="1144" spans="12:59">
      <c r="L1144" s="626">
        <v>39.06</v>
      </c>
      <c r="M1144" s="626" t="s">
        <v>78</v>
      </c>
      <c r="AB1144" s="626">
        <v>141.16999999999999</v>
      </c>
      <c r="AC1144" s="626" t="s">
        <v>63</v>
      </c>
      <c r="AP1144" s="1837"/>
      <c r="AQ1144" s="1837"/>
      <c r="BF1144" s="1837"/>
      <c r="BG1144" s="1837"/>
    </row>
    <row r="1145" spans="12:59">
      <c r="L1145" s="626">
        <v>39.119999999999997</v>
      </c>
      <c r="M1145" s="626" t="s">
        <v>78</v>
      </c>
      <c r="AB1145" s="626">
        <v>141.18</v>
      </c>
      <c r="AC1145" s="626" t="s">
        <v>63</v>
      </c>
      <c r="AP1145" s="1837"/>
      <c r="AQ1145" s="1837"/>
      <c r="BF1145" s="1837"/>
      <c r="BG1145" s="1837"/>
    </row>
    <row r="1146" spans="12:59">
      <c r="L1146" s="626">
        <v>39.130000000000003</v>
      </c>
      <c r="M1146" s="626" t="s">
        <v>78</v>
      </c>
      <c r="AB1146" s="626">
        <v>141.19</v>
      </c>
      <c r="AC1146" s="626" t="s">
        <v>63</v>
      </c>
      <c r="AP1146" s="1837"/>
      <c r="AQ1146" s="1837"/>
      <c r="BF1146" s="1837"/>
      <c r="BG1146" s="1837"/>
    </row>
    <row r="1147" spans="12:59">
      <c r="L1147" s="626">
        <v>39.14</v>
      </c>
      <c r="M1147" s="626" t="s">
        <v>78</v>
      </c>
      <c r="AB1147" s="626">
        <v>141.21</v>
      </c>
      <c r="AC1147" s="626" t="s">
        <v>63</v>
      </c>
      <c r="AP1147" s="1837"/>
      <c r="AQ1147" s="1837"/>
      <c r="BF1147" s="1837"/>
      <c r="BG1147" s="1837"/>
    </row>
    <row r="1148" spans="12:59">
      <c r="L1148" s="626">
        <v>39.15</v>
      </c>
      <c r="M1148" s="626" t="s">
        <v>78</v>
      </c>
      <c r="AB1148" s="626">
        <v>141.21</v>
      </c>
      <c r="AC1148" s="626" t="s">
        <v>91</v>
      </c>
      <c r="AP1148" s="1837"/>
      <c r="AQ1148" s="1837"/>
      <c r="BF1148" s="1837"/>
      <c r="BG1148" s="1837"/>
    </row>
    <row r="1149" spans="12:59">
      <c r="L1149" s="626">
        <v>39.17</v>
      </c>
      <c r="M1149" s="626" t="s">
        <v>78</v>
      </c>
      <c r="AB1149" s="626">
        <v>141.22</v>
      </c>
      <c r="AC1149" s="626" t="s">
        <v>63</v>
      </c>
      <c r="AP1149" s="1837"/>
      <c r="AQ1149" s="1837"/>
      <c r="BF1149" s="1837"/>
      <c r="BG1149" s="1837"/>
    </row>
    <row r="1150" spans="12:59">
      <c r="L1150" s="626">
        <v>39.18</v>
      </c>
      <c r="M1150" s="626" t="s">
        <v>78</v>
      </c>
      <c r="AB1150" s="626">
        <v>141.22999999999999</v>
      </c>
      <c r="AC1150" s="626" t="s">
        <v>91</v>
      </c>
      <c r="AP1150" s="1837"/>
      <c r="AQ1150" s="1837"/>
      <c r="BF1150" s="1837"/>
      <c r="BG1150" s="1837"/>
    </row>
    <row r="1151" spans="12:59">
      <c r="L1151" s="626">
        <v>39.19</v>
      </c>
      <c r="M1151" s="626" t="s">
        <v>78</v>
      </c>
      <c r="AB1151" s="626">
        <v>142</v>
      </c>
      <c r="AC1151" s="626" t="s">
        <v>78</v>
      </c>
      <c r="AP1151" s="1837"/>
      <c r="AQ1151" s="1837"/>
      <c r="BF1151" s="1837"/>
      <c r="BG1151" s="1837"/>
    </row>
    <row r="1152" spans="12:59">
      <c r="L1152" s="626">
        <v>39.21</v>
      </c>
      <c r="M1152" s="626" t="s">
        <v>78</v>
      </c>
      <c r="AB1152" s="626">
        <v>142.02000000000001</v>
      </c>
      <c r="AC1152" s="626" t="s">
        <v>49</v>
      </c>
      <c r="AP1152" s="1837"/>
      <c r="AQ1152" s="1837"/>
      <c r="BF1152" s="1837"/>
      <c r="BG1152" s="1837"/>
    </row>
    <row r="1153" spans="12:59">
      <c r="L1153" s="626">
        <v>39.22</v>
      </c>
      <c r="M1153" s="626" t="s">
        <v>78</v>
      </c>
      <c r="AB1153" s="626">
        <v>142.02000000000001</v>
      </c>
      <c r="AC1153" s="626" t="s">
        <v>91</v>
      </c>
      <c r="AP1153" s="1837"/>
      <c r="AQ1153" s="1837"/>
      <c r="BF1153" s="1837"/>
      <c r="BG1153" s="1837"/>
    </row>
    <row r="1154" spans="12:59">
      <c r="L1154" s="626">
        <v>40</v>
      </c>
      <c r="M1154" s="626" t="s">
        <v>78</v>
      </c>
      <c r="AB1154" s="626">
        <v>142.03</v>
      </c>
      <c r="AC1154" s="626" t="s">
        <v>49</v>
      </c>
      <c r="AP1154" s="1837"/>
      <c r="AQ1154" s="1837"/>
      <c r="BF1154" s="1837"/>
      <c r="BG1154" s="1837"/>
    </row>
    <row r="1155" spans="12:59">
      <c r="L1155" s="626">
        <v>41.02</v>
      </c>
      <c r="M1155" s="626" t="s">
        <v>78</v>
      </c>
      <c r="AB1155" s="626">
        <v>142.03</v>
      </c>
      <c r="AC1155" s="626" t="s">
        <v>91</v>
      </c>
      <c r="AP1155" s="1837"/>
      <c r="AQ1155" s="1837"/>
      <c r="BF1155" s="1837"/>
      <c r="BG1155" s="1837"/>
    </row>
    <row r="1156" spans="12:59">
      <c r="L1156" s="626">
        <v>41.03</v>
      </c>
      <c r="M1156" s="626" t="s">
        <v>78</v>
      </c>
      <c r="AB1156" s="626">
        <v>142.04</v>
      </c>
      <c r="AC1156" s="626" t="s">
        <v>49</v>
      </c>
      <c r="AP1156" s="1837"/>
      <c r="AQ1156" s="1837"/>
      <c r="BF1156" s="1837"/>
      <c r="BG1156" s="1837"/>
    </row>
    <row r="1157" spans="12:59">
      <c r="L1157" s="626">
        <v>41.05</v>
      </c>
      <c r="M1157" s="626" t="s">
        <v>78</v>
      </c>
      <c r="AB1157" s="626">
        <v>143</v>
      </c>
      <c r="AC1157" s="626" t="s">
        <v>78</v>
      </c>
      <c r="AP1157" s="1837"/>
      <c r="AQ1157" s="1837"/>
      <c r="BF1157" s="1837"/>
      <c r="BG1157" s="1837"/>
    </row>
    <row r="1158" spans="12:59">
      <c r="L1158" s="626">
        <v>41.06</v>
      </c>
      <c r="M1158" s="626" t="s">
        <v>78</v>
      </c>
      <c r="AB1158" s="626">
        <v>143.02000000000001</v>
      </c>
      <c r="AC1158" s="626" t="s">
        <v>91</v>
      </c>
      <c r="AP1158" s="1837"/>
      <c r="AQ1158" s="1837"/>
      <c r="BF1158" s="1837"/>
      <c r="BG1158" s="1837"/>
    </row>
    <row r="1159" spans="12:59">
      <c r="L1159" s="626">
        <v>42.03</v>
      </c>
      <c r="M1159" s="626" t="s">
        <v>78</v>
      </c>
      <c r="AB1159" s="626">
        <v>143.12</v>
      </c>
      <c r="AC1159" s="626" t="s">
        <v>49</v>
      </c>
      <c r="AP1159" s="1837"/>
      <c r="AQ1159" s="1837"/>
      <c r="BF1159" s="1837"/>
      <c r="BG1159" s="1837"/>
    </row>
    <row r="1160" spans="12:59">
      <c r="L1160" s="626">
        <v>42.04</v>
      </c>
      <c r="M1160" s="626" t="s">
        <v>78</v>
      </c>
      <c r="AB1160" s="626">
        <v>143.26</v>
      </c>
      <c r="AC1160" s="626" t="s">
        <v>49</v>
      </c>
      <c r="AP1160" s="1837"/>
      <c r="AQ1160" s="1837"/>
      <c r="BF1160" s="1837"/>
      <c r="BG1160" s="1837"/>
    </row>
    <row r="1161" spans="12:59">
      <c r="L1161" s="626">
        <v>42.05</v>
      </c>
      <c r="M1161" s="626" t="s">
        <v>78</v>
      </c>
      <c r="AB1161" s="626">
        <v>143.28</v>
      </c>
      <c r="AC1161" s="626" t="s">
        <v>49</v>
      </c>
      <c r="AP1161" s="1837"/>
      <c r="AQ1161" s="1837"/>
      <c r="BF1161" s="1837"/>
      <c r="BG1161" s="1837"/>
    </row>
    <row r="1162" spans="12:59">
      <c r="L1162" s="626">
        <v>43.01</v>
      </c>
      <c r="M1162" s="626" t="s">
        <v>78</v>
      </c>
      <c r="AB1162" s="626">
        <v>143.29</v>
      </c>
      <c r="AC1162" s="626" t="s">
        <v>49</v>
      </c>
      <c r="AP1162" s="1837"/>
      <c r="AQ1162" s="1837"/>
      <c r="BF1162" s="1837"/>
      <c r="BG1162" s="1837"/>
    </row>
    <row r="1163" spans="12:59">
      <c r="L1163" s="626">
        <v>43.03</v>
      </c>
      <c r="M1163" s="626" t="s">
        <v>78</v>
      </c>
      <c r="AB1163" s="626">
        <v>143.30000000000001</v>
      </c>
      <c r="AC1163" s="626" t="s">
        <v>49</v>
      </c>
      <c r="AP1163" s="1837"/>
      <c r="AQ1163" s="1837"/>
      <c r="BF1163" s="1837"/>
      <c r="BG1163" s="1837"/>
    </row>
    <row r="1164" spans="12:59">
      <c r="L1164" s="626">
        <v>43.04</v>
      </c>
      <c r="M1164" s="626" t="s">
        <v>78</v>
      </c>
      <c r="AB1164" s="626">
        <v>143.31</v>
      </c>
      <c r="AC1164" s="626" t="s">
        <v>49</v>
      </c>
      <c r="AP1164" s="1837"/>
      <c r="AQ1164" s="1837"/>
      <c r="BF1164" s="1837"/>
      <c r="BG1164" s="1837"/>
    </row>
    <row r="1165" spans="12:59">
      <c r="L1165" s="626">
        <v>44.03</v>
      </c>
      <c r="M1165" s="626" t="s">
        <v>78</v>
      </c>
      <c r="AB1165" s="626">
        <v>143.32</v>
      </c>
      <c r="AC1165" s="626" t="s">
        <v>49</v>
      </c>
      <c r="AP1165" s="1837"/>
      <c r="AQ1165" s="1837"/>
      <c r="BF1165" s="1837"/>
      <c r="BG1165" s="1837"/>
    </row>
    <row r="1166" spans="12:59">
      <c r="L1166" s="626">
        <v>44.04</v>
      </c>
      <c r="M1166" s="626" t="s">
        <v>78</v>
      </c>
      <c r="AB1166" s="626">
        <v>143.33000000000001</v>
      </c>
      <c r="AC1166" s="626" t="s">
        <v>49</v>
      </c>
      <c r="AP1166" s="1837"/>
      <c r="AQ1166" s="1837"/>
      <c r="BF1166" s="1837"/>
      <c r="BG1166" s="1837"/>
    </row>
    <row r="1167" spans="12:59">
      <c r="L1167" s="626">
        <v>44.05</v>
      </c>
      <c r="M1167" s="626" t="s">
        <v>78</v>
      </c>
      <c r="AB1167" s="626">
        <v>143.34</v>
      </c>
      <c r="AC1167" s="626" t="s">
        <v>49</v>
      </c>
      <c r="AP1167" s="1837"/>
      <c r="AQ1167" s="1837"/>
      <c r="BF1167" s="1837"/>
      <c r="BG1167" s="1837"/>
    </row>
    <row r="1168" spans="12:59">
      <c r="L1168" s="626">
        <v>44.06</v>
      </c>
      <c r="M1168" s="626" t="s">
        <v>78</v>
      </c>
      <c r="AB1168" s="626">
        <v>143.35</v>
      </c>
      <c r="AC1168" s="626" t="s">
        <v>49</v>
      </c>
      <c r="AP1168" s="1837"/>
      <c r="AQ1168" s="1837"/>
      <c r="BF1168" s="1837"/>
      <c r="BG1168" s="1837"/>
    </row>
    <row r="1169" spans="12:59">
      <c r="L1169" s="626">
        <v>45</v>
      </c>
      <c r="M1169" s="626" t="s">
        <v>78</v>
      </c>
      <c r="AB1169" s="626">
        <v>143.36000000000001</v>
      </c>
      <c r="AC1169" s="626" t="s">
        <v>49</v>
      </c>
      <c r="AP1169" s="1837"/>
      <c r="AQ1169" s="1837"/>
      <c r="BF1169" s="1837"/>
      <c r="BG1169" s="1837"/>
    </row>
    <row r="1170" spans="12:59">
      <c r="L1170" s="626">
        <v>46.02</v>
      </c>
      <c r="M1170" s="626" t="s">
        <v>78</v>
      </c>
      <c r="AB1170" s="626">
        <v>143.37</v>
      </c>
      <c r="AC1170" s="626" t="s">
        <v>49</v>
      </c>
      <c r="AP1170" s="1837"/>
      <c r="AQ1170" s="1837"/>
      <c r="BF1170" s="1837"/>
      <c r="BG1170" s="1837"/>
    </row>
    <row r="1171" spans="12:59">
      <c r="L1171" s="626">
        <v>46.05</v>
      </c>
      <c r="M1171" s="626" t="s">
        <v>78</v>
      </c>
      <c r="AB1171" s="626">
        <v>143.38</v>
      </c>
      <c r="AC1171" s="626" t="s">
        <v>49</v>
      </c>
      <c r="AP1171" s="1837"/>
      <c r="AQ1171" s="1837"/>
      <c r="BF1171" s="1837"/>
      <c r="BG1171" s="1837"/>
    </row>
    <row r="1172" spans="12:59">
      <c r="L1172" s="626">
        <v>46.07</v>
      </c>
      <c r="M1172" s="626" t="s">
        <v>78</v>
      </c>
      <c r="AB1172" s="626">
        <v>144</v>
      </c>
      <c r="AC1172" s="626" t="s">
        <v>78</v>
      </c>
      <c r="AP1172" s="1837"/>
      <c r="AQ1172" s="1837"/>
      <c r="BF1172" s="1837"/>
      <c r="BG1172" s="1837"/>
    </row>
    <row r="1173" spans="12:59">
      <c r="L1173" s="626">
        <v>46.08</v>
      </c>
      <c r="M1173" s="626" t="s">
        <v>78</v>
      </c>
      <c r="AB1173" s="626">
        <v>144</v>
      </c>
      <c r="AC1173" s="626" t="s">
        <v>85</v>
      </c>
      <c r="AP1173" s="1837"/>
      <c r="AQ1173" s="1837"/>
      <c r="BF1173" s="1837"/>
      <c r="BG1173" s="1837"/>
    </row>
    <row r="1174" spans="12:59">
      <c r="L1174" s="626">
        <v>47.01</v>
      </c>
      <c r="M1174" s="626" t="s">
        <v>78</v>
      </c>
      <c r="AB1174" s="626">
        <v>144</v>
      </c>
      <c r="AC1174" s="626" t="s">
        <v>91</v>
      </c>
      <c r="AP1174" s="1837"/>
      <c r="AQ1174" s="1837"/>
      <c r="BF1174" s="1837"/>
      <c r="BG1174" s="1837"/>
    </row>
    <row r="1175" spans="12:59">
      <c r="L1175" s="626">
        <v>47.02</v>
      </c>
      <c r="M1175" s="626" t="s">
        <v>78</v>
      </c>
      <c r="AB1175" s="626">
        <v>144.01</v>
      </c>
      <c r="AC1175" s="626" t="s">
        <v>49</v>
      </c>
      <c r="AP1175" s="1837"/>
      <c r="AQ1175" s="1837"/>
      <c r="BF1175" s="1837"/>
      <c r="BG1175" s="1837"/>
    </row>
    <row r="1176" spans="12:59">
      <c r="L1176" s="626">
        <v>47.03</v>
      </c>
      <c r="M1176" s="626" t="s">
        <v>78</v>
      </c>
      <c r="AB1176" s="626">
        <v>144.04</v>
      </c>
      <c r="AC1176" s="626" t="s">
        <v>49</v>
      </c>
      <c r="AP1176" s="1837"/>
      <c r="AQ1176" s="1837"/>
      <c r="BF1176" s="1837"/>
      <c r="BG1176" s="1837"/>
    </row>
    <row r="1177" spans="12:59">
      <c r="L1177" s="626">
        <v>56</v>
      </c>
      <c r="M1177" s="626" t="s">
        <v>78</v>
      </c>
      <c r="AB1177" s="626">
        <v>144.06</v>
      </c>
      <c r="AC1177" s="626" t="s">
        <v>49</v>
      </c>
      <c r="AP1177" s="1837"/>
      <c r="AQ1177" s="1837"/>
      <c r="BF1177" s="1837"/>
      <c r="BG1177" s="1837"/>
    </row>
    <row r="1178" spans="12:59">
      <c r="L1178" s="626">
        <v>59.01</v>
      </c>
      <c r="M1178" s="626" t="s">
        <v>78</v>
      </c>
      <c r="AB1178" s="626">
        <v>144.08000000000001</v>
      </c>
      <c r="AC1178" s="626" t="s">
        <v>49</v>
      </c>
      <c r="AP1178" s="1837"/>
      <c r="AQ1178" s="1837"/>
      <c r="BF1178" s="1837"/>
      <c r="BG1178" s="1837"/>
    </row>
    <row r="1179" spans="12:59">
      <c r="L1179" s="626">
        <v>59.02</v>
      </c>
      <c r="M1179" s="626" t="s">
        <v>78</v>
      </c>
      <c r="AB1179" s="626">
        <v>144.09</v>
      </c>
      <c r="AC1179" s="626" t="s">
        <v>49</v>
      </c>
      <c r="AP1179" s="1837"/>
      <c r="AQ1179" s="1837"/>
      <c r="BF1179" s="1837"/>
      <c r="BG1179" s="1837"/>
    </row>
    <row r="1180" spans="12:59">
      <c r="L1180" s="626">
        <v>59.04</v>
      </c>
      <c r="M1180" s="626" t="s">
        <v>78</v>
      </c>
      <c r="AB1180" s="626">
        <v>144.1</v>
      </c>
      <c r="AC1180" s="626" t="s">
        <v>49</v>
      </c>
      <c r="AP1180" s="1837"/>
      <c r="AQ1180" s="1837"/>
      <c r="BF1180" s="1837"/>
      <c r="BG1180" s="1837"/>
    </row>
    <row r="1181" spans="12:59">
      <c r="L1181" s="626">
        <v>60.01</v>
      </c>
      <c r="M1181" s="626" t="s">
        <v>78</v>
      </c>
      <c r="AB1181" s="626">
        <v>144.11000000000001</v>
      </c>
      <c r="AC1181" s="626" t="s">
        <v>49</v>
      </c>
      <c r="AP1181" s="1837"/>
      <c r="AQ1181" s="1837"/>
      <c r="BF1181" s="1837"/>
      <c r="BG1181" s="1837"/>
    </row>
    <row r="1182" spans="12:59">
      <c r="L1182" s="626">
        <v>60.02</v>
      </c>
      <c r="M1182" s="626" t="s">
        <v>78</v>
      </c>
      <c r="AB1182" s="626">
        <v>144.12</v>
      </c>
      <c r="AC1182" s="626" t="s">
        <v>49</v>
      </c>
      <c r="AP1182" s="1837"/>
      <c r="AQ1182" s="1837"/>
      <c r="BF1182" s="1837"/>
      <c r="BG1182" s="1837"/>
    </row>
    <row r="1183" spans="12:59">
      <c r="L1183" s="626">
        <v>61.01</v>
      </c>
      <c r="M1183" s="626" t="s">
        <v>78</v>
      </c>
      <c r="AB1183" s="626">
        <v>144.13</v>
      </c>
      <c r="AC1183" s="626" t="s">
        <v>49</v>
      </c>
      <c r="AP1183" s="1837"/>
      <c r="AQ1183" s="1837"/>
      <c r="BF1183" s="1837"/>
      <c r="BG1183" s="1837"/>
    </row>
    <row r="1184" spans="12:59">
      <c r="L1184" s="626">
        <v>61.02</v>
      </c>
      <c r="M1184" s="626" t="s">
        <v>78</v>
      </c>
      <c r="AB1184" s="626">
        <v>145.01</v>
      </c>
      <c r="AC1184" s="626" t="s">
        <v>91</v>
      </c>
      <c r="AP1184" s="1837"/>
      <c r="AQ1184" s="1837"/>
      <c r="BF1184" s="1837"/>
      <c r="BG1184" s="1837"/>
    </row>
    <row r="1185" spans="12:59">
      <c r="L1185" s="626">
        <v>62.01</v>
      </c>
      <c r="M1185" s="626" t="s">
        <v>78</v>
      </c>
      <c r="AB1185" s="626">
        <v>145.04</v>
      </c>
      <c r="AC1185" s="626" t="s">
        <v>85</v>
      </c>
      <c r="AP1185" s="1837"/>
      <c r="AQ1185" s="1837"/>
      <c r="BF1185" s="1837"/>
      <c r="BG1185" s="1837"/>
    </row>
    <row r="1186" spans="12:59">
      <c r="L1186" s="626">
        <v>62.03</v>
      </c>
      <c r="M1186" s="626" t="s">
        <v>78</v>
      </c>
      <c r="AB1186" s="626">
        <v>146.01</v>
      </c>
      <c r="AC1186" s="626" t="s">
        <v>49</v>
      </c>
      <c r="AP1186" s="1837"/>
      <c r="AQ1186" s="1837"/>
      <c r="BF1186" s="1837"/>
      <c r="BG1186" s="1837"/>
    </row>
    <row r="1187" spans="12:59">
      <c r="L1187" s="626">
        <v>62.05</v>
      </c>
      <c r="M1187" s="626" t="s">
        <v>78</v>
      </c>
      <c r="AB1187" s="626">
        <v>146.03</v>
      </c>
      <c r="AC1187" s="626" t="s">
        <v>49</v>
      </c>
      <c r="AP1187" s="1837"/>
      <c r="AQ1187" s="1837"/>
      <c r="BF1187" s="1837"/>
      <c r="BG1187" s="1837"/>
    </row>
    <row r="1188" spans="12:59">
      <c r="L1188" s="626">
        <v>62.06</v>
      </c>
      <c r="M1188" s="626" t="s">
        <v>78</v>
      </c>
      <c r="AB1188" s="626">
        <v>146.06</v>
      </c>
      <c r="AC1188" s="626" t="s">
        <v>85</v>
      </c>
      <c r="AP1188" s="1837"/>
      <c r="AQ1188" s="1837"/>
      <c r="BF1188" s="1837"/>
      <c r="BG1188" s="1837"/>
    </row>
    <row r="1189" spans="12:59">
      <c r="L1189" s="626">
        <v>63.02</v>
      </c>
      <c r="M1189" s="626" t="s">
        <v>78</v>
      </c>
      <c r="AB1189" s="626">
        <v>146.07</v>
      </c>
      <c r="AC1189" s="626" t="s">
        <v>85</v>
      </c>
      <c r="AP1189" s="1837"/>
      <c r="AQ1189" s="1837"/>
      <c r="BF1189" s="1837"/>
      <c r="BG1189" s="1837"/>
    </row>
    <row r="1190" spans="12:59">
      <c r="L1190" s="626">
        <v>65.010000000000005</v>
      </c>
      <c r="M1190" s="626" t="s">
        <v>78</v>
      </c>
      <c r="AB1190" s="626">
        <v>147</v>
      </c>
      <c r="AC1190" s="626" t="s">
        <v>78</v>
      </c>
      <c r="AP1190" s="1837"/>
      <c r="AQ1190" s="1837"/>
      <c r="BF1190" s="1837"/>
      <c r="BG1190" s="1837"/>
    </row>
    <row r="1191" spans="12:59">
      <c r="L1191" s="626">
        <v>65.03</v>
      </c>
      <c r="M1191" s="626" t="s">
        <v>78</v>
      </c>
      <c r="AB1191" s="626">
        <v>147.01</v>
      </c>
      <c r="AC1191" s="626" t="s">
        <v>49</v>
      </c>
      <c r="AP1191" s="1837"/>
      <c r="AQ1191" s="1837"/>
      <c r="BF1191" s="1837"/>
      <c r="BG1191" s="1837"/>
    </row>
    <row r="1192" spans="12:59">
      <c r="L1192" s="626">
        <v>65.040000000000006</v>
      </c>
      <c r="M1192" s="626" t="s">
        <v>78</v>
      </c>
      <c r="AB1192" s="626">
        <v>147.01</v>
      </c>
      <c r="AC1192" s="626" t="s">
        <v>91</v>
      </c>
      <c r="AP1192" s="1837"/>
      <c r="AQ1192" s="1837"/>
      <c r="BF1192" s="1837"/>
      <c r="BG1192" s="1837"/>
    </row>
    <row r="1193" spans="12:59">
      <c r="L1193" s="626">
        <v>66.010000000000005</v>
      </c>
      <c r="M1193" s="626" t="s">
        <v>78</v>
      </c>
      <c r="AB1193" s="626">
        <v>147.02000000000001</v>
      </c>
      <c r="AC1193" s="626" t="s">
        <v>49</v>
      </c>
      <c r="AP1193" s="1837"/>
      <c r="AQ1193" s="1837"/>
      <c r="BF1193" s="1837"/>
      <c r="BG1193" s="1837"/>
    </row>
    <row r="1194" spans="12:59">
      <c r="L1194" s="626">
        <v>66.02</v>
      </c>
      <c r="M1194" s="626" t="s">
        <v>78</v>
      </c>
      <c r="AB1194" s="626">
        <v>147.02000000000001</v>
      </c>
      <c r="AC1194" s="626" t="s">
        <v>85</v>
      </c>
      <c r="AP1194" s="1837"/>
      <c r="AQ1194" s="1837"/>
      <c r="BF1194" s="1837"/>
      <c r="BG1194" s="1837"/>
    </row>
    <row r="1195" spans="12:59">
      <c r="L1195" s="626">
        <v>67.02</v>
      </c>
      <c r="M1195" s="626" t="s">
        <v>78</v>
      </c>
      <c r="AB1195" s="626">
        <v>147.02000000000001</v>
      </c>
      <c r="AC1195" s="626" t="s">
        <v>91</v>
      </c>
      <c r="AP1195" s="1837"/>
      <c r="AQ1195" s="1837"/>
      <c r="BF1195" s="1837"/>
      <c r="BG1195" s="1837"/>
    </row>
    <row r="1196" spans="12:59">
      <c r="L1196" s="626">
        <v>67.05</v>
      </c>
      <c r="M1196" s="626" t="s">
        <v>78</v>
      </c>
      <c r="AB1196" s="626">
        <v>147.03</v>
      </c>
      <c r="AC1196" s="626" t="s">
        <v>85</v>
      </c>
      <c r="AP1196" s="1837"/>
      <c r="AQ1196" s="1837"/>
      <c r="BF1196" s="1837"/>
      <c r="BG1196" s="1837"/>
    </row>
    <row r="1197" spans="12:59">
      <c r="L1197" s="626">
        <v>67.06</v>
      </c>
      <c r="M1197" s="626" t="s">
        <v>78</v>
      </c>
      <c r="AB1197" s="626">
        <v>147.04</v>
      </c>
      <c r="AC1197" s="626" t="s">
        <v>85</v>
      </c>
      <c r="AP1197" s="1837"/>
      <c r="AQ1197" s="1837"/>
      <c r="BF1197" s="1837"/>
      <c r="BG1197" s="1837"/>
    </row>
    <row r="1198" spans="12:59">
      <c r="L1198" s="626">
        <v>67.069999999999993</v>
      </c>
      <c r="M1198" s="626" t="s">
        <v>78</v>
      </c>
      <c r="AB1198" s="626">
        <v>148.02000000000001</v>
      </c>
      <c r="AC1198" s="626" t="s">
        <v>91</v>
      </c>
      <c r="AP1198" s="1837"/>
      <c r="AQ1198" s="1837"/>
      <c r="BF1198" s="1837"/>
      <c r="BG1198" s="1837"/>
    </row>
    <row r="1199" spans="12:59">
      <c r="L1199" s="626">
        <v>67.09</v>
      </c>
      <c r="M1199" s="626" t="s">
        <v>78</v>
      </c>
      <c r="AB1199" s="626">
        <v>148.03</v>
      </c>
      <c r="AC1199" s="626" t="s">
        <v>91</v>
      </c>
      <c r="AP1199" s="1837"/>
      <c r="AQ1199" s="1837"/>
      <c r="BF1199" s="1837"/>
      <c r="BG1199" s="1837"/>
    </row>
    <row r="1200" spans="12:59">
      <c r="L1200" s="626">
        <v>67.11</v>
      </c>
      <c r="M1200" s="626" t="s">
        <v>78</v>
      </c>
      <c r="AB1200" s="626">
        <v>148.04</v>
      </c>
      <c r="AC1200" s="626" t="s">
        <v>91</v>
      </c>
      <c r="AP1200" s="1837"/>
      <c r="AQ1200" s="1837"/>
      <c r="BF1200" s="1837"/>
      <c r="BG1200" s="1837"/>
    </row>
    <row r="1201" spans="12:59">
      <c r="L1201" s="626">
        <v>67.13</v>
      </c>
      <c r="M1201" s="626" t="s">
        <v>78</v>
      </c>
      <c r="AB1201" s="626">
        <v>148.06</v>
      </c>
      <c r="AC1201" s="626" t="s">
        <v>85</v>
      </c>
      <c r="AP1201" s="1837"/>
      <c r="AQ1201" s="1837"/>
      <c r="BF1201" s="1837"/>
      <c r="BG1201" s="1837"/>
    </row>
    <row r="1202" spans="12:59">
      <c r="L1202" s="626">
        <v>67.14</v>
      </c>
      <c r="M1202" s="626" t="s">
        <v>78</v>
      </c>
      <c r="AB1202" s="626">
        <v>148.07</v>
      </c>
      <c r="AC1202" s="626" t="s">
        <v>85</v>
      </c>
      <c r="AP1202" s="1837"/>
      <c r="AQ1202" s="1837"/>
      <c r="BF1202" s="1837"/>
      <c r="BG1202" s="1837"/>
    </row>
    <row r="1203" spans="12:59">
      <c r="L1203" s="626">
        <v>68.010000000000005</v>
      </c>
      <c r="M1203" s="626" t="s">
        <v>78</v>
      </c>
      <c r="AB1203" s="626">
        <v>148.08000000000001</v>
      </c>
      <c r="AC1203" s="626" t="s">
        <v>85</v>
      </c>
      <c r="AP1203" s="1837"/>
      <c r="AQ1203" s="1837"/>
      <c r="BF1203" s="1837"/>
      <c r="BG1203" s="1837"/>
    </row>
    <row r="1204" spans="12:59">
      <c r="L1204" s="626">
        <v>68.02</v>
      </c>
      <c r="M1204" s="626" t="s">
        <v>78</v>
      </c>
      <c r="AB1204" s="626">
        <v>148.09</v>
      </c>
      <c r="AC1204" s="626" t="s">
        <v>85</v>
      </c>
      <c r="AP1204" s="1837"/>
      <c r="AQ1204" s="1837"/>
      <c r="BF1204" s="1837"/>
      <c r="BG1204" s="1837"/>
    </row>
    <row r="1205" spans="12:59">
      <c r="L1205" s="626">
        <v>69</v>
      </c>
      <c r="M1205" s="626" t="s">
        <v>78</v>
      </c>
      <c r="AB1205" s="626">
        <v>148.1</v>
      </c>
      <c r="AC1205" s="626" t="s">
        <v>85</v>
      </c>
      <c r="AP1205" s="1837"/>
      <c r="AQ1205" s="1837"/>
      <c r="BF1205" s="1837"/>
      <c r="BG1205" s="1837"/>
    </row>
    <row r="1206" spans="12:59">
      <c r="L1206" s="626">
        <v>70.010000000000005</v>
      </c>
      <c r="M1206" s="626" t="s">
        <v>78</v>
      </c>
      <c r="AB1206" s="626">
        <v>148.11000000000001</v>
      </c>
      <c r="AC1206" s="626" t="s">
        <v>85</v>
      </c>
      <c r="AP1206" s="1837"/>
      <c r="AQ1206" s="1837"/>
      <c r="BF1206" s="1837"/>
      <c r="BG1206" s="1837"/>
    </row>
    <row r="1207" spans="12:59">
      <c r="L1207" s="626">
        <v>71.010000000000005</v>
      </c>
      <c r="M1207" s="626" t="s">
        <v>78</v>
      </c>
      <c r="AB1207" s="626">
        <v>148.12</v>
      </c>
      <c r="AC1207" s="626" t="s">
        <v>85</v>
      </c>
      <c r="AP1207" s="1837"/>
      <c r="AQ1207" s="1837"/>
      <c r="BF1207" s="1837"/>
      <c r="BG1207" s="1837"/>
    </row>
    <row r="1208" spans="12:59">
      <c r="L1208" s="626">
        <v>71.03</v>
      </c>
      <c r="M1208" s="626" t="s">
        <v>78</v>
      </c>
      <c r="AB1208" s="626">
        <v>148.13</v>
      </c>
      <c r="AC1208" s="626" t="s">
        <v>85</v>
      </c>
      <c r="AP1208" s="1837"/>
      <c r="AQ1208" s="1837"/>
      <c r="BF1208" s="1837"/>
      <c r="BG1208" s="1837"/>
    </row>
    <row r="1209" spans="12:59">
      <c r="L1209" s="626">
        <v>71.040000000000006</v>
      </c>
      <c r="M1209" s="626" t="s">
        <v>78</v>
      </c>
      <c r="AB1209" s="626">
        <v>149</v>
      </c>
      <c r="AC1209" s="626" t="s">
        <v>78</v>
      </c>
      <c r="AP1209" s="1837"/>
      <c r="AQ1209" s="1837"/>
      <c r="BF1209" s="1837"/>
      <c r="BG1209" s="1837"/>
    </row>
    <row r="1210" spans="12:59">
      <c r="L1210" s="626">
        <v>73</v>
      </c>
      <c r="M1210" s="626" t="s">
        <v>78</v>
      </c>
      <c r="AB1210" s="626">
        <v>149.01</v>
      </c>
      <c r="AC1210" s="626" t="s">
        <v>91</v>
      </c>
      <c r="AP1210" s="1837"/>
      <c r="AQ1210" s="1837"/>
      <c r="BF1210" s="1837"/>
      <c r="BG1210" s="1837"/>
    </row>
    <row r="1211" spans="12:59">
      <c r="L1211" s="626">
        <v>74</v>
      </c>
      <c r="M1211" s="626" t="s">
        <v>78</v>
      </c>
      <c r="AB1211" s="626">
        <v>149.06</v>
      </c>
      <c r="AC1211" s="626" t="s">
        <v>85</v>
      </c>
      <c r="AP1211" s="1837"/>
      <c r="AQ1211" s="1837"/>
      <c r="BF1211" s="1837"/>
      <c r="BG1211" s="1837"/>
    </row>
    <row r="1212" spans="12:59">
      <c r="L1212" s="626">
        <v>75.010000000000005</v>
      </c>
      <c r="M1212" s="626" t="s">
        <v>78</v>
      </c>
      <c r="AB1212" s="626">
        <v>150.02000000000001</v>
      </c>
      <c r="AC1212" s="626" t="s">
        <v>49</v>
      </c>
      <c r="AP1212" s="1837"/>
      <c r="AQ1212" s="1837"/>
      <c r="BF1212" s="1837"/>
      <c r="BG1212" s="1837"/>
    </row>
    <row r="1213" spans="12:59">
      <c r="L1213" s="626">
        <v>75.03</v>
      </c>
      <c r="M1213" s="626" t="s">
        <v>78</v>
      </c>
      <c r="AB1213" s="626">
        <v>150.02000000000001</v>
      </c>
      <c r="AC1213" s="626" t="s">
        <v>85</v>
      </c>
      <c r="AP1213" s="1837"/>
      <c r="AQ1213" s="1837"/>
      <c r="BF1213" s="1837"/>
      <c r="BG1213" s="1837"/>
    </row>
    <row r="1214" spans="12:59">
      <c r="L1214" s="626">
        <v>76.010000000000005</v>
      </c>
      <c r="M1214" s="626" t="s">
        <v>78</v>
      </c>
      <c r="AB1214" s="626">
        <v>150.04</v>
      </c>
      <c r="AC1214" s="626" t="s">
        <v>85</v>
      </c>
      <c r="AP1214" s="1837"/>
      <c r="AQ1214" s="1837"/>
      <c r="BF1214" s="1837"/>
      <c r="BG1214" s="1837"/>
    </row>
    <row r="1215" spans="12:59">
      <c r="L1215" s="626">
        <v>76.040000000000006</v>
      </c>
      <c r="M1215" s="626" t="s">
        <v>78</v>
      </c>
      <c r="AB1215" s="626">
        <v>151</v>
      </c>
      <c r="AC1215" s="626" t="s">
        <v>78</v>
      </c>
      <c r="AP1215" s="1837"/>
      <c r="AQ1215" s="1837"/>
      <c r="BF1215" s="1837"/>
      <c r="BG1215" s="1837"/>
    </row>
    <row r="1216" spans="12:59">
      <c r="L1216" s="626">
        <v>76.05</v>
      </c>
      <c r="M1216" s="626" t="s">
        <v>78</v>
      </c>
      <c r="AB1216" s="626">
        <v>151.01</v>
      </c>
      <c r="AC1216" s="626" t="s">
        <v>91</v>
      </c>
      <c r="AP1216" s="1837"/>
      <c r="AQ1216" s="1837"/>
      <c r="BF1216" s="1837"/>
      <c r="BG1216" s="1837"/>
    </row>
    <row r="1217" spans="12:59">
      <c r="L1217" s="626">
        <v>76.06</v>
      </c>
      <c r="M1217" s="626" t="s">
        <v>78</v>
      </c>
      <c r="AB1217" s="626">
        <v>151.02000000000001</v>
      </c>
      <c r="AC1217" s="626" t="s">
        <v>91</v>
      </c>
      <c r="AP1217" s="1837"/>
      <c r="AQ1217" s="1837"/>
      <c r="BF1217" s="1837"/>
      <c r="BG1217" s="1837"/>
    </row>
    <row r="1218" spans="12:59">
      <c r="L1218" s="626">
        <v>77.010000000000005</v>
      </c>
      <c r="M1218" s="626" t="s">
        <v>78</v>
      </c>
      <c r="AB1218" s="626">
        <v>151.03</v>
      </c>
      <c r="AC1218" s="626" t="s">
        <v>85</v>
      </c>
      <c r="AP1218" s="1837"/>
      <c r="AQ1218" s="1837"/>
      <c r="BF1218" s="1837"/>
      <c r="BG1218" s="1837"/>
    </row>
    <row r="1219" spans="12:59">
      <c r="L1219" s="626">
        <v>77.02</v>
      </c>
      <c r="M1219" s="626" t="s">
        <v>78</v>
      </c>
      <c r="AB1219" s="626">
        <v>152</v>
      </c>
      <c r="AC1219" s="626" t="s">
        <v>78</v>
      </c>
      <c r="AP1219" s="1837"/>
      <c r="AQ1219" s="1837"/>
      <c r="BF1219" s="1837"/>
      <c r="BG1219" s="1837"/>
    </row>
    <row r="1220" spans="12:59">
      <c r="L1220" s="626">
        <v>77.040000000000006</v>
      </c>
      <c r="M1220" s="626" t="s">
        <v>78</v>
      </c>
      <c r="AB1220" s="626">
        <v>152.01</v>
      </c>
      <c r="AC1220" s="626" t="s">
        <v>85</v>
      </c>
      <c r="AP1220" s="1837"/>
      <c r="AQ1220" s="1837"/>
      <c r="BF1220" s="1837"/>
      <c r="BG1220" s="1837"/>
    </row>
    <row r="1221" spans="12:59">
      <c r="L1221" s="626">
        <v>77.05</v>
      </c>
      <c r="M1221" s="626" t="s">
        <v>78</v>
      </c>
      <c r="AB1221" s="626">
        <v>153</v>
      </c>
      <c r="AC1221" s="626" t="s">
        <v>78</v>
      </c>
      <c r="AP1221" s="1837"/>
      <c r="AQ1221" s="1837"/>
      <c r="BF1221" s="1837"/>
      <c r="BG1221" s="1837"/>
    </row>
    <row r="1222" spans="12:59">
      <c r="L1222" s="626">
        <v>78.010000000000005</v>
      </c>
      <c r="M1222" s="626" t="s">
        <v>78</v>
      </c>
      <c r="AB1222" s="626">
        <v>153</v>
      </c>
      <c r="AC1222" s="626" t="s">
        <v>85</v>
      </c>
      <c r="AP1222" s="1837"/>
      <c r="AQ1222" s="1837"/>
      <c r="BF1222" s="1837"/>
      <c r="BG1222" s="1837"/>
    </row>
    <row r="1223" spans="12:59">
      <c r="L1223" s="626">
        <v>78.040000000000006</v>
      </c>
      <c r="M1223" s="626" t="s">
        <v>78</v>
      </c>
      <c r="AB1223" s="626">
        <v>154</v>
      </c>
      <c r="AC1223" s="626" t="s">
        <v>78</v>
      </c>
      <c r="AP1223" s="1837"/>
      <c r="AQ1223" s="1837"/>
      <c r="BF1223" s="1837"/>
      <c r="BG1223" s="1837"/>
    </row>
    <row r="1224" spans="12:59">
      <c r="L1224" s="626">
        <v>78.05</v>
      </c>
      <c r="M1224" s="626" t="s">
        <v>78</v>
      </c>
      <c r="AB1224" s="626">
        <v>154.02000000000001</v>
      </c>
      <c r="AC1224" s="626" t="s">
        <v>85</v>
      </c>
      <c r="AP1224" s="1837"/>
      <c r="AQ1224" s="1837"/>
      <c r="BF1224" s="1837"/>
      <c r="BG1224" s="1837"/>
    </row>
    <row r="1225" spans="12:59">
      <c r="L1225" s="626">
        <v>78.06</v>
      </c>
      <c r="M1225" s="626" t="s">
        <v>78</v>
      </c>
      <c r="AB1225" s="626">
        <v>154.04</v>
      </c>
      <c r="AC1225" s="626" t="s">
        <v>91</v>
      </c>
      <c r="AP1225" s="1837"/>
      <c r="AQ1225" s="1837"/>
      <c r="BF1225" s="1837"/>
      <c r="BG1225" s="1837"/>
    </row>
    <row r="1226" spans="12:59">
      <c r="L1226" s="626">
        <v>78.069999999999993</v>
      </c>
      <c r="M1226" s="626" t="s">
        <v>78</v>
      </c>
      <c r="AB1226" s="626">
        <v>155</v>
      </c>
      <c r="AC1226" s="626" t="s">
        <v>78</v>
      </c>
      <c r="AP1226" s="1837"/>
      <c r="AQ1226" s="1837"/>
      <c r="BF1226" s="1837"/>
      <c r="BG1226" s="1837"/>
    </row>
    <row r="1227" spans="12:59">
      <c r="L1227" s="626">
        <v>79.010000000000005</v>
      </c>
      <c r="M1227" s="626" t="s">
        <v>78</v>
      </c>
      <c r="AB1227" s="626">
        <v>155.01</v>
      </c>
      <c r="AC1227" s="626" t="s">
        <v>85</v>
      </c>
      <c r="AP1227" s="1837"/>
      <c r="AQ1227" s="1837"/>
      <c r="BF1227" s="1837"/>
      <c r="BG1227" s="1837"/>
    </row>
    <row r="1228" spans="12:59">
      <c r="L1228" s="626">
        <v>79.02</v>
      </c>
      <c r="M1228" s="626" t="s">
        <v>78</v>
      </c>
      <c r="AB1228" s="626">
        <v>156</v>
      </c>
      <c r="AC1228" s="626" t="s">
        <v>49</v>
      </c>
      <c r="AP1228" s="1837"/>
      <c r="AQ1228" s="1837"/>
      <c r="BF1228" s="1837"/>
      <c r="BG1228" s="1837"/>
    </row>
    <row r="1229" spans="12:59">
      <c r="L1229" s="626">
        <v>80</v>
      </c>
      <c r="M1229" s="626" t="s">
        <v>78</v>
      </c>
      <c r="AB1229" s="626">
        <v>156</v>
      </c>
      <c r="AC1229" s="626" t="s">
        <v>78</v>
      </c>
      <c r="AP1229" s="1837"/>
      <c r="AQ1229" s="1837"/>
      <c r="BF1229" s="1837"/>
      <c r="BG1229" s="1837"/>
    </row>
    <row r="1230" spans="12:59">
      <c r="L1230" s="626">
        <v>81.010000000000005</v>
      </c>
      <c r="M1230" s="626" t="s">
        <v>78</v>
      </c>
      <c r="AB1230" s="626">
        <v>156.01</v>
      </c>
      <c r="AC1230" s="626" t="s">
        <v>85</v>
      </c>
      <c r="AP1230" s="1837"/>
      <c r="AQ1230" s="1837"/>
      <c r="BF1230" s="1837"/>
      <c r="BG1230" s="1837"/>
    </row>
    <row r="1231" spans="12:59">
      <c r="L1231" s="626">
        <v>81.02</v>
      </c>
      <c r="M1231" s="626" t="s">
        <v>78</v>
      </c>
      <c r="AB1231" s="626">
        <v>156.02000000000001</v>
      </c>
      <c r="AC1231" s="626" t="s">
        <v>85</v>
      </c>
      <c r="AP1231" s="1837"/>
      <c r="AQ1231" s="1837"/>
      <c r="BF1231" s="1837"/>
      <c r="BG1231" s="1837"/>
    </row>
    <row r="1232" spans="12:59">
      <c r="L1232" s="626">
        <v>82.02</v>
      </c>
      <c r="M1232" s="626" t="s">
        <v>78</v>
      </c>
      <c r="AB1232" s="626">
        <v>157</v>
      </c>
      <c r="AC1232" s="626" t="s">
        <v>78</v>
      </c>
      <c r="AP1232" s="1837"/>
      <c r="AQ1232" s="1837"/>
      <c r="BF1232" s="1837"/>
      <c r="BG1232" s="1837"/>
    </row>
    <row r="1233" spans="12:59">
      <c r="L1233" s="626">
        <v>82.05</v>
      </c>
      <c r="M1233" s="626" t="s">
        <v>78</v>
      </c>
      <c r="AB1233" s="626">
        <v>157.01</v>
      </c>
      <c r="AC1233" s="626" t="s">
        <v>85</v>
      </c>
      <c r="AP1233" s="1837"/>
      <c r="AQ1233" s="1837"/>
      <c r="BF1233" s="1837"/>
      <c r="BG1233" s="1837"/>
    </row>
    <row r="1234" spans="12:59">
      <c r="L1234" s="626">
        <v>82.06</v>
      </c>
      <c r="M1234" s="626" t="s">
        <v>78</v>
      </c>
      <c r="AB1234" s="626">
        <v>157.02000000000001</v>
      </c>
      <c r="AC1234" s="626" t="s">
        <v>85</v>
      </c>
      <c r="AP1234" s="1837"/>
      <c r="AQ1234" s="1837"/>
      <c r="BF1234" s="1837"/>
      <c r="BG1234" s="1837"/>
    </row>
    <row r="1235" spans="12:59">
      <c r="L1235" s="626">
        <v>82.07</v>
      </c>
      <c r="M1235" s="626" t="s">
        <v>78</v>
      </c>
      <c r="AB1235" s="626">
        <v>158.01</v>
      </c>
      <c r="AC1235" s="626" t="s">
        <v>85</v>
      </c>
      <c r="AP1235" s="1837"/>
      <c r="AQ1235" s="1837"/>
      <c r="BF1235" s="1837"/>
      <c r="BG1235" s="1837"/>
    </row>
    <row r="1236" spans="12:59">
      <c r="L1236" s="626">
        <v>82.08</v>
      </c>
      <c r="M1236" s="626" t="s">
        <v>78</v>
      </c>
      <c r="AB1236" s="626">
        <v>158.02000000000001</v>
      </c>
      <c r="AC1236" s="626" t="s">
        <v>85</v>
      </c>
      <c r="AP1236" s="1837"/>
      <c r="AQ1236" s="1837"/>
      <c r="BF1236" s="1837"/>
      <c r="BG1236" s="1837"/>
    </row>
    <row r="1237" spans="12:59">
      <c r="L1237" s="626">
        <v>82.09</v>
      </c>
      <c r="M1237" s="626" t="s">
        <v>78</v>
      </c>
      <c r="AB1237" s="626">
        <v>159</v>
      </c>
      <c r="AC1237" s="626" t="s">
        <v>78</v>
      </c>
      <c r="AP1237" s="1837"/>
      <c r="AQ1237" s="1837"/>
      <c r="BF1237" s="1837"/>
      <c r="BG1237" s="1837"/>
    </row>
    <row r="1238" spans="12:59">
      <c r="L1238" s="626">
        <v>83.05</v>
      </c>
      <c r="M1238" s="626" t="s">
        <v>78</v>
      </c>
      <c r="AB1238" s="626">
        <v>159</v>
      </c>
      <c r="AC1238" s="626" t="s">
        <v>91</v>
      </c>
      <c r="AP1238" s="1837"/>
      <c r="AQ1238" s="1837"/>
      <c r="BF1238" s="1837"/>
      <c r="BG1238" s="1837"/>
    </row>
    <row r="1239" spans="12:59">
      <c r="L1239" s="626">
        <v>83.08</v>
      </c>
      <c r="M1239" s="626" t="s">
        <v>78</v>
      </c>
      <c r="AB1239" s="626">
        <v>159.02000000000001</v>
      </c>
      <c r="AC1239" s="626" t="s">
        <v>85</v>
      </c>
      <c r="AP1239" s="1837"/>
      <c r="AQ1239" s="1837"/>
      <c r="BF1239" s="1837"/>
      <c r="BG1239" s="1837"/>
    </row>
    <row r="1240" spans="12:59">
      <c r="L1240" s="626">
        <v>84.05</v>
      </c>
      <c r="M1240" s="626" t="s">
        <v>78</v>
      </c>
      <c r="AB1240" s="626">
        <v>159.22</v>
      </c>
      <c r="AC1240" s="626" t="s">
        <v>49</v>
      </c>
      <c r="AP1240" s="1837"/>
      <c r="AQ1240" s="1837"/>
      <c r="BF1240" s="1837"/>
      <c r="BG1240" s="1837"/>
    </row>
    <row r="1241" spans="12:59">
      <c r="L1241" s="626">
        <v>84.07</v>
      </c>
      <c r="M1241" s="626" t="s">
        <v>78</v>
      </c>
      <c r="AB1241" s="626">
        <v>159.22999999999999</v>
      </c>
      <c r="AC1241" s="626" t="s">
        <v>49</v>
      </c>
      <c r="AP1241" s="1837"/>
      <c r="AQ1241" s="1837"/>
      <c r="BF1241" s="1837"/>
      <c r="BG1241" s="1837"/>
    </row>
    <row r="1242" spans="12:59">
      <c r="L1242" s="626">
        <v>84.09</v>
      </c>
      <c r="M1242" s="626" t="s">
        <v>78</v>
      </c>
      <c r="AB1242" s="626">
        <v>159.24</v>
      </c>
      <c r="AC1242" s="626" t="s">
        <v>49</v>
      </c>
      <c r="AP1242" s="1837"/>
      <c r="AQ1242" s="1837"/>
      <c r="BF1242" s="1837"/>
      <c r="BG1242" s="1837"/>
    </row>
    <row r="1243" spans="12:59">
      <c r="L1243" s="626">
        <v>84.1</v>
      </c>
      <c r="M1243" s="626" t="s">
        <v>78</v>
      </c>
      <c r="AB1243" s="626">
        <v>159.25</v>
      </c>
      <c r="AC1243" s="626" t="s">
        <v>49</v>
      </c>
      <c r="AP1243" s="1837"/>
      <c r="AQ1243" s="1837"/>
      <c r="BF1243" s="1837"/>
      <c r="BG1243" s="1837"/>
    </row>
    <row r="1244" spans="12:59">
      <c r="L1244" s="626">
        <v>84.12</v>
      </c>
      <c r="M1244" s="626" t="s">
        <v>78</v>
      </c>
      <c r="AB1244" s="626">
        <v>159.26</v>
      </c>
      <c r="AC1244" s="626" t="s">
        <v>49</v>
      </c>
      <c r="AP1244" s="1837"/>
      <c r="AQ1244" s="1837"/>
      <c r="BF1244" s="1837"/>
      <c r="BG1244" s="1837"/>
    </row>
    <row r="1245" spans="12:59">
      <c r="L1245" s="626">
        <v>84.14</v>
      </c>
      <c r="M1245" s="626" t="s">
        <v>78</v>
      </c>
      <c r="AB1245" s="626">
        <v>160</v>
      </c>
      <c r="AC1245" s="626" t="s">
        <v>78</v>
      </c>
      <c r="AP1245" s="1837"/>
      <c r="AQ1245" s="1837"/>
      <c r="BF1245" s="1837"/>
      <c r="BG1245" s="1837"/>
    </row>
    <row r="1246" spans="12:59">
      <c r="L1246" s="626">
        <v>84.15</v>
      </c>
      <c r="M1246" s="626" t="s">
        <v>78</v>
      </c>
      <c r="AB1246" s="626">
        <v>160.01</v>
      </c>
      <c r="AC1246" s="626" t="s">
        <v>85</v>
      </c>
      <c r="AP1246" s="1837"/>
      <c r="AQ1246" s="1837"/>
      <c r="BF1246" s="1837"/>
      <c r="BG1246" s="1837"/>
    </row>
    <row r="1247" spans="12:59">
      <c r="L1247" s="626">
        <v>84.16</v>
      </c>
      <c r="M1247" s="626" t="s">
        <v>78</v>
      </c>
      <c r="AB1247" s="626">
        <v>160.02000000000001</v>
      </c>
      <c r="AC1247" s="626" t="s">
        <v>85</v>
      </c>
      <c r="AP1247" s="1837"/>
      <c r="AQ1247" s="1837"/>
      <c r="BF1247" s="1837"/>
      <c r="BG1247" s="1837"/>
    </row>
    <row r="1248" spans="12:59">
      <c r="L1248" s="626">
        <v>84.17</v>
      </c>
      <c r="M1248" s="626" t="s">
        <v>78</v>
      </c>
      <c r="AB1248" s="626">
        <v>161</v>
      </c>
      <c r="AC1248" s="626" t="s">
        <v>78</v>
      </c>
      <c r="AP1248" s="1837"/>
      <c r="AQ1248" s="1837"/>
      <c r="BF1248" s="1837"/>
      <c r="BG1248" s="1837"/>
    </row>
    <row r="1249" spans="12:59">
      <c r="L1249" s="626">
        <v>84.18</v>
      </c>
      <c r="M1249" s="626" t="s">
        <v>78</v>
      </c>
      <c r="AB1249" s="626">
        <v>161</v>
      </c>
      <c r="AC1249" s="626" t="s">
        <v>85</v>
      </c>
      <c r="AP1249" s="1837"/>
      <c r="AQ1249" s="1837"/>
      <c r="BF1249" s="1837"/>
      <c r="BG1249" s="1837"/>
    </row>
    <row r="1250" spans="12:59">
      <c r="L1250" s="626">
        <v>84.19</v>
      </c>
      <c r="M1250" s="626" t="s">
        <v>78</v>
      </c>
      <c r="AB1250" s="626">
        <v>162</v>
      </c>
      <c r="AC1250" s="626" t="s">
        <v>78</v>
      </c>
      <c r="AP1250" s="1837"/>
      <c r="AQ1250" s="1837"/>
      <c r="BF1250" s="1837"/>
      <c r="BG1250" s="1837"/>
    </row>
    <row r="1251" spans="12:59">
      <c r="L1251" s="626">
        <v>85.01</v>
      </c>
      <c r="M1251" s="626" t="s">
        <v>78</v>
      </c>
      <c r="AB1251" s="626">
        <v>162</v>
      </c>
      <c r="AC1251" s="626" t="s">
        <v>85</v>
      </c>
      <c r="AP1251" s="1837"/>
      <c r="AQ1251" s="1837"/>
      <c r="BF1251" s="1837"/>
      <c r="BG1251" s="1837"/>
    </row>
    <row r="1252" spans="12:59">
      <c r="L1252" s="626">
        <v>85.02</v>
      </c>
      <c r="M1252" s="626" t="s">
        <v>78</v>
      </c>
      <c r="AB1252" s="626">
        <v>163</v>
      </c>
      <c r="AC1252" s="626" t="s">
        <v>78</v>
      </c>
      <c r="AP1252" s="1837"/>
      <c r="AQ1252" s="1837"/>
      <c r="BF1252" s="1837"/>
      <c r="BG1252" s="1837"/>
    </row>
    <row r="1253" spans="12:59">
      <c r="L1253" s="626">
        <v>86.01</v>
      </c>
      <c r="M1253" s="626" t="s">
        <v>78</v>
      </c>
      <c r="AB1253" s="626">
        <v>163.01</v>
      </c>
      <c r="AC1253" s="626" t="s">
        <v>85</v>
      </c>
      <c r="AP1253" s="1837"/>
      <c r="AQ1253" s="1837"/>
      <c r="BF1253" s="1837"/>
      <c r="BG1253" s="1837"/>
    </row>
    <row r="1254" spans="12:59">
      <c r="L1254" s="626">
        <v>86.02</v>
      </c>
      <c r="M1254" s="626" t="s">
        <v>78</v>
      </c>
      <c r="AB1254" s="626">
        <v>164</v>
      </c>
      <c r="AC1254" s="626" t="s">
        <v>49</v>
      </c>
      <c r="AP1254" s="1837"/>
      <c r="AQ1254" s="1837"/>
      <c r="BF1254" s="1837"/>
      <c r="BG1254" s="1837"/>
    </row>
    <row r="1255" spans="12:59">
      <c r="L1255" s="626">
        <v>87.01</v>
      </c>
      <c r="M1255" s="626" t="s">
        <v>78</v>
      </c>
      <c r="AB1255" s="626">
        <v>164</v>
      </c>
      <c r="AC1255" s="626" t="s">
        <v>78</v>
      </c>
      <c r="AP1255" s="1837"/>
      <c r="AQ1255" s="1837"/>
      <c r="BF1255" s="1837"/>
      <c r="BG1255" s="1837"/>
    </row>
    <row r="1256" spans="12:59">
      <c r="L1256" s="626">
        <v>87.02</v>
      </c>
      <c r="M1256" s="626" t="s">
        <v>78</v>
      </c>
      <c r="AB1256" s="626">
        <v>164.02</v>
      </c>
      <c r="AC1256" s="626" t="s">
        <v>85</v>
      </c>
      <c r="AP1256" s="1837"/>
      <c r="AQ1256" s="1837"/>
      <c r="BF1256" s="1837"/>
      <c r="BG1256" s="1837"/>
    </row>
    <row r="1257" spans="12:59">
      <c r="L1257" s="626">
        <v>88.03</v>
      </c>
      <c r="M1257" s="626" t="s">
        <v>78</v>
      </c>
      <c r="AB1257" s="626">
        <v>164.07</v>
      </c>
      <c r="AC1257" s="626" t="s">
        <v>85</v>
      </c>
      <c r="AP1257" s="1837"/>
      <c r="AQ1257" s="1837"/>
      <c r="BF1257" s="1837"/>
      <c r="BG1257" s="1837"/>
    </row>
    <row r="1258" spans="12:59">
      <c r="L1258" s="626">
        <v>88.04</v>
      </c>
      <c r="M1258" s="626" t="s">
        <v>78</v>
      </c>
      <c r="AB1258" s="626">
        <v>164.08</v>
      </c>
      <c r="AC1258" s="626" t="s">
        <v>85</v>
      </c>
      <c r="AP1258" s="1837"/>
      <c r="AQ1258" s="1837"/>
      <c r="BF1258" s="1837"/>
      <c r="BG1258" s="1837"/>
    </row>
    <row r="1259" spans="12:59">
      <c r="L1259" s="626">
        <v>89.01</v>
      </c>
      <c r="M1259" s="626" t="s">
        <v>78</v>
      </c>
      <c r="AB1259" s="626">
        <v>164.09</v>
      </c>
      <c r="AC1259" s="626" t="s">
        <v>85</v>
      </c>
      <c r="AP1259" s="1837"/>
      <c r="AQ1259" s="1837"/>
      <c r="BF1259" s="1837"/>
      <c r="BG1259" s="1837"/>
    </row>
    <row r="1260" spans="12:59">
      <c r="L1260" s="626">
        <v>89.02</v>
      </c>
      <c r="M1260" s="626" t="s">
        <v>78</v>
      </c>
      <c r="AB1260" s="626">
        <v>164.1</v>
      </c>
      <c r="AC1260" s="626" t="s">
        <v>85</v>
      </c>
      <c r="AP1260" s="1837"/>
      <c r="AQ1260" s="1837"/>
      <c r="BF1260" s="1837"/>
      <c r="BG1260" s="1837"/>
    </row>
    <row r="1261" spans="12:59">
      <c r="L1261" s="626">
        <v>89.06</v>
      </c>
      <c r="M1261" s="626" t="s">
        <v>78</v>
      </c>
      <c r="AB1261" s="626">
        <v>164.11</v>
      </c>
      <c r="AC1261" s="626" t="s">
        <v>85</v>
      </c>
      <c r="AP1261" s="1837"/>
      <c r="AQ1261" s="1837"/>
      <c r="BF1261" s="1837"/>
      <c r="BG1261" s="1837"/>
    </row>
    <row r="1262" spans="12:59">
      <c r="L1262" s="626">
        <v>89.07</v>
      </c>
      <c r="M1262" s="626" t="s">
        <v>78</v>
      </c>
      <c r="AB1262" s="626">
        <v>164.12</v>
      </c>
      <c r="AC1262" s="626" t="s">
        <v>85</v>
      </c>
      <c r="AP1262" s="1837"/>
      <c r="AQ1262" s="1837"/>
      <c r="BF1262" s="1837"/>
      <c r="BG1262" s="1837"/>
    </row>
    <row r="1263" spans="12:59">
      <c r="L1263" s="626">
        <v>90.06</v>
      </c>
      <c r="M1263" s="626" t="s">
        <v>78</v>
      </c>
      <c r="AB1263" s="626">
        <v>165</v>
      </c>
      <c r="AC1263" s="626" t="s">
        <v>49</v>
      </c>
      <c r="AP1263" s="1837"/>
      <c r="AQ1263" s="1837"/>
      <c r="BF1263" s="1837"/>
      <c r="BG1263" s="1837"/>
    </row>
    <row r="1264" spans="12:59">
      <c r="L1264" s="626">
        <v>90.1</v>
      </c>
      <c r="M1264" s="626" t="s">
        <v>78</v>
      </c>
      <c r="AB1264" s="626">
        <v>165</v>
      </c>
      <c r="AC1264" s="626" t="s">
        <v>78</v>
      </c>
      <c r="AP1264" s="1837"/>
      <c r="AQ1264" s="1837"/>
      <c r="BF1264" s="1837"/>
      <c r="BG1264" s="1837"/>
    </row>
    <row r="1265" spans="12:59">
      <c r="L1265" s="626">
        <v>90.14</v>
      </c>
      <c r="M1265" s="626" t="s">
        <v>78</v>
      </c>
      <c r="AB1265" s="626">
        <v>165.03</v>
      </c>
      <c r="AC1265" s="626" t="s">
        <v>85</v>
      </c>
      <c r="AP1265" s="1837"/>
      <c r="AQ1265" s="1837"/>
      <c r="BF1265" s="1837"/>
      <c r="BG1265" s="1837"/>
    </row>
    <row r="1266" spans="12:59">
      <c r="L1266" s="626">
        <v>90.15</v>
      </c>
      <c r="M1266" s="626" t="s">
        <v>78</v>
      </c>
      <c r="AB1266" s="626">
        <v>165.04</v>
      </c>
      <c r="AC1266" s="626" t="s">
        <v>85</v>
      </c>
      <c r="AP1266" s="1837"/>
      <c r="AQ1266" s="1837"/>
      <c r="BF1266" s="1837"/>
      <c r="BG1266" s="1837"/>
    </row>
    <row r="1267" spans="12:59">
      <c r="L1267" s="626">
        <v>90.19</v>
      </c>
      <c r="M1267" s="626" t="s">
        <v>78</v>
      </c>
      <c r="AB1267" s="626">
        <v>165.05</v>
      </c>
      <c r="AC1267" s="626" t="s">
        <v>85</v>
      </c>
      <c r="AP1267" s="1837"/>
      <c r="AQ1267" s="1837"/>
      <c r="BF1267" s="1837"/>
      <c r="BG1267" s="1837"/>
    </row>
    <row r="1268" spans="12:59">
      <c r="L1268" s="626">
        <v>90.23</v>
      </c>
      <c r="M1268" s="626" t="s">
        <v>78</v>
      </c>
      <c r="AB1268" s="626">
        <v>165.07</v>
      </c>
      <c r="AC1268" s="626" t="s">
        <v>85</v>
      </c>
      <c r="AP1268" s="1837"/>
      <c r="AQ1268" s="1837"/>
      <c r="BF1268" s="1837"/>
      <c r="BG1268" s="1837"/>
    </row>
    <row r="1269" spans="12:59">
      <c r="L1269" s="626">
        <v>90.24</v>
      </c>
      <c r="M1269" s="626" t="s">
        <v>78</v>
      </c>
      <c r="AB1269" s="626">
        <v>165.11</v>
      </c>
      <c r="AC1269" s="626" t="s">
        <v>85</v>
      </c>
      <c r="AP1269" s="1837"/>
      <c r="AQ1269" s="1837"/>
      <c r="BF1269" s="1837"/>
      <c r="BG1269" s="1837"/>
    </row>
    <row r="1270" spans="12:59">
      <c r="L1270" s="626">
        <v>90.28</v>
      </c>
      <c r="M1270" s="626" t="s">
        <v>78</v>
      </c>
      <c r="AB1270" s="626">
        <v>166</v>
      </c>
      <c r="AC1270" s="626" t="s">
        <v>78</v>
      </c>
      <c r="AP1270" s="1837"/>
      <c r="AQ1270" s="1837"/>
      <c r="BF1270" s="1837"/>
      <c r="BG1270" s="1837"/>
    </row>
    <row r="1271" spans="12:59">
      <c r="L1271" s="626">
        <v>90.29</v>
      </c>
      <c r="M1271" s="626" t="s">
        <v>78</v>
      </c>
      <c r="AB1271" s="626">
        <v>166.01</v>
      </c>
      <c r="AC1271" s="626" t="s">
        <v>85</v>
      </c>
      <c r="AP1271" s="1837"/>
      <c r="AQ1271" s="1837"/>
      <c r="BF1271" s="1837"/>
      <c r="BG1271" s="1837"/>
    </row>
    <row r="1272" spans="12:59">
      <c r="L1272" s="626">
        <v>90.3</v>
      </c>
      <c r="M1272" s="626" t="s">
        <v>78</v>
      </c>
      <c r="AB1272" s="626">
        <v>166.02</v>
      </c>
      <c r="AC1272" s="626" t="s">
        <v>85</v>
      </c>
      <c r="AP1272" s="1837"/>
      <c r="AQ1272" s="1837"/>
      <c r="BF1272" s="1837"/>
      <c r="BG1272" s="1837"/>
    </row>
    <row r="1273" spans="12:59">
      <c r="L1273" s="626">
        <v>90.31</v>
      </c>
      <c r="M1273" s="626" t="s">
        <v>78</v>
      </c>
      <c r="AB1273" s="626">
        <v>166.03</v>
      </c>
      <c r="AC1273" s="626" t="s">
        <v>49</v>
      </c>
      <c r="AP1273" s="1837"/>
      <c r="AQ1273" s="1837"/>
      <c r="BF1273" s="1837"/>
      <c r="BG1273" s="1837"/>
    </row>
    <row r="1274" spans="12:59">
      <c r="L1274" s="626">
        <v>90.34</v>
      </c>
      <c r="M1274" s="626" t="s">
        <v>78</v>
      </c>
      <c r="AB1274" s="626">
        <v>166.04</v>
      </c>
      <c r="AC1274" s="626" t="s">
        <v>49</v>
      </c>
      <c r="AP1274" s="1837"/>
      <c r="AQ1274" s="1837"/>
      <c r="BF1274" s="1837"/>
      <c r="BG1274" s="1837"/>
    </row>
    <row r="1275" spans="12:59">
      <c r="L1275" s="626">
        <v>90.35</v>
      </c>
      <c r="M1275" s="626" t="s">
        <v>78</v>
      </c>
      <c r="AB1275" s="626">
        <v>167.04</v>
      </c>
      <c r="AC1275" s="626" t="s">
        <v>85</v>
      </c>
      <c r="AP1275" s="1837"/>
      <c r="AQ1275" s="1837"/>
      <c r="BF1275" s="1837"/>
      <c r="BG1275" s="1837"/>
    </row>
    <row r="1276" spans="12:59">
      <c r="L1276" s="626">
        <v>90.36</v>
      </c>
      <c r="M1276" s="626" t="s">
        <v>78</v>
      </c>
      <c r="AB1276" s="626">
        <v>167.1</v>
      </c>
      <c r="AC1276" s="626" t="s">
        <v>85</v>
      </c>
      <c r="AP1276" s="1837"/>
      <c r="AQ1276" s="1837"/>
      <c r="BF1276" s="1837"/>
      <c r="BG1276" s="1837"/>
    </row>
    <row r="1277" spans="12:59">
      <c r="L1277" s="626">
        <v>90.38</v>
      </c>
      <c r="M1277" s="626" t="s">
        <v>78</v>
      </c>
      <c r="AB1277" s="626">
        <v>167.11</v>
      </c>
      <c r="AC1277" s="626" t="s">
        <v>49</v>
      </c>
      <c r="AP1277" s="1837"/>
      <c r="AQ1277" s="1837"/>
      <c r="BF1277" s="1837"/>
      <c r="BG1277" s="1837"/>
    </row>
    <row r="1278" spans="12:59">
      <c r="L1278" s="626">
        <v>90.39</v>
      </c>
      <c r="M1278" s="626" t="s">
        <v>78</v>
      </c>
      <c r="AB1278" s="626">
        <v>167.14</v>
      </c>
      <c r="AC1278" s="626" t="s">
        <v>85</v>
      </c>
      <c r="AP1278" s="1837"/>
      <c r="AQ1278" s="1837"/>
      <c r="BF1278" s="1837"/>
      <c r="BG1278" s="1837"/>
    </row>
    <row r="1279" spans="12:59">
      <c r="L1279" s="626">
        <v>90.4</v>
      </c>
      <c r="M1279" s="626" t="s">
        <v>78</v>
      </c>
      <c r="AB1279" s="626">
        <v>167.16</v>
      </c>
      <c r="AC1279" s="626" t="s">
        <v>85</v>
      </c>
      <c r="AP1279" s="1837"/>
      <c r="AQ1279" s="1837"/>
      <c r="BF1279" s="1837"/>
      <c r="BG1279" s="1837"/>
    </row>
    <row r="1280" spans="12:59">
      <c r="L1280" s="626">
        <v>90.43</v>
      </c>
      <c r="M1280" s="626" t="s">
        <v>78</v>
      </c>
      <c r="AB1280" s="626">
        <v>167.17</v>
      </c>
      <c r="AC1280" s="626" t="s">
        <v>85</v>
      </c>
      <c r="AP1280" s="1837"/>
      <c r="AQ1280" s="1837"/>
      <c r="BF1280" s="1837"/>
      <c r="BG1280" s="1837"/>
    </row>
    <row r="1281" spans="12:59">
      <c r="L1281" s="626">
        <v>90.44</v>
      </c>
      <c r="M1281" s="626" t="s">
        <v>78</v>
      </c>
      <c r="AB1281" s="626">
        <v>167.22</v>
      </c>
      <c r="AC1281" s="626" t="s">
        <v>49</v>
      </c>
      <c r="AP1281" s="1837"/>
      <c r="AQ1281" s="1837"/>
      <c r="BF1281" s="1837"/>
      <c r="BG1281" s="1837"/>
    </row>
    <row r="1282" spans="12:59">
      <c r="L1282" s="626">
        <v>90.46</v>
      </c>
      <c r="M1282" s="626" t="s">
        <v>78</v>
      </c>
      <c r="AB1282" s="626">
        <v>167.23</v>
      </c>
      <c r="AC1282" s="626" t="s">
        <v>85</v>
      </c>
      <c r="AP1282" s="1837"/>
      <c r="AQ1282" s="1837"/>
      <c r="BF1282" s="1837"/>
      <c r="BG1282" s="1837"/>
    </row>
    <row r="1283" spans="12:59">
      <c r="L1283" s="626">
        <v>90.47</v>
      </c>
      <c r="M1283" s="626" t="s">
        <v>78</v>
      </c>
      <c r="AB1283" s="626">
        <v>167.25</v>
      </c>
      <c r="AC1283" s="626" t="s">
        <v>49</v>
      </c>
      <c r="AP1283" s="1837"/>
      <c r="AQ1283" s="1837"/>
      <c r="BF1283" s="1837"/>
      <c r="BG1283" s="1837"/>
    </row>
    <row r="1284" spans="12:59">
      <c r="L1284" s="626">
        <v>92</v>
      </c>
      <c r="M1284" s="626" t="s">
        <v>78</v>
      </c>
      <c r="AB1284" s="626">
        <v>167.26</v>
      </c>
      <c r="AC1284" s="626" t="s">
        <v>49</v>
      </c>
      <c r="AP1284" s="1837"/>
      <c r="AQ1284" s="1837"/>
      <c r="BF1284" s="1837"/>
      <c r="BG1284" s="1837"/>
    </row>
    <row r="1285" spans="12:59">
      <c r="L1285" s="626">
        <v>93.05</v>
      </c>
      <c r="M1285" s="626" t="s">
        <v>78</v>
      </c>
      <c r="AB1285" s="626">
        <v>167.27</v>
      </c>
      <c r="AC1285" s="626" t="s">
        <v>85</v>
      </c>
      <c r="AP1285" s="1837"/>
      <c r="AQ1285" s="1837"/>
      <c r="BF1285" s="1837"/>
      <c r="BG1285" s="1837"/>
    </row>
    <row r="1286" spans="12:59">
      <c r="L1286" s="626">
        <v>93.12</v>
      </c>
      <c r="M1286" s="626" t="s">
        <v>78</v>
      </c>
      <c r="AB1286" s="626">
        <v>167.28</v>
      </c>
      <c r="AC1286" s="626" t="s">
        <v>49</v>
      </c>
      <c r="AP1286" s="1837"/>
      <c r="AQ1286" s="1837"/>
      <c r="BF1286" s="1837"/>
      <c r="BG1286" s="1837"/>
    </row>
    <row r="1287" spans="12:59">
      <c r="L1287" s="626">
        <v>93.13</v>
      </c>
      <c r="M1287" s="626" t="s">
        <v>78</v>
      </c>
      <c r="AB1287" s="626">
        <v>167.28</v>
      </c>
      <c r="AC1287" s="626" t="s">
        <v>85</v>
      </c>
      <c r="AP1287" s="1837"/>
      <c r="AQ1287" s="1837"/>
      <c r="BF1287" s="1837"/>
      <c r="BG1287" s="1837"/>
    </row>
    <row r="1288" spans="12:59">
      <c r="L1288" s="626">
        <v>97.03</v>
      </c>
      <c r="M1288" s="626" t="s">
        <v>78</v>
      </c>
      <c r="AB1288" s="626">
        <v>167.29</v>
      </c>
      <c r="AC1288" s="626" t="s">
        <v>49</v>
      </c>
      <c r="AP1288" s="1837"/>
      <c r="AQ1288" s="1837"/>
      <c r="BF1288" s="1837"/>
      <c r="BG1288" s="1837"/>
    </row>
    <row r="1289" spans="12:59">
      <c r="L1289" s="626">
        <v>97.04</v>
      </c>
      <c r="M1289" s="626" t="s">
        <v>78</v>
      </c>
      <c r="AB1289" s="626">
        <v>167.3</v>
      </c>
      <c r="AC1289" s="626" t="s">
        <v>85</v>
      </c>
      <c r="AP1289" s="1837"/>
      <c r="AQ1289" s="1837"/>
      <c r="BF1289" s="1837"/>
      <c r="BG1289" s="1837"/>
    </row>
    <row r="1290" spans="12:59">
      <c r="L1290" s="626">
        <v>97.05</v>
      </c>
      <c r="M1290" s="626" t="s">
        <v>78</v>
      </c>
      <c r="AB1290" s="626">
        <v>167.31</v>
      </c>
      <c r="AC1290" s="626" t="s">
        <v>85</v>
      </c>
      <c r="AP1290" s="1837"/>
      <c r="AQ1290" s="1837"/>
      <c r="BF1290" s="1837"/>
      <c r="BG1290" s="1837"/>
    </row>
    <row r="1291" spans="12:59">
      <c r="L1291" s="626">
        <v>97.06</v>
      </c>
      <c r="M1291" s="626" t="s">
        <v>78</v>
      </c>
      <c r="AB1291" s="626">
        <v>167.32</v>
      </c>
      <c r="AC1291" s="626" t="s">
        <v>85</v>
      </c>
      <c r="AP1291" s="1837"/>
      <c r="AQ1291" s="1837"/>
      <c r="BF1291" s="1837"/>
      <c r="BG1291" s="1837"/>
    </row>
    <row r="1292" spans="12:59">
      <c r="L1292" s="626">
        <v>98.03</v>
      </c>
      <c r="M1292" s="626" t="s">
        <v>78</v>
      </c>
      <c r="AB1292" s="626">
        <v>167.33</v>
      </c>
      <c r="AC1292" s="626" t="s">
        <v>85</v>
      </c>
      <c r="AP1292" s="1837"/>
      <c r="AQ1292" s="1837"/>
      <c r="BF1292" s="1837"/>
      <c r="BG1292" s="1837"/>
    </row>
    <row r="1293" spans="12:59">
      <c r="L1293" s="626">
        <v>98.04</v>
      </c>
      <c r="M1293" s="626" t="s">
        <v>78</v>
      </c>
      <c r="AB1293" s="626">
        <v>167.34</v>
      </c>
      <c r="AC1293" s="626" t="s">
        <v>85</v>
      </c>
      <c r="AP1293" s="1837"/>
      <c r="AQ1293" s="1837"/>
      <c r="BF1293" s="1837"/>
      <c r="BG1293" s="1837"/>
    </row>
    <row r="1294" spans="12:59">
      <c r="L1294" s="626">
        <v>98.07</v>
      </c>
      <c r="M1294" s="626" t="s">
        <v>78</v>
      </c>
      <c r="AB1294" s="626">
        <v>168</v>
      </c>
      <c r="AC1294" s="626" t="s">
        <v>78</v>
      </c>
      <c r="AP1294" s="1837"/>
      <c r="AQ1294" s="1837"/>
      <c r="BF1294" s="1837"/>
      <c r="BG1294" s="1837"/>
    </row>
    <row r="1295" spans="12:59">
      <c r="L1295" s="626">
        <v>99.01</v>
      </c>
      <c r="M1295" s="626" t="s">
        <v>78</v>
      </c>
      <c r="AB1295" s="626">
        <v>168.01</v>
      </c>
      <c r="AC1295" s="626" t="s">
        <v>49</v>
      </c>
      <c r="AP1295" s="1837"/>
      <c r="AQ1295" s="1837"/>
      <c r="BF1295" s="1837"/>
      <c r="BG1295" s="1837"/>
    </row>
    <row r="1296" spans="12:59">
      <c r="L1296" s="626">
        <v>99.03</v>
      </c>
      <c r="M1296" s="626" t="s">
        <v>78</v>
      </c>
      <c r="AB1296" s="626">
        <v>168.02</v>
      </c>
      <c r="AC1296" s="626" t="s">
        <v>85</v>
      </c>
      <c r="AP1296" s="1837"/>
      <c r="AQ1296" s="1837"/>
      <c r="BF1296" s="1837"/>
      <c r="BG1296" s="1837"/>
    </row>
    <row r="1297" spans="12:59">
      <c r="L1297" s="626">
        <v>100.09</v>
      </c>
      <c r="M1297" s="626" t="s">
        <v>78</v>
      </c>
      <c r="AB1297" s="626">
        <v>168.03</v>
      </c>
      <c r="AC1297" s="626" t="s">
        <v>49</v>
      </c>
      <c r="AP1297" s="1837"/>
      <c r="AQ1297" s="1837"/>
      <c r="BF1297" s="1837"/>
      <c r="BG1297" s="1837"/>
    </row>
    <row r="1298" spans="12:59">
      <c r="L1298" s="626">
        <v>101.93</v>
      </c>
      <c r="M1298" s="626" t="s">
        <v>78</v>
      </c>
      <c r="AB1298" s="626">
        <v>168.03</v>
      </c>
      <c r="AC1298" s="626" t="s">
        <v>85</v>
      </c>
      <c r="AP1298" s="1837"/>
      <c r="AQ1298" s="1837"/>
      <c r="BF1298" s="1837"/>
      <c r="BG1298" s="1837"/>
    </row>
    <row r="1299" spans="12:59">
      <c r="L1299" s="626">
        <v>101.98</v>
      </c>
      <c r="M1299" s="626" t="s">
        <v>78</v>
      </c>
      <c r="AB1299" s="626">
        <v>168.04</v>
      </c>
      <c r="AC1299" s="626" t="s">
        <v>49</v>
      </c>
      <c r="AP1299" s="1837"/>
      <c r="AQ1299" s="1837"/>
      <c r="BF1299" s="1837"/>
      <c r="BG1299" s="1837"/>
    </row>
    <row r="1300" spans="12:59">
      <c r="L1300" s="626">
        <v>102.01</v>
      </c>
      <c r="M1300" s="626" t="s">
        <v>78</v>
      </c>
      <c r="AB1300" s="626">
        <v>168.04</v>
      </c>
      <c r="AC1300" s="626" t="s">
        <v>85</v>
      </c>
      <c r="AP1300" s="1837"/>
      <c r="AQ1300" s="1837"/>
      <c r="BF1300" s="1837"/>
      <c r="BG1300" s="1837"/>
    </row>
    <row r="1301" spans="12:59">
      <c r="L1301" s="626">
        <v>102.09</v>
      </c>
      <c r="M1301" s="626" t="s">
        <v>78</v>
      </c>
      <c r="AB1301" s="626">
        <v>168.05</v>
      </c>
      <c r="AC1301" s="626" t="s">
        <v>49</v>
      </c>
      <c r="AP1301" s="1837"/>
      <c r="AQ1301" s="1837"/>
      <c r="BF1301" s="1837"/>
      <c r="BG1301" s="1837"/>
    </row>
    <row r="1302" spans="12:59">
      <c r="L1302" s="626">
        <v>103</v>
      </c>
      <c r="M1302" s="626" t="s">
        <v>78</v>
      </c>
      <c r="AB1302" s="626">
        <v>168.06</v>
      </c>
      <c r="AC1302" s="626" t="s">
        <v>49</v>
      </c>
      <c r="AP1302" s="1837"/>
      <c r="AQ1302" s="1837"/>
      <c r="BF1302" s="1837"/>
      <c r="BG1302" s="1837"/>
    </row>
    <row r="1303" spans="12:59">
      <c r="L1303" s="626">
        <v>106.04</v>
      </c>
      <c r="M1303" s="626" t="s">
        <v>78</v>
      </c>
      <c r="AB1303" s="626">
        <v>168.07</v>
      </c>
      <c r="AC1303" s="626" t="s">
        <v>49</v>
      </c>
      <c r="AP1303" s="1837"/>
      <c r="AQ1303" s="1837"/>
      <c r="BF1303" s="1837"/>
      <c r="BG1303" s="1837"/>
    </row>
    <row r="1304" spans="12:59">
      <c r="L1304" s="626">
        <v>106.06</v>
      </c>
      <c r="M1304" s="626" t="s">
        <v>78</v>
      </c>
      <c r="AB1304" s="626">
        <v>168.07</v>
      </c>
      <c r="AC1304" s="626" t="s">
        <v>85</v>
      </c>
      <c r="AP1304" s="1837"/>
      <c r="AQ1304" s="1837"/>
      <c r="BF1304" s="1837"/>
      <c r="BG1304" s="1837"/>
    </row>
    <row r="1305" spans="12:59">
      <c r="L1305" s="626">
        <v>106.08</v>
      </c>
      <c r="M1305" s="626" t="s">
        <v>78</v>
      </c>
      <c r="AB1305" s="626">
        <v>169</v>
      </c>
      <c r="AC1305" s="626" t="s">
        <v>78</v>
      </c>
      <c r="AP1305" s="1837"/>
      <c r="AQ1305" s="1837"/>
      <c r="BF1305" s="1837"/>
      <c r="BG1305" s="1837"/>
    </row>
    <row r="1306" spans="12:59">
      <c r="L1306" s="626">
        <v>106.1</v>
      </c>
      <c r="M1306" s="626" t="s">
        <v>78</v>
      </c>
      <c r="AB1306" s="626">
        <v>170</v>
      </c>
      <c r="AC1306" s="626" t="s">
        <v>78</v>
      </c>
      <c r="AP1306" s="1837"/>
      <c r="AQ1306" s="1837"/>
      <c r="BF1306" s="1837"/>
      <c r="BG1306" s="1837"/>
    </row>
    <row r="1307" spans="12:59">
      <c r="L1307" s="626">
        <v>106.12</v>
      </c>
      <c r="M1307" s="626" t="s">
        <v>78</v>
      </c>
      <c r="AB1307" s="626">
        <v>170.04</v>
      </c>
      <c r="AC1307" s="626" t="s">
        <v>85</v>
      </c>
      <c r="AP1307" s="1837"/>
      <c r="AQ1307" s="1837"/>
      <c r="BF1307" s="1837"/>
      <c r="BG1307" s="1837"/>
    </row>
    <row r="1308" spans="12:59">
      <c r="L1308" s="626">
        <v>106.13</v>
      </c>
      <c r="M1308" s="626" t="s">
        <v>78</v>
      </c>
      <c r="AB1308" s="626">
        <v>170.06</v>
      </c>
      <c r="AC1308" s="626" t="s">
        <v>85</v>
      </c>
      <c r="AP1308" s="1837"/>
      <c r="AQ1308" s="1837"/>
      <c r="BF1308" s="1837"/>
      <c r="BG1308" s="1837"/>
    </row>
    <row r="1309" spans="12:59">
      <c r="L1309" s="626">
        <v>106.17</v>
      </c>
      <c r="M1309" s="626" t="s">
        <v>78</v>
      </c>
      <c r="AB1309" s="626">
        <v>170.08</v>
      </c>
      <c r="AC1309" s="626" t="s">
        <v>85</v>
      </c>
      <c r="AP1309" s="1837"/>
      <c r="AQ1309" s="1837"/>
      <c r="BF1309" s="1837"/>
      <c r="BG1309" s="1837"/>
    </row>
    <row r="1310" spans="12:59">
      <c r="L1310" s="626">
        <v>110.07</v>
      </c>
      <c r="M1310" s="626" t="s">
        <v>78</v>
      </c>
      <c r="AB1310" s="626">
        <v>170.12</v>
      </c>
      <c r="AC1310" s="626" t="s">
        <v>85</v>
      </c>
      <c r="AP1310" s="1837"/>
      <c r="AQ1310" s="1837"/>
      <c r="BF1310" s="1837"/>
      <c r="BG1310" s="1837"/>
    </row>
    <row r="1311" spans="12:59">
      <c r="L1311" s="626">
        <v>110.08</v>
      </c>
      <c r="M1311" s="626" t="s">
        <v>78</v>
      </c>
      <c r="AB1311" s="626">
        <v>170.13</v>
      </c>
      <c r="AC1311" s="626" t="s">
        <v>85</v>
      </c>
      <c r="AP1311" s="1837"/>
      <c r="AQ1311" s="1837"/>
      <c r="BF1311" s="1837"/>
      <c r="BG1311" s="1837"/>
    </row>
    <row r="1312" spans="12:59">
      <c r="L1312" s="626">
        <v>110.09</v>
      </c>
      <c r="M1312" s="626" t="s">
        <v>78</v>
      </c>
      <c r="AB1312" s="626">
        <v>170.14</v>
      </c>
      <c r="AC1312" s="626" t="s">
        <v>85</v>
      </c>
      <c r="AP1312" s="1837"/>
      <c r="AQ1312" s="1837"/>
      <c r="BF1312" s="1837"/>
      <c r="BG1312" s="1837"/>
    </row>
    <row r="1313" spans="12:59">
      <c r="L1313" s="626">
        <v>111.02</v>
      </c>
      <c r="M1313" s="626" t="s">
        <v>78</v>
      </c>
      <c r="AB1313" s="626">
        <v>170.15</v>
      </c>
      <c r="AC1313" s="626" t="s">
        <v>85</v>
      </c>
      <c r="AP1313" s="1837"/>
      <c r="AQ1313" s="1837"/>
      <c r="BF1313" s="1837"/>
      <c r="BG1313" s="1837"/>
    </row>
    <row r="1314" spans="12:59">
      <c r="L1314" s="626">
        <v>114.01</v>
      </c>
      <c r="M1314" s="626" t="s">
        <v>78</v>
      </c>
      <c r="AB1314" s="626">
        <v>170.16</v>
      </c>
      <c r="AC1314" s="626" t="s">
        <v>85</v>
      </c>
      <c r="AP1314" s="1837"/>
      <c r="AQ1314" s="1837"/>
      <c r="BF1314" s="1837"/>
      <c r="BG1314" s="1837"/>
    </row>
    <row r="1315" spans="12:59">
      <c r="L1315" s="626">
        <v>115</v>
      </c>
      <c r="M1315" s="626" t="s">
        <v>78</v>
      </c>
      <c r="AB1315" s="626">
        <v>170.17</v>
      </c>
      <c r="AC1315" s="626" t="s">
        <v>85</v>
      </c>
      <c r="AP1315" s="1837"/>
      <c r="AQ1315" s="1837"/>
      <c r="BF1315" s="1837"/>
      <c r="BG1315" s="1837"/>
    </row>
    <row r="1316" spans="12:59">
      <c r="L1316" s="626">
        <v>116</v>
      </c>
      <c r="M1316" s="626" t="s">
        <v>78</v>
      </c>
      <c r="AB1316" s="626">
        <v>171</v>
      </c>
      <c r="AC1316" s="626" t="s">
        <v>49</v>
      </c>
      <c r="AP1316" s="1837"/>
      <c r="AQ1316" s="1837"/>
      <c r="BF1316" s="1837"/>
      <c r="BG1316" s="1837"/>
    </row>
    <row r="1317" spans="12:59">
      <c r="L1317" s="626">
        <v>118</v>
      </c>
      <c r="M1317" s="626" t="s">
        <v>78</v>
      </c>
      <c r="AB1317" s="626">
        <v>171</v>
      </c>
      <c r="AC1317" s="626" t="s">
        <v>78</v>
      </c>
      <c r="AP1317" s="1837"/>
      <c r="AQ1317" s="1837"/>
      <c r="BF1317" s="1837"/>
      <c r="BG1317" s="1837"/>
    </row>
    <row r="1318" spans="12:59">
      <c r="L1318" s="626">
        <v>119</v>
      </c>
      <c r="M1318" s="626" t="s">
        <v>78</v>
      </c>
      <c r="AB1318" s="626">
        <v>171.03</v>
      </c>
      <c r="AC1318" s="626" t="s">
        <v>85</v>
      </c>
      <c r="AP1318" s="1837"/>
      <c r="AQ1318" s="1837"/>
      <c r="BF1318" s="1837"/>
      <c r="BG1318" s="1837"/>
    </row>
    <row r="1319" spans="12:59">
      <c r="L1319" s="626">
        <v>121</v>
      </c>
      <c r="M1319" s="626" t="s">
        <v>78</v>
      </c>
      <c r="AB1319" s="626">
        <v>171.04</v>
      </c>
      <c r="AC1319" s="626" t="s">
        <v>85</v>
      </c>
      <c r="AP1319" s="1837"/>
      <c r="AQ1319" s="1837"/>
      <c r="BF1319" s="1837"/>
      <c r="BG1319" s="1837"/>
    </row>
    <row r="1320" spans="12:59">
      <c r="L1320" s="626">
        <v>122</v>
      </c>
      <c r="M1320" s="626" t="s">
        <v>78</v>
      </c>
      <c r="AB1320" s="626">
        <v>171.05</v>
      </c>
      <c r="AC1320" s="626" t="s">
        <v>85</v>
      </c>
      <c r="AP1320" s="1837"/>
      <c r="AQ1320" s="1837"/>
      <c r="BF1320" s="1837"/>
      <c r="BG1320" s="1837"/>
    </row>
    <row r="1321" spans="12:59">
      <c r="L1321" s="626">
        <v>123</v>
      </c>
      <c r="M1321" s="626" t="s">
        <v>78</v>
      </c>
      <c r="AB1321" s="626">
        <v>171.07</v>
      </c>
      <c r="AC1321" s="626" t="s">
        <v>85</v>
      </c>
      <c r="AP1321" s="1837"/>
      <c r="AQ1321" s="1837"/>
      <c r="BF1321" s="1837"/>
      <c r="BG1321" s="1837"/>
    </row>
    <row r="1322" spans="12:59">
      <c r="L1322" s="626">
        <v>124</v>
      </c>
      <c r="M1322" s="626" t="s">
        <v>78</v>
      </c>
      <c r="AB1322" s="626">
        <v>171.08</v>
      </c>
      <c r="AC1322" s="626" t="s">
        <v>85</v>
      </c>
      <c r="AP1322" s="1837"/>
      <c r="AQ1322" s="1837"/>
      <c r="BF1322" s="1837"/>
      <c r="BG1322" s="1837"/>
    </row>
    <row r="1323" spans="12:59">
      <c r="L1323" s="626">
        <v>125</v>
      </c>
      <c r="M1323" s="626" t="s">
        <v>78</v>
      </c>
      <c r="AB1323" s="626">
        <v>171.09</v>
      </c>
      <c r="AC1323" s="626" t="s">
        <v>85</v>
      </c>
      <c r="AP1323" s="1837"/>
      <c r="AQ1323" s="1837"/>
      <c r="BF1323" s="1837"/>
      <c r="BG1323" s="1837"/>
    </row>
    <row r="1324" spans="12:59">
      <c r="L1324" s="626">
        <v>126</v>
      </c>
      <c r="M1324" s="626" t="s">
        <v>78</v>
      </c>
      <c r="AB1324" s="626">
        <v>172</v>
      </c>
      <c r="AC1324" s="626" t="s">
        <v>78</v>
      </c>
      <c r="AP1324" s="1837"/>
      <c r="AQ1324" s="1837"/>
      <c r="BF1324" s="1837"/>
      <c r="BG1324" s="1837"/>
    </row>
    <row r="1325" spans="12:59">
      <c r="L1325" s="626">
        <v>127</v>
      </c>
      <c r="M1325" s="626" t="s">
        <v>78</v>
      </c>
      <c r="AB1325" s="626">
        <v>172</v>
      </c>
      <c r="AC1325" s="626" t="s">
        <v>85</v>
      </c>
      <c r="AP1325" s="1837"/>
      <c r="AQ1325" s="1837"/>
      <c r="BF1325" s="1837"/>
      <c r="BG1325" s="1837"/>
    </row>
    <row r="1326" spans="12:59">
      <c r="L1326" s="626">
        <v>128</v>
      </c>
      <c r="M1326" s="626" t="s">
        <v>78</v>
      </c>
      <c r="AB1326" s="626">
        <v>173</v>
      </c>
      <c r="AC1326" s="626" t="s">
        <v>49</v>
      </c>
      <c r="AP1326" s="1837"/>
      <c r="AQ1326" s="1837"/>
      <c r="BF1326" s="1837"/>
      <c r="BG1326" s="1837"/>
    </row>
    <row r="1327" spans="12:59">
      <c r="L1327" s="626">
        <v>130</v>
      </c>
      <c r="M1327" s="626" t="s">
        <v>78</v>
      </c>
      <c r="AB1327" s="626">
        <v>173</v>
      </c>
      <c r="AC1327" s="626" t="s">
        <v>78</v>
      </c>
      <c r="AP1327" s="1837"/>
      <c r="AQ1327" s="1837"/>
      <c r="BF1327" s="1837"/>
      <c r="BG1327" s="1837"/>
    </row>
    <row r="1328" spans="12:59">
      <c r="L1328" s="626">
        <v>132</v>
      </c>
      <c r="M1328" s="626" t="s">
        <v>78</v>
      </c>
      <c r="AB1328" s="626">
        <v>174</v>
      </c>
      <c r="AC1328" s="626" t="s">
        <v>78</v>
      </c>
      <c r="AP1328" s="1837"/>
      <c r="AQ1328" s="1837"/>
      <c r="BF1328" s="1837"/>
      <c r="BG1328" s="1837"/>
    </row>
    <row r="1329" spans="12:59">
      <c r="L1329" s="626">
        <v>133</v>
      </c>
      <c r="M1329" s="626" t="s">
        <v>78</v>
      </c>
      <c r="AB1329" s="626">
        <v>174</v>
      </c>
      <c r="AC1329" s="626" t="s">
        <v>85</v>
      </c>
      <c r="AP1329" s="1837"/>
      <c r="AQ1329" s="1837"/>
      <c r="BF1329" s="1837"/>
      <c r="BG1329" s="1837"/>
    </row>
    <row r="1330" spans="12:59">
      <c r="L1330" s="626">
        <v>139</v>
      </c>
      <c r="M1330" s="626" t="s">
        <v>78</v>
      </c>
      <c r="AB1330" s="626">
        <v>175.01</v>
      </c>
      <c r="AC1330" s="626" t="s">
        <v>85</v>
      </c>
      <c r="AP1330" s="1837"/>
      <c r="AQ1330" s="1837"/>
      <c r="BF1330" s="1837"/>
      <c r="BG1330" s="1837"/>
    </row>
    <row r="1331" spans="12:59">
      <c r="L1331" s="626">
        <v>142</v>
      </c>
      <c r="M1331" s="626" t="s">
        <v>78</v>
      </c>
      <c r="AB1331" s="626">
        <v>176</v>
      </c>
      <c r="AC1331" s="626" t="s">
        <v>78</v>
      </c>
      <c r="AP1331" s="1837"/>
      <c r="AQ1331" s="1837"/>
      <c r="BF1331" s="1837"/>
      <c r="BG1331" s="1837"/>
    </row>
    <row r="1332" spans="12:59">
      <c r="L1332" s="626">
        <v>143</v>
      </c>
      <c r="M1332" s="626" t="s">
        <v>78</v>
      </c>
      <c r="AB1332" s="626">
        <v>177</v>
      </c>
      <c r="AC1332" s="626" t="s">
        <v>78</v>
      </c>
      <c r="AP1332" s="1837"/>
      <c r="AQ1332" s="1837"/>
      <c r="BF1332" s="1837"/>
      <c r="BG1332" s="1837"/>
    </row>
    <row r="1333" spans="12:59">
      <c r="L1333" s="626">
        <v>144</v>
      </c>
      <c r="M1333" s="626" t="s">
        <v>78</v>
      </c>
      <c r="AB1333" s="626">
        <v>177.02</v>
      </c>
      <c r="AC1333" s="626" t="s">
        <v>85</v>
      </c>
      <c r="AP1333" s="1837"/>
      <c r="AQ1333" s="1837"/>
      <c r="BF1333" s="1837"/>
      <c r="BG1333" s="1837"/>
    </row>
    <row r="1334" spans="12:59">
      <c r="L1334" s="626">
        <v>147</v>
      </c>
      <c r="M1334" s="626" t="s">
        <v>78</v>
      </c>
      <c r="AB1334" s="626">
        <v>178.02</v>
      </c>
      <c r="AC1334" s="626" t="s">
        <v>85</v>
      </c>
      <c r="AP1334" s="1837"/>
      <c r="AQ1334" s="1837"/>
      <c r="BF1334" s="1837"/>
      <c r="BG1334" s="1837"/>
    </row>
    <row r="1335" spans="12:59">
      <c r="L1335" s="626">
        <v>149</v>
      </c>
      <c r="M1335" s="626" t="s">
        <v>78</v>
      </c>
      <c r="AB1335" s="626">
        <v>178.04</v>
      </c>
      <c r="AC1335" s="626" t="s">
        <v>85</v>
      </c>
      <c r="AP1335" s="1837"/>
      <c r="AQ1335" s="1837"/>
      <c r="BF1335" s="1837"/>
      <c r="BG1335" s="1837"/>
    </row>
    <row r="1336" spans="12:59">
      <c r="L1336" s="626">
        <v>151</v>
      </c>
      <c r="M1336" s="626" t="s">
        <v>78</v>
      </c>
      <c r="AB1336" s="626">
        <v>178.05</v>
      </c>
      <c r="AC1336" s="626" t="s">
        <v>85</v>
      </c>
      <c r="AP1336" s="1837"/>
      <c r="AQ1336" s="1837"/>
      <c r="BF1336" s="1837"/>
      <c r="BG1336" s="1837"/>
    </row>
    <row r="1337" spans="12:59">
      <c r="L1337" s="626">
        <v>152</v>
      </c>
      <c r="M1337" s="626" t="s">
        <v>78</v>
      </c>
      <c r="AB1337" s="626">
        <v>178.06</v>
      </c>
      <c r="AC1337" s="626" t="s">
        <v>85</v>
      </c>
      <c r="AP1337" s="1837"/>
      <c r="AQ1337" s="1837"/>
      <c r="BF1337" s="1837"/>
      <c r="BG1337" s="1837"/>
    </row>
    <row r="1338" spans="12:59">
      <c r="L1338" s="626">
        <v>153</v>
      </c>
      <c r="M1338" s="626" t="s">
        <v>78</v>
      </c>
      <c r="AB1338" s="626">
        <v>178.08</v>
      </c>
      <c r="AC1338" s="626" t="s">
        <v>85</v>
      </c>
      <c r="AP1338" s="1837"/>
      <c r="AQ1338" s="1837"/>
      <c r="BF1338" s="1837"/>
      <c r="BG1338" s="1837"/>
    </row>
    <row r="1339" spans="12:59">
      <c r="L1339" s="626">
        <v>154</v>
      </c>
      <c r="M1339" s="626" t="s">
        <v>78</v>
      </c>
      <c r="AB1339" s="626">
        <v>179</v>
      </c>
      <c r="AC1339" s="626" t="s">
        <v>78</v>
      </c>
      <c r="AP1339" s="1837"/>
      <c r="AQ1339" s="1837"/>
      <c r="BF1339" s="1837"/>
      <c r="BG1339" s="1837"/>
    </row>
    <row r="1340" spans="12:59">
      <c r="L1340" s="626">
        <v>155</v>
      </c>
      <c r="M1340" s="626" t="s">
        <v>78</v>
      </c>
      <c r="AB1340" s="626">
        <v>179.01</v>
      </c>
      <c r="AC1340" s="626" t="s">
        <v>85</v>
      </c>
      <c r="AP1340" s="1837"/>
      <c r="AQ1340" s="1837"/>
      <c r="BF1340" s="1837"/>
      <c r="BG1340" s="1837"/>
    </row>
    <row r="1341" spans="12:59">
      <c r="L1341" s="626">
        <v>156</v>
      </c>
      <c r="M1341" s="626" t="s">
        <v>78</v>
      </c>
      <c r="AB1341" s="626">
        <v>180</v>
      </c>
      <c r="AC1341" s="626" t="s">
        <v>78</v>
      </c>
      <c r="AP1341" s="1837"/>
      <c r="AQ1341" s="1837"/>
      <c r="BF1341" s="1837"/>
      <c r="BG1341" s="1837"/>
    </row>
    <row r="1342" spans="12:59">
      <c r="L1342" s="626">
        <v>157</v>
      </c>
      <c r="M1342" s="626" t="s">
        <v>78</v>
      </c>
      <c r="AB1342" s="626">
        <v>181</v>
      </c>
      <c r="AC1342" s="626" t="s">
        <v>78</v>
      </c>
      <c r="AP1342" s="1837"/>
      <c r="AQ1342" s="1837"/>
      <c r="BF1342" s="1837"/>
      <c r="BG1342" s="1837"/>
    </row>
    <row r="1343" spans="12:59">
      <c r="L1343" s="626">
        <v>159</v>
      </c>
      <c r="M1343" s="626" t="s">
        <v>78</v>
      </c>
      <c r="AB1343" s="626">
        <v>181</v>
      </c>
      <c r="AC1343" s="626" t="s">
        <v>85</v>
      </c>
      <c r="AP1343" s="1837"/>
      <c r="AQ1343" s="1837"/>
      <c r="BF1343" s="1837"/>
      <c r="BG1343" s="1837"/>
    </row>
    <row r="1344" spans="12:59">
      <c r="L1344" s="626">
        <v>160</v>
      </c>
      <c r="M1344" s="626" t="s">
        <v>78</v>
      </c>
      <c r="AB1344" s="626">
        <v>182</v>
      </c>
      <c r="AC1344" s="626" t="s">
        <v>78</v>
      </c>
      <c r="AP1344" s="1837"/>
      <c r="AQ1344" s="1837"/>
      <c r="BF1344" s="1837"/>
      <c r="BG1344" s="1837"/>
    </row>
    <row r="1345" spans="12:59">
      <c r="L1345" s="626">
        <v>161</v>
      </c>
      <c r="M1345" s="626" t="s">
        <v>78</v>
      </c>
      <c r="AB1345" s="626">
        <v>182</v>
      </c>
      <c r="AC1345" s="626" t="s">
        <v>85</v>
      </c>
      <c r="AP1345" s="1837"/>
      <c r="AQ1345" s="1837"/>
      <c r="BF1345" s="1837"/>
      <c r="BG1345" s="1837"/>
    </row>
    <row r="1346" spans="12:59">
      <c r="L1346" s="626">
        <v>162</v>
      </c>
      <c r="M1346" s="626" t="s">
        <v>78</v>
      </c>
      <c r="AB1346" s="626">
        <v>183</v>
      </c>
      <c r="AC1346" s="626" t="s">
        <v>78</v>
      </c>
      <c r="AP1346" s="1837"/>
      <c r="AQ1346" s="1837"/>
      <c r="BF1346" s="1837"/>
      <c r="BG1346" s="1837"/>
    </row>
    <row r="1347" spans="12:59">
      <c r="L1347" s="626">
        <v>163</v>
      </c>
      <c r="M1347" s="626" t="s">
        <v>78</v>
      </c>
      <c r="AB1347" s="626">
        <v>184</v>
      </c>
      <c r="AC1347" s="626" t="s">
        <v>78</v>
      </c>
      <c r="AP1347" s="1837"/>
      <c r="AQ1347" s="1837"/>
      <c r="BF1347" s="1837"/>
      <c r="BG1347" s="1837"/>
    </row>
    <row r="1348" spans="12:59">
      <c r="L1348" s="626">
        <v>164</v>
      </c>
      <c r="M1348" s="626" t="s">
        <v>78</v>
      </c>
      <c r="AB1348" s="626">
        <v>184</v>
      </c>
      <c r="AC1348" s="626" t="s">
        <v>85</v>
      </c>
      <c r="AP1348" s="1837"/>
      <c r="AQ1348" s="1837"/>
      <c r="BF1348" s="1837"/>
      <c r="BG1348" s="1837"/>
    </row>
    <row r="1349" spans="12:59">
      <c r="L1349" s="626">
        <v>165</v>
      </c>
      <c r="M1349" s="626" t="s">
        <v>78</v>
      </c>
      <c r="AB1349" s="626">
        <v>185</v>
      </c>
      <c r="AC1349" s="626" t="s">
        <v>78</v>
      </c>
      <c r="AP1349" s="1837"/>
      <c r="AQ1349" s="1837"/>
      <c r="BF1349" s="1837"/>
      <c r="BG1349" s="1837"/>
    </row>
    <row r="1350" spans="12:59">
      <c r="L1350" s="626">
        <v>166</v>
      </c>
      <c r="M1350" s="626" t="s">
        <v>78</v>
      </c>
      <c r="AB1350" s="626">
        <v>186</v>
      </c>
      <c r="AC1350" s="626" t="s">
        <v>78</v>
      </c>
      <c r="AP1350" s="1837"/>
      <c r="AQ1350" s="1837"/>
      <c r="BF1350" s="1837"/>
      <c r="BG1350" s="1837"/>
    </row>
    <row r="1351" spans="12:59">
      <c r="L1351" s="626">
        <v>168</v>
      </c>
      <c r="M1351" s="626" t="s">
        <v>78</v>
      </c>
      <c r="AB1351" s="626">
        <v>187</v>
      </c>
      <c r="AC1351" s="626" t="s">
        <v>78</v>
      </c>
      <c r="AP1351" s="1837"/>
      <c r="AQ1351" s="1837"/>
      <c r="BF1351" s="1837"/>
      <c r="BG1351" s="1837"/>
    </row>
    <row r="1352" spans="12:59">
      <c r="L1352" s="626">
        <v>169</v>
      </c>
      <c r="M1352" s="626" t="s">
        <v>78</v>
      </c>
      <c r="AB1352" s="626">
        <v>188</v>
      </c>
      <c r="AC1352" s="626" t="s">
        <v>78</v>
      </c>
      <c r="AP1352" s="1837"/>
      <c r="AQ1352" s="1837"/>
      <c r="BF1352" s="1837"/>
      <c r="BG1352" s="1837"/>
    </row>
    <row r="1353" spans="12:59">
      <c r="L1353" s="626">
        <v>170</v>
      </c>
      <c r="M1353" s="626" t="s">
        <v>78</v>
      </c>
      <c r="AB1353" s="626">
        <v>188</v>
      </c>
      <c r="AC1353" s="626" t="s">
        <v>85</v>
      </c>
      <c r="AP1353" s="1837"/>
      <c r="AQ1353" s="1837"/>
      <c r="BF1353" s="1837"/>
      <c r="BG1353" s="1837"/>
    </row>
    <row r="1354" spans="12:59">
      <c r="L1354" s="626">
        <v>171</v>
      </c>
      <c r="M1354" s="626" t="s">
        <v>78</v>
      </c>
      <c r="AB1354" s="626">
        <v>189</v>
      </c>
      <c r="AC1354" s="626" t="s">
        <v>78</v>
      </c>
      <c r="AP1354" s="1837"/>
      <c r="AQ1354" s="1837"/>
      <c r="BF1354" s="1837"/>
      <c r="BG1354" s="1837"/>
    </row>
    <row r="1355" spans="12:59">
      <c r="L1355" s="626">
        <v>172</v>
      </c>
      <c r="M1355" s="626" t="s">
        <v>78</v>
      </c>
      <c r="AB1355" s="626">
        <v>190</v>
      </c>
      <c r="AC1355" s="626" t="s">
        <v>78</v>
      </c>
      <c r="AP1355" s="1837"/>
      <c r="AQ1355" s="1837"/>
      <c r="BF1355" s="1837"/>
      <c r="BG1355" s="1837"/>
    </row>
    <row r="1356" spans="12:59">
      <c r="L1356" s="626">
        <v>173</v>
      </c>
      <c r="M1356" s="626" t="s">
        <v>78</v>
      </c>
      <c r="AB1356" s="626">
        <v>191</v>
      </c>
      <c r="AC1356" s="626" t="s">
        <v>78</v>
      </c>
      <c r="AP1356" s="1837"/>
      <c r="AQ1356" s="1837"/>
      <c r="BF1356" s="1837"/>
      <c r="BG1356" s="1837"/>
    </row>
    <row r="1357" spans="12:59">
      <c r="L1357" s="626">
        <v>174</v>
      </c>
      <c r="M1357" s="626" t="s">
        <v>78</v>
      </c>
      <c r="AB1357" s="626">
        <v>192</v>
      </c>
      <c r="AC1357" s="626" t="s">
        <v>78</v>
      </c>
      <c r="AP1357" s="1837"/>
      <c r="AQ1357" s="1837"/>
      <c r="BF1357" s="1837"/>
      <c r="BG1357" s="1837"/>
    </row>
    <row r="1358" spans="12:59">
      <c r="L1358" s="626">
        <v>176</v>
      </c>
      <c r="M1358" s="626" t="s">
        <v>78</v>
      </c>
      <c r="AB1358" s="626">
        <v>193</v>
      </c>
      <c r="AC1358" s="626" t="s">
        <v>78</v>
      </c>
      <c r="AP1358" s="1837"/>
      <c r="AQ1358" s="1837"/>
      <c r="BF1358" s="1837"/>
      <c r="BG1358" s="1837"/>
    </row>
    <row r="1359" spans="12:59">
      <c r="L1359" s="626">
        <v>177</v>
      </c>
      <c r="M1359" s="626" t="s">
        <v>78</v>
      </c>
      <c r="AB1359" s="626">
        <v>194</v>
      </c>
      <c r="AC1359" s="626" t="s">
        <v>78</v>
      </c>
      <c r="AP1359" s="1837"/>
      <c r="AQ1359" s="1837"/>
      <c r="BF1359" s="1837"/>
      <c r="BG1359" s="1837"/>
    </row>
    <row r="1360" spans="12:59">
      <c r="L1360" s="626">
        <v>179</v>
      </c>
      <c r="M1360" s="626" t="s">
        <v>78</v>
      </c>
      <c r="AB1360" s="626">
        <v>195</v>
      </c>
      <c r="AC1360" s="626" t="s">
        <v>78</v>
      </c>
      <c r="AP1360" s="1837"/>
      <c r="AQ1360" s="1837"/>
      <c r="BF1360" s="1837"/>
      <c r="BG1360" s="1837"/>
    </row>
    <row r="1361" spans="12:59">
      <c r="L1361" s="626">
        <v>180</v>
      </c>
      <c r="M1361" s="626" t="s">
        <v>78</v>
      </c>
      <c r="AB1361" s="626">
        <v>196</v>
      </c>
      <c r="AC1361" s="626" t="s">
        <v>78</v>
      </c>
      <c r="AP1361" s="1837"/>
      <c r="AQ1361" s="1837"/>
      <c r="BF1361" s="1837"/>
      <c r="BG1361" s="1837"/>
    </row>
    <row r="1362" spans="12:59">
      <c r="L1362" s="626">
        <v>181</v>
      </c>
      <c r="M1362" s="626" t="s">
        <v>78</v>
      </c>
      <c r="AB1362" s="626">
        <v>197</v>
      </c>
      <c r="AC1362" s="626" t="s">
        <v>78</v>
      </c>
      <c r="AP1362" s="1837"/>
      <c r="AQ1362" s="1837"/>
      <c r="BF1362" s="1837"/>
      <c r="BG1362" s="1837"/>
    </row>
    <row r="1363" spans="12:59">
      <c r="L1363" s="626">
        <v>182</v>
      </c>
      <c r="M1363" s="626" t="s">
        <v>78</v>
      </c>
      <c r="AB1363" s="626">
        <v>198</v>
      </c>
      <c r="AC1363" s="626" t="s">
        <v>78</v>
      </c>
      <c r="AP1363" s="1837"/>
      <c r="AQ1363" s="1837"/>
      <c r="BF1363" s="1837"/>
      <c r="BG1363" s="1837"/>
    </row>
    <row r="1364" spans="12:59">
      <c r="L1364" s="626">
        <v>183</v>
      </c>
      <c r="M1364" s="626" t="s">
        <v>78</v>
      </c>
      <c r="AB1364" s="626">
        <v>200</v>
      </c>
      <c r="AC1364" s="626" t="s">
        <v>78</v>
      </c>
      <c r="AP1364" s="1837"/>
      <c r="AQ1364" s="1837"/>
      <c r="BF1364" s="1837"/>
      <c r="BG1364" s="1837"/>
    </row>
    <row r="1365" spans="12:59">
      <c r="L1365" s="626">
        <v>184</v>
      </c>
      <c r="M1365" s="626" t="s">
        <v>78</v>
      </c>
      <c r="AB1365" s="626">
        <v>201</v>
      </c>
      <c r="AC1365" s="626" t="s">
        <v>78</v>
      </c>
      <c r="AP1365" s="1837"/>
      <c r="AQ1365" s="1837"/>
      <c r="BF1365" s="1837"/>
      <c r="BG1365" s="1837"/>
    </row>
    <row r="1366" spans="12:59">
      <c r="L1366" s="626">
        <v>185</v>
      </c>
      <c r="M1366" s="626" t="s">
        <v>78</v>
      </c>
      <c r="AB1366" s="626">
        <v>201.01</v>
      </c>
      <c r="AC1366" s="626" t="s">
        <v>41</v>
      </c>
      <c r="AP1366" s="1837"/>
      <c r="AQ1366" s="1837"/>
      <c r="BF1366" s="1837"/>
      <c r="BG1366" s="1837"/>
    </row>
    <row r="1367" spans="12:59">
      <c r="L1367" s="626">
        <v>186</v>
      </c>
      <c r="M1367" s="626" t="s">
        <v>78</v>
      </c>
      <c r="AB1367" s="626">
        <v>201.01</v>
      </c>
      <c r="AC1367" s="626" t="s">
        <v>54</v>
      </c>
      <c r="AP1367" s="1837"/>
      <c r="AQ1367" s="1837"/>
      <c r="BF1367" s="1837"/>
      <c r="BG1367" s="1837"/>
    </row>
    <row r="1368" spans="12:59">
      <c r="L1368" s="626">
        <v>187</v>
      </c>
      <c r="M1368" s="626" t="s">
        <v>78</v>
      </c>
      <c r="AB1368" s="626">
        <v>201.01</v>
      </c>
      <c r="AC1368" s="626" t="s">
        <v>70</v>
      </c>
      <c r="AP1368" s="1837"/>
      <c r="AQ1368" s="1837"/>
      <c r="BF1368" s="1837"/>
      <c r="BG1368" s="1837"/>
    </row>
    <row r="1369" spans="12:59">
      <c r="L1369" s="626">
        <v>188</v>
      </c>
      <c r="M1369" s="626" t="s">
        <v>78</v>
      </c>
      <c r="AB1369" s="626">
        <v>201.02</v>
      </c>
      <c r="AC1369" s="626" t="s">
        <v>54</v>
      </c>
      <c r="AP1369" s="1837"/>
      <c r="AQ1369" s="1837"/>
      <c r="BF1369" s="1837"/>
      <c r="BG1369" s="1837"/>
    </row>
    <row r="1370" spans="12:59">
      <c r="L1370" s="626">
        <v>189</v>
      </c>
      <c r="M1370" s="626" t="s">
        <v>78</v>
      </c>
      <c r="AB1370" s="626">
        <v>201.03</v>
      </c>
      <c r="AC1370" s="626" t="s">
        <v>41</v>
      </c>
      <c r="AP1370" s="1837"/>
      <c r="AQ1370" s="1837"/>
      <c r="BF1370" s="1837"/>
      <c r="BG1370" s="1837"/>
    </row>
    <row r="1371" spans="12:59">
      <c r="L1371" s="626">
        <v>190</v>
      </c>
      <c r="M1371" s="626" t="s">
        <v>78</v>
      </c>
      <c r="AB1371" s="626">
        <v>201.04</v>
      </c>
      <c r="AC1371" s="626" t="s">
        <v>41</v>
      </c>
      <c r="AP1371" s="1837"/>
      <c r="AQ1371" s="1837"/>
      <c r="BF1371" s="1837"/>
      <c r="BG1371" s="1837"/>
    </row>
    <row r="1372" spans="12:59">
      <c r="L1372" s="626">
        <v>191</v>
      </c>
      <c r="M1372" s="626" t="s">
        <v>78</v>
      </c>
      <c r="AB1372" s="626">
        <v>201.05</v>
      </c>
      <c r="AC1372" s="626" t="s">
        <v>89</v>
      </c>
      <c r="AP1372" s="1837"/>
      <c r="AQ1372" s="1837"/>
      <c r="BF1372" s="1837"/>
      <c r="BG1372" s="1837"/>
    </row>
    <row r="1373" spans="12:59">
      <c r="L1373" s="626">
        <v>192</v>
      </c>
      <c r="M1373" s="626" t="s">
        <v>78</v>
      </c>
      <c r="AB1373" s="626">
        <v>201.06</v>
      </c>
      <c r="AC1373" s="626" t="s">
        <v>89</v>
      </c>
      <c r="AP1373" s="1837"/>
      <c r="AQ1373" s="1837"/>
      <c r="BF1373" s="1837"/>
      <c r="BG1373" s="1837"/>
    </row>
    <row r="1374" spans="12:59">
      <c r="L1374" s="626">
        <v>193</v>
      </c>
      <c r="M1374" s="626" t="s">
        <v>78</v>
      </c>
      <c r="AB1374" s="626">
        <v>201.07</v>
      </c>
      <c r="AC1374" s="626" t="s">
        <v>89</v>
      </c>
      <c r="AP1374" s="1837"/>
      <c r="AQ1374" s="1837"/>
      <c r="BF1374" s="1837"/>
      <c r="BG1374" s="1837"/>
    </row>
    <row r="1375" spans="12:59">
      <c r="L1375" s="626">
        <v>194</v>
      </c>
      <c r="M1375" s="626" t="s">
        <v>78</v>
      </c>
      <c r="AB1375" s="626">
        <v>201.08</v>
      </c>
      <c r="AC1375" s="626" t="s">
        <v>89</v>
      </c>
      <c r="AP1375" s="1837"/>
      <c r="AQ1375" s="1837"/>
      <c r="BF1375" s="1837"/>
      <c r="BG1375" s="1837"/>
    </row>
    <row r="1376" spans="12:59">
      <c r="L1376" s="626">
        <v>195</v>
      </c>
      <c r="M1376" s="626" t="s">
        <v>78</v>
      </c>
      <c r="AB1376" s="626">
        <v>202.01</v>
      </c>
      <c r="AC1376" s="626" t="s">
        <v>41</v>
      </c>
      <c r="AP1376" s="1837"/>
      <c r="AQ1376" s="1837"/>
      <c r="BF1376" s="1837"/>
      <c r="BG1376" s="1837"/>
    </row>
    <row r="1377" spans="12:59">
      <c r="L1377" s="626">
        <v>196</v>
      </c>
      <c r="M1377" s="626" t="s">
        <v>78</v>
      </c>
      <c r="AB1377" s="626">
        <v>202.01</v>
      </c>
      <c r="AC1377" s="626" t="s">
        <v>89</v>
      </c>
      <c r="AP1377" s="1837"/>
      <c r="AQ1377" s="1837"/>
      <c r="BF1377" s="1837"/>
      <c r="BG1377" s="1837"/>
    </row>
    <row r="1378" spans="12:59">
      <c r="L1378" s="626">
        <v>197</v>
      </c>
      <c r="M1378" s="626" t="s">
        <v>78</v>
      </c>
      <c r="AB1378" s="626">
        <v>202.02</v>
      </c>
      <c r="AC1378" s="626" t="s">
        <v>41</v>
      </c>
      <c r="AP1378" s="1837"/>
      <c r="AQ1378" s="1837"/>
      <c r="BF1378" s="1837"/>
      <c r="BG1378" s="1837"/>
    </row>
    <row r="1379" spans="12:59">
      <c r="L1379" s="626">
        <v>198</v>
      </c>
      <c r="M1379" s="626" t="s">
        <v>78</v>
      </c>
      <c r="AB1379" s="626">
        <v>202.02</v>
      </c>
      <c r="AC1379" s="626" t="s">
        <v>70</v>
      </c>
      <c r="AP1379" s="1837"/>
      <c r="AQ1379" s="1837"/>
      <c r="BF1379" s="1837"/>
      <c r="BG1379" s="1837"/>
    </row>
    <row r="1380" spans="12:59">
      <c r="L1380" s="626">
        <v>200</v>
      </c>
      <c r="M1380" s="626" t="s">
        <v>78</v>
      </c>
      <c r="AB1380" s="626">
        <v>202.02</v>
      </c>
      <c r="AC1380" s="626" t="s">
        <v>89</v>
      </c>
      <c r="AP1380" s="1837"/>
      <c r="AQ1380" s="1837"/>
      <c r="BF1380" s="1837"/>
      <c r="BG1380" s="1837"/>
    </row>
    <row r="1381" spans="12:59">
      <c r="L1381" s="626">
        <v>201</v>
      </c>
      <c r="M1381" s="626" t="s">
        <v>78</v>
      </c>
      <c r="AB1381" s="626">
        <v>202.04</v>
      </c>
      <c r="AC1381" s="626" t="s">
        <v>36</v>
      </c>
      <c r="AP1381" s="1837"/>
      <c r="AQ1381" s="1837"/>
      <c r="BF1381" s="1837"/>
      <c r="BG1381" s="1837"/>
    </row>
    <row r="1382" spans="12:59">
      <c r="L1382" s="626">
        <v>9702</v>
      </c>
      <c r="M1382" s="626" t="s">
        <v>80</v>
      </c>
      <c r="AB1382" s="626">
        <v>202.05</v>
      </c>
      <c r="AC1382" s="626" t="s">
        <v>36</v>
      </c>
      <c r="AP1382" s="1837"/>
      <c r="AQ1382" s="1837"/>
      <c r="BF1382" s="1837"/>
      <c r="BG1382" s="1837"/>
    </row>
    <row r="1383" spans="12:59">
      <c r="L1383" s="626">
        <v>9703</v>
      </c>
      <c r="M1383" s="626" t="s">
        <v>80</v>
      </c>
      <c r="AB1383" s="626">
        <v>202.06</v>
      </c>
      <c r="AC1383" s="626" t="s">
        <v>89</v>
      </c>
      <c r="AP1383" s="1837"/>
      <c r="AQ1383" s="1837"/>
      <c r="BF1383" s="1837"/>
      <c r="BG1383" s="1837"/>
    </row>
    <row r="1384" spans="12:59">
      <c r="L1384" s="626">
        <v>9705</v>
      </c>
      <c r="M1384" s="626" t="s">
        <v>80</v>
      </c>
      <c r="AB1384" s="626">
        <v>202.07</v>
      </c>
      <c r="AC1384" s="626" t="s">
        <v>89</v>
      </c>
      <c r="AP1384" s="1837"/>
      <c r="AQ1384" s="1837"/>
      <c r="BF1384" s="1837"/>
      <c r="BG1384" s="1837"/>
    </row>
    <row r="1385" spans="12:59">
      <c r="L1385" s="626">
        <v>9706</v>
      </c>
      <c r="M1385" s="626" t="s">
        <v>80</v>
      </c>
      <c r="AB1385" s="626">
        <v>202.08</v>
      </c>
      <c r="AC1385" s="626" t="s">
        <v>89</v>
      </c>
      <c r="AP1385" s="1837"/>
      <c r="AQ1385" s="1837"/>
      <c r="BF1385" s="1837"/>
      <c r="BG1385" s="1837"/>
    </row>
    <row r="1386" spans="12:59">
      <c r="L1386" s="626">
        <v>9708</v>
      </c>
      <c r="M1386" s="626" t="s">
        <v>80</v>
      </c>
      <c r="AB1386" s="626">
        <v>202.09</v>
      </c>
      <c r="AC1386" s="626" t="s">
        <v>89</v>
      </c>
      <c r="AP1386" s="1837"/>
      <c r="AQ1386" s="1837"/>
      <c r="BF1386" s="1837"/>
      <c r="BG1386" s="1837"/>
    </row>
    <row r="1387" spans="12:59">
      <c r="L1387" s="626">
        <v>9709</v>
      </c>
      <c r="M1387" s="626" t="s">
        <v>80</v>
      </c>
      <c r="AB1387" s="626">
        <v>203</v>
      </c>
      <c r="AC1387" s="626" t="s">
        <v>54</v>
      </c>
      <c r="AP1387" s="1837"/>
      <c r="AQ1387" s="1837"/>
      <c r="BF1387" s="1837"/>
      <c r="BG1387" s="1837"/>
    </row>
    <row r="1388" spans="12:59">
      <c r="L1388" s="626">
        <v>9710.01</v>
      </c>
      <c r="M1388" s="626" t="s">
        <v>80</v>
      </c>
      <c r="AB1388" s="626">
        <v>203.01</v>
      </c>
      <c r="AC1388" s="626" t="s">
        <v>89</v>
      </c>
      <c r="AP1388" s="1837"/>
      <c r="AQ1388" s="1837"/>
      <c r="BF1388" s="1837"/>
      <c r="BG1388" s="1837"/>
    </row>
    <row r="1389" spans="12:59">
      <c r="L1389" s="626">
        <v>9715.01</v>
      </c>
      <c r="M1389" s="626" t="s">
        <v>80</v>
      </c>
      <c r="AB1389" s="626">
        <v>203.02</v>
      </c>
      <c r="AC1389" s="626" t="s">
        <v>89</v>
      </c>
      <c r="AP1389" s="1837"/>
      <c r="AQ1389" s="1837"/>
      <c r="BF1389" s="1837"/>
      <c r="BG1389" s="1837"/>
    </row>
    <row r="1390" spans="12:59">
      <c r="L1390" s="626">
        <v>9715.02</v>
      </c>
      <c r="M1390" s="626" t="s">
        <v>80</v>
      </c>
      <c r="AB1390" s="626">
        <v>203.09</v>
      </c>
      <c r="AC1390" s="626" t="s">
        <v>36</v>
      </c>
      <c r="AP1390" s="1837"/>
      <c r="AQ1390" s="1837"/>
      <c r="BF1390" s="1837"/>
      <c r="BG1390" s="1837"/>
    </row>
    <row r="1391" spans="12:59">
      <c r="L1391" s="626">
        <v>9716</v>
      </c>
      <c r="M1391" s="626" t="s">
        <v>80</v>
      </c>
      <c r="AB1391" s="626">
        <v>203.12</v>
      </c>
      <c r="AC1391" s="626" t="s">
        <v>36</v>
      </c>
      <c r="AP1391" s="1837"/>
      <c r="AQ1391" s="1837"/>
      <c r="BF1391" s="1837"/>
      <c r="BG1391" s="1837"/>
    </row>
    <row r="1392" spans="12:59">
      <c r="L1392" s="626">
        <v>9720</v>
      </c>
      <c r="M1392" s="626" t="s">
        <v>80</v>
      </c>
      <c r="AB1392" s="626">
        <v>203.13</v>
      </c>
      <c r="AC1392" s="626" t="s">
        <v>36</v>
      </c>
      <c r="AP1392" s="1837"/>
      <c r="AQ1392" s="1837"/>
      <c r="BF1392" s="1837"/>
      <c r="BG1392" s="1837"/>
    </row>
    <row r="1393" spans="12:59">
      <c r="L1393" s="626">
        <v>9722</v>
      </c>
      <c r="M1393" s="626" t="s">
        <v>80</v>
      </c>
      <c r="AB1393" s="626">
        <v>203.15</v>
      </c>
      <c r="AC1393" s="626" t="s">
        <v>36</v>
      </c>
      <c r="AP1393" s="1837"/>
      <c r="AQ1393" s="1837"/>
      <c r="BF1393" s="1837"/>
      <c r="BG1393" s="1837"/>
    </row>
    <row r="1394" spans="12:59">
      <c r="L1394" s="626">
        <v>9723</v>
      </c>
      <c r="M1394" s="626" t="s">
        <v>80</v>
      </c>
      <c r="AB1394" s="626">
        <v>203.16</v>
      </c>
      <c r="AC1394" s="626" t="s">
        <v>36</v>
      </c>
      <c r="AP1394" s="1837"/>
      <c r="AQ1394" s="1837"/>
      <c r="BF1394" s="1837"/>
      <c r="BG1394" s="1837"/>
    </row>
    <row r="1395" spans="12:59">
      <c r="L1395" s="626">
        <v>9724</v>
      </c>
      <c r="M1395" s="626" t="s">
        <v>80</v>
      </c>
      <c r="AB1395" s="626">
        <v>203.17</v>
      </c>
      <c r="AC1395" s="626" t="s">
        <v>36</v>
      </c>
      <c r="AP1395" s="1837"/>
      <c r="AQ1395" s="1837"/>
      <c r="BF1395" s="1837"/>
      <c r="BG1395" s="1837"/>
    </row>
    <row r="1396" spans="12:59">
      <c r="L1396" s="626">
        <v>9725</v>
      </c>
      <c r="M1396" s="626" t="s">
        <v>80</v>
      </c>
      <c r="AB1396" s="626">
        <v>203.18</v>
      </c>
      <c r="AC1396" s="626" t="s">
        <v>36</v>
      </c>
      <c r="AP1396" s="1837"/>
      <c r="AQ1396" s="1837"/>
      <c r="BF1396" s="1837"/>
      <c r="BG1396" s="1837"/>
    </row>
    <row r="1397" spans="12:59">
      <c r="L1397" s="626">
        <v>9726</v>
      </c>
      <c r="M1397" s="626" t="s">
        <v>80</v>
      </c>
      <c r="AB1397" s="626">
        <v>203.19</v>
      </c>
      <c r="AC1397" s="626" t="s">
        <v>36</v>
      </c>
      <c r="AP1397" s="1837"/>
      <c r="AQ1397" s="1837"/>
      <c r="BF1397" s="1837"/>
      <c r="BG1397" s="1837"/>
    </row>
    <row r="1398" spans="12:59">
      <c r="L1398" s="626">
        <v>501.01</v>
      </c>
      <c r="M1398" s="626" t="s">
        <v>82</v>
      </c>
      <c r="AB1398" s="626">
        <v>203.2</v>
      </c>
      <c r="AC1398" s="626" t="s">
        <v>36</v>
      </c>
      <c r="AP1398" s="1837"/>
      <c r="AQ1398" s="1837"/>
      <c r="BF1398" s="1837"/>
      <c r="BG1398" s="1837"/>
    </row>
    <row r="1399" spans="12:59">
      <c r="L1399" s="626">
        <v>502.01</v>
      </c>
      <c r="M1399" s="626" t="s">
        <v>82</v>
      </c>
      <c r="AB1399" s="626">
        <v>203.21</v>
      </c>
      <c r="AC1399" s="626" t="s">
        <v>36</v>
      </c>
      <c r="AP1399" s="1837"/>
      <c r="AQ1399" s="1837"/>
      <c r="BF1399" s="1837"/>
      <c r="BG1399" s="1837"/>
    </row>
    <row r="1400" spans="12:59">
      <c r="L1400" s="626">
        <v>502.02</v>
      </c>
      <c r="M1400" s="626" t="s">
        <v>82</v>
      </c>
      <c r="AB1400" s="626">
        <v>203.22</v>
      </c>
      <c r="AC1400" s="626" t="s">
        <v>36</v>
      </c>
      <c r="AP1400" s="1837"/>
      <c r="AQ1400" s="1837"/>
      <c r="BF1400" s="1837"/>
      <c r="BG1400" s="1837"/>
    </row>
    <row r="1401" spans="12:59">
      <c r="L1401" s="626">
        <v>502.03</v>
      </c>
      <c r="M1401" s="626" t="s">
        <v>82</v>
      </c>
      <c r="AB1401" s="626">
        <v>203.25</v>
      </c>
      <c r="AC1401" s="626" t="s">
        <v>36</v>
      </c>
      <c r="AP1401" s="1837"/>
      <c r="AQ1401" s="1837"/>
      <c r="BF1401" s="1837"/>
      <c r="BG1401" s="1837"/>
    </row>
    <row r="1402" spans="12:59">
      <c r="L1402" s="626">
        <v>503.03</v>
      </c>
      <c r="M1402" s="626" t="s">
        <v>82</v>
      </c>
      <c r="AB1402" s="626">
        <v>203.26</v>
      </c>
      <c r="AC1402" s="626" t="s">
        <v>36</v>
      </c>
      <c r="AP1402" s="1837"/>
      <c r="AQ1402" s="1837"/>
      <c r="BF1402" s="1837"/>
      <c r="BG1402" s="1837"/>
    </row>
    <row r="1403" spans="12:59">
      <c r="L1403" s="626">
        <v>505.02</v>
      </c>
      <c r="M1403" s="626" t="s">
        <v>82</v>
      </c>
      <c r="AB1403" s="626">
        <v>204</v>
      </c>
      <c r="AC1403" s="626" t="s">
        <v>41</v>
      </c>
      <c r="AP1403" s="1837"/>
      <c r="AQ1403" s="1837"/>
      <c r="BF1403" s="1837"/>
      <c r="BG1403" s="1837"/>
    </row>
    <row r="1404" spans="12:59">
      <c r="L1404" s="626">
        <v>505.04</v>
      </c>
      <c r="M1404" s="626" t="s">
        <v>82</v>
      </c>
      <c r="AB1404" s="626">
        <v>204</v>
      </c>
      <c r="AC1404" s="626" t="s">
        <v>70</v>
      </c>
      <c r="AP1404" s="1837"/>
      <c r="AQ1404" s="1837"/>
      <c r="BF1404" s="1837"/>
      <c r="BG1404" s="1837"/>
    </row>
    <row r="1405" spans="12:59">
      <c r="L1405" s="626">
        <v>206</v>
      </c>
      <c r="M1405" s="626" t="s">
        <v>83</v>
      </c>
      <c r="AB1405" s="626">
        <v>204</v>
      </c>
      <c r="AC1405" s="626" t="s">
        <v>89</v>
      </c>
      <c r="AP1405" s="1837"/>
      <c r="AQ1405" s="1837"/>
      <c r="BF1405" s="1837"/>
      <c r="BG1405" s="1837"/>
    </row>
    <row r="1406" spans="12:59">
      <c r="L1406" s="626">
        <v>208</v>
      </c>
      <c r="M1406" s="626" t="s">
        <v>83</v>
      </c>
      <c r="AB1406" s="626">
        <v>204.06</v>
      </c>
      <c r="AC1406" s="626" t="s">
        <v>36</v>
      </c>
      <c r="AP1406" s="1837"/>
      <c r="AQ1406" s="1837"/>
      <c r="BF1406" s="1837"/>
      <c r="BG1406" s="1837"/>
    </row>
    <row r="1407" spans="12:59">
      <c r="L1407" s="626">
        <v>209</v>
      </c>
      <c r="M1407" s="626" t="s">
        <v>83</v>
      </c>
      <c r="AB1407" s="626">
        <v>204.11</v>
      </c>
      <c r="AC1407" s="626" t="s">
        <v>36</v>
      </c>
      <c r="AP1407" s="1837"/>
      <c r="AQ1407" s="1837"/>
      <c r="BF1407" s="1837"/>
      <c r="BG1407" s="1837"/>
    </row>
    <row r="1408" spans="12:59">
      <c r="L1408" s="626">
        <v>210.01</v>
      </c>
      <c r="M1408" s="626" t="s">
        <v>83</v>
      </c>
      <c r="AB1408" s="626">
        <v>204.14</v>
      </c>
      <c r="AC1408" s="626" t="s">
        <v>36</v>
      </c>
      <c r="AP1408" s="1837"/>
      <c r="AQ1408" s="1837"/>
      <c r="BF1408" s="1837"/>
      <c r="BG1408" s="1837"/>
    </row>
    <row r="1409" spans="12:59">
      <c r="L1409" s="626">
        <v>210.02</v>
      </c>
      <c r="M1409" s="626" t="s">
        <v>83</v>
      </c>
      <c r="AB1409" s="626">
        <v>205</v>
      </c>
      <c r="AC1409" s="626" t="s">
        <v>54</v>
      </c>
      <c r="AP1409" s="1837"/>
      <c r="AQ1409" s="1837"/>
      <c r="BF1409" s="1837"/>
      <c r="BG1409" s="1837"/>
    </row>
    <row r="1410" spans="12:59">
      <c r="L1410" s="626">
        <v>211.02</v>
      </c>
      <c r="M1410" s="626" t="s">
        <v>83</v>
      </c>
      <c r="AB1410" s="626">
        <v>205</v>
      </c>
      <c r="AC1410" s="626" t="s">
        <v>93</v>
      </c>
      <c r="AP1410" s="1837"/>
      <c r="AQ1410" s="1837"/>
      <c r="BF1410" s="1837"/>
      <c r="BG1410" s="1837"/>
    </row>
    <row r="1411" spans="12:59">
      <c r="L1411" s="626">
        <v>215.01</v>
      </c>
      <c r="M1411" s="626" t="s">
        <v>83</v>
      </c>
      <c r="AB1411" s="626">
        <v>205.01</v>
      </c>
      <c r="AC1411" s="626" t="s">
        <v>36</v>
      </c>
      <c r="AP1411" s="1837"/>
      <c r="AQ1411" s="1837"/>
      <c r="BF1411" s="1837"/>
      <c r="BG1411" s="1837"/>
    </row>
    <row r="1412" spans="12:59">
      <c r="L1412" s="626">
        <v>216</v>
      </c>
      <c r="M1412" s="626" t="s">
        <v>83</v>
      </c>
      <c r="AB1412" s="626">
        <v>205.01</v>
      </c>
      <c r="AC1412" s="626" t="s">
        <v>41</v>
      </c>
      <c r="AP1412" s="1837"/>
      <c r="AQ1412" s="1837"/>
      <c r="BF1412" s="1837"/>
      <c r="BG1412" s="1837"/>
    </row>
    <row r="1413" spans="12:59">
      <c r="L1413" s="626">
        <v>217</v>
      </c>
      <c r="M1413" s="626" t="s">
        <v>83</v>
      </c>
      <c r="AB1413" s="626">
        <v>205.02</v>
      </c>
      <c r="AC1413" s="626" t="s">
        <v>41</v>
      </c>
      <c r="AP1413" s="1837"/>
      <c r="AQ1413" s="1837"/>
      <c r="BF1413" s="1837"/>
      <c r="BG1413" s="1837"/>
    </row>
    <row r="1414" spans="12:59">
      <c r="L1414" s="626">
        <v>224</v>
      </c>
      <c r="M1414" s="626" t="s">
        <v>83</v>
      </c>
      <c r="AB1414" s="626">
        <v>206</v>
      </c>
      <c r="AC1414" s="626" t="s">
        <v>54</v>
      </c>
      <c r="AP1414" s="1837"/>
      <c r="AQ1414" s="1837"/>
      <c r="BF1414" s="1837"/>
      <c r="BG1414" s="1837"/>
    </row>
    <row r="1415" spans="12:59">
      <c r="L1415" s="626">
        <v>232</v>
      </c>
      <c r="M1415" s="626" t="s">
        <v>83</v>
      </c>
      <c r="AB1415" s="626">
        <v>206</v>
      </c>
      <c r="AC1415" s="626" t="s">
        <v>83</v>
      </c>
      <c r="AP1415" s="1837"/>
      <c r="AQ1415" s="1837"/>
      <c r="BF1415" s="1837"/>
      <c r="BG1415" s="1837"/>
    </row>
    <row r="1416" spans="12:59">
      <c r="L1416" s="626">
        <v>233.03</v>
      </c>
      <c r="M1416" s="626" t="s">
        <v>83</v>
      </c>
      <c r="AB1416" s="626">
        <v>206.01</v>
      </c>
      <c r="AC1416" s="626" t="s">
        <v>93</v>
      </c>
      <c r="AP1416" s="1837"/>
      <c r="AQ1416" s="1837"/>
      <c r="BF1416" s="1837"/>
      <c r="BG1416" s="1837"/>
    </row>
    <row r="1417" spans="12:59">
      <c r="L1417" s="626">
        <v>233.04</v>
      </c>
      <c r="M1417" s="626" t="s">
        <v>83</v>
      </c>
      <c r="AB1417" s="626">
        <v>206.02</v>
      </c>
      <c r="AC1417" s="626" t="s">
        <v>93</v>
      </c>
      <c r="AP1417" s="1837"/>
      <c r="AQ1417" s="1837"/>
      <c r="BF1417" s="1837"/>
      <c r="BG1417" s="1837"/>
    </row>
    <row r="1418" spans="12:59">
      <c r="L1418" s="626">
        <v>233.05</v>
      </c>
      <c r="M1418" s="626" t="s">
        <v>83</v>
      </c>
      <c r="AB1418" s="626">
        <v>207</v>
      </c>
      <c r="AC1418" s="626" t="s">
        <v>70</v>
      </c>
      <c r="AP1418" s="1837"/>
      <c r="AQ1418" s="1837"/>
      <c r="BF1418" s="1837"/>
      <c r="BG1418" s="1837"/>
    </row>
    <row r="1419" spans="12:59">
      <c r="L1419" s="626">
        <v>233.06</v>
      </c>
      <c r="M1419" s="626" t="s">
        <v>83</v>
      </c>
      <c r="AB1419" s="626">
        <v>207.01</v>
      </c>
      <c r="AC1419" s="626" t="s">
        <v>97</v>
      </c>
      <c r="AP1419" s="1837"/>
      <c r="AQ1419" s="1837"/>
      <c r="BF1419" s="1837"/>
      <c r="BG1419" s="1837"/>
    </row>
    <row r="1420" spans="12:59">
      <c r="L1420" s="626">
        <v>233.08</v>
      </c>
      <c r="M1420" s="626" t="s">
        <v>83</v>
      </c>
      <c r="AB1420" s="626">
        <v>207.03</v>
      </c>
      <c r="AC1420" s="626" t="s">
        <v>97</v>
      </c>
      <c r="AP1420" s="1837"/>
      <c r="AQ1420" s="1837"/>
      <c r="BF1420" s="1837"/>
      <c r="BG1420" s="1837"/>
    </row>
    <row r="1421" spans="12:59">
      <c r="L1421" s="626">
        <v>9101.01</v>
      </c>
      <c r="M1421" s="626" t="s">
        <v>84</v>
      </c>
      <c r="AB1421" s="626">
        <v>207.04</v>
      </c>
      <c r="AC1421" s="626" t="s">
        <v>93</v>
      </c>
      <c r="AP1421" s="1837"/>
      <c r="AQ1421" s="1837"/>
      <c r="BF1421" s="1837"/>
      <c r="BG1421" s="1837"/>
    </row>
    <row r="1422" spans="12:59">
      <c r="L1422" s="626">
        <v>9101.02</v>
      </c>
      <c r="M1422" s="626" t="s">
        <v>84</v>
      </c>
      <c r="AB1422" s="626">
        <v>207.04</v>
      </c>
      <c r="AC1422" s="626" t="s">
        <v>97</v>
      </c>
      <c r="AP1422" s="1837"/>
      <c r="AQ1422" s="1837"/>
      <c r="BF1422" s="1837"/>
      <c r="BG1422" s="1837"/>
    </row>
    <row r="1423" spans="12:59">
      <c r="L1423" s="626">
        <v>9104.01</v>
      </c>
      <c r="M1423" s="626" t="s">
        <v>84</v>
      </c>
      <c r="AB1423" s="626">
        <v>207.05</v>
      </c>
      <c r="AC1423" s="626" t="s">
        <v>93</v>
      </c>
      <c r="AP1423" s="1837"/>
      <c r="AQ1423" s="1837"/>
      <c r="BF1423" s="1837"/>
      <c r="BG1423" s="1837"/>
    </row>
    <row r="1424" spans="12:59">
      <c r="L1424" s="626">
        <v>9105</v>
      </c>
      <c r="M1424" s="626" t="s">
        <v>84</v>
      </c>
      <c r="AB1424" s="626">
        <v>207.05</v>
      </c>
      <c r="AC1424" s="626" t="s">
        <v>97</v>
      </c>
      <c r="AP1424" s="1837"/>
      <c r="AQ1424" s="1837"/>
      <c r="BF1424" s="1837"/>
      <c r="BG1424" s="1837"/>
    </row>
    <row r="1425" spans="12:59">
      <c r="L1425" s="626">
        <v>9106.01</v>
      </c>
      <c r="M1425" s="626" t="s">
        <v>84</v>
      </c>
      <c r="AB1425" s="626">
        <v>207.06</v>
      </c>
      <c r="AC1425" s="626" t="s">
        <v>93</v>
      </c>
      <c r="AP1425" s="1837"/>
      <c r="AQ1425" s="1837"/>
      <c r="BF1425" s="1837"/>
      <c r="BG1425" s="1837"/>
    </row>
    <row r="1426" spans="12:59">
      <c r="L1426" s="626">
        <v>9106.02</v>
      </c>
      <c r="M1426" s="626" t="s">
        <v>84</v>
      </c>
      <c r="AB1426" s="626">
        <v>207.07</v>
      </c>
      <c r="AC1426" s="626" t="s">
        <v>93</v>
      </c>
      <c r="AP1426" s="1837"/>
      <c r="AQ1426" s="1837"/>
      <c r="BF1426" s="1837"/>
      <c r="BG1426" s="1837"/>
    </row>
    <row r="1427" spans="12:59">
      <c r="L1427" s="626">
        <v>102</v>
      </c>
      <c r="M1427" s="626" t="s">
        <v>85</v>
      </c>
      <c r="AB1427" s="626">
        <v>207.08</v>
      </c>
      <c r="AC1427" s="626" t="s">
        <v>93</v>
      </c>
      <c r="AP1427" s="1837"/>
      <c r="AQ1427" s="1837"/>
      <c r="BF1427" s="1837"/>
      <c r="BG1427" s="1837"/>
    </row>
    <row r="1428" spans="12:59">
      <c r="L1428" s="626">
        <v>103</v>
      </c>
      <c r="M1428" s="626" t="s">
        <v>85</v>
      </c>
      <c r="AB1428" s="626">
        <v>207.1</v>
      </c>
      <c r="AC1428" s="626" t="s">
        <v>93</v>
      </c>
      <c r="AP1428" s="1837"/>
      <c r="AQ1428" s="1837"/>
      <c r="BF1428" s="1837"/>
      <c r="BG1428" s="1837"/>
    </row>
    <row r="1429" spans="12:59">
      <c r="L1429" s="626">
        <v>108.02</v>
      </c>
      <c r="M1429" s="626" t="s">
        <v>85</v>
      </c>
      <c r="AB1429" s="626">
        <v>207.11</v>
      </c>
      <c r="AC1429" s="626" t="s">
        <v>93</v>
      </c>
      <c r="AP1429" s="1837"/>
      <c r="AQ1429" s="1837"/>
      <c r="BF1429" s="1837"/>
      <c r="BG1429" s="1837"/>
    </row>
    <row r="1430" spans="12:59">
      <c r="L1430" s="626">
        <v>110</v>
      </c>
      <c r="M1430" s="626" t="s">
        <v>85</v>
      </c>
      <c r="AB1430" s="626">
        <v>208</v>
      </c>
      <c r="AC1430" s="626" t="s">
        <v>83</v>
      </c>
      <c r="AP1430" s="1837"/>
      <c r="AQ1430" s="1837"/>
      <c r="BF1430" s="1837"/>
      <c r="BG1430" s="1837"/>
    </row>
    <row r="1431" spans="12:59">
      <c r="L1431" s="626">
        <v>111</v>
      </c>
      <c r="M1431" s="626" t="s">
        <v>85</v>
      </c>
      <c r="AB1431" s="626">
        <v>208.01</v>
      </c>
      <c r="AC1431" s="626" t="s">
        <v>93</v>
      </c>
      <c r="AP1431" s="1837"/>
      <c r="AQ1431" s="1837"/>
      <c r="BF1431" s="1837"/>
      <c r="BG1431" s="1837"/>
    </row>
    <row r="1432" spans="12:59">
      <c r="L1432" s="626">
        <v>112</v>
      </c>
      <c r="M1432" s="626" t="s">
        <v>85</v>
      </c>
      <c r="AB1432" s="626">
        <v>208.02</v>
      </c>
      <c r="AC1432" s="626" t="s">
        <v>93</v>
      </c>
      <c r="AP1432" s="1837"/>
      <c r="AQ1432" s="1837"/>
      <c r="BF1432" s="1837"/>
      <c r="BG1432" s="1837"/>
    </row>
    <row r="1433" spans="12:59">
      <c r="L1433" s="626">
        <v>113</v>
      </c>
      <c r="M1433" s="626" t="s">
        <v>85</v>
      </c>
      <c r="AB1433" s="626">
        <v>208.03</v>
      </c>
      <c r="AC1433" s="626" t="s">
        <v>93</v>
      </c>
      <c r="AP1433" s="1837"/>
      <c r="AQ1433" s="1837"/>
      <c r="BF1433" s="1837"/>
      <c r="BG1433" s="1837"/>
    </row>
    <row r="1434" spans="12:59">
      <c r="L1434" s="626">
        <v>123.03</v>
      </c>
      <c r="M1434" s="626" t="s">
        <v>85</v>
      </c>
      <c r="AB1434" s="626">
        <v>208.03</v>
      </c>
      <c r="AC1434" s="626" t="s">
        <v>97</v>
      </c>
      <c r="AP1434" s="1837"/>
      <c r="AQ1434" s="1837"/>
      <c r="BF1434" s="1837"/>
      <c r="BG1434" s="1837"/>
    </row>
    <row r="1435" spans="12:59">
      <c r="L1435" s="626">
        <v>125</v>
      </c>
      <c r="M1435" s="626" t="s">
        <v>85</v>
      </c>
      <c r="AB1435" s="626">
        <v>208.05</v>
      </c>
      <c r="AC1435" s="626" t="s">
        <v>93</v>
      </c>
      <c r="AP1435" s="1837"/>
      <c r="AQ1435" s="1837"/>
      <c r="BF1435" s="1837"/>
      <c r="BG1435" s="1837"/>
    </row>
    <row r="1436" spans="12:59">
      <c r="L1436" s="626">
        <v>126</v>
      </c>
      <c r="M1436" s="626" t="s">
        <v>85</v>
      </c>
      <c r="AB1436" s="626">
        <v>208.05</v>
      </c>
      <c r="AC1436" s="626" t="s">
        <v>97</v>
      </c>
      <c r="AP1436" s="1837"/>
      <c r="AQ1436" s="1837"/>
      <c r="BF1436" s="1837"/>
      <c r="BG1436" s="1837"/>
    </row>
    <row r="1437" spans="12:59">
      <c r="L1437" s="626">
        <v>127.01</v>
      </c>
      <c r="M1437" s="626" t="s">
        <v>85</v>
      </c>
      <c r="AB1437" s="626">
        <v>208.06</v>
      </c>
      <c r="AC1437" s="626" t="s">
        <v>93</v>
      </c>
      <c r="AP1437" s="1837"/>
      <c r="AQ1437" s="1837"/>
      <c r="BF1437" s="1837"/>
      <c r="BG1437" s="1837"/>
    </row>
    <row r="1438" spans="12:59">
      <c r="L1438" s="626">
        <v>128</v>
      </c>
      <c r="M1438" s="626" t="s">
        <v>85</v>
      </c>
      <c r="AB1438" s="626">
        <v>208.07</v>
      </c>
      <c r="AC1438" s="626" t="s">
        <v>93</v>
      </c>
      <c r="AP1438" s="1837"/>
      <c r="AQ1438" s="1837"/>
      <c r="BF1438" s="1837"/>
      <c r="BG1438" s="1837"/>
    </row>
    <row r="1439" spans="12:59">
      <c r="L1439" s="626">
        <v>129</v>
      </c>
      <c r="M1439" s="626" t="s">
        <v>85</v>
      </c>
      <c r="AB1439" s="626">
        <v>208.08</v>
      </c>
      <c r="AC1439" s="626" t="s">
        <v>97</v>
      </c>
      <c r="AP1439" s="1837"/>
      <c r="AQ1439" s="1837"/>
      <c r="BF1439" s="1837"/>
      <c r="BG1439" s="1837"/>
    </row>
    <row r="1440" spans="12:59">
      <c r="L1440" s="626">
        <v>135.07</v>
      </c>
      <c r="M1440" s="626" t="s">
        <v>85</v>
      </c>
      <c r="AB1440" s="626">
        <v>208.1</v>
      </c>
      <c r="AC1440" s="626" t="s">
        <v>97</v>
      </c>
      <c r="AP1440" s="1837"/>
      <c r="AQ1440" s="1837"/>
      <c r="BF1440" s="1837"/>
      <c r="BG1440" s="1837"/>
    </row>
    <row r="1441" spans="12:59">
      <c r="L1441" s="626">
        <v>135.09</v>
      </c>
      <c r="M1441" s="626" t="s">
        <v>85</v>
      </c>
      <c r="AB1441" s="626">
        <v>208.11</v>
      </c>
      <c r="AC1441" s="626" t="s">
        <v>97</v>
      </c>
      <c r="AP1441" s="1837"/>
      <c r="AQ1441" s="1837"/>
      <c r="BF1441" s="1837"/>
      <c r="BG1441" s="1837"/>
    </row>
    <row r="1442" spans="12:59">
      <c r="L1442" s="626">
        <v>136.04</v>
      </c>
      <c r="M1442" s="626" t="s">
        <v>85</v>
      </c>
      <c r="AB1442" s="626">
        <v>209</v>
      </c>
      <c r="AC1442" s="626" t="s">
        <v>41</v>
      </c>
      <c r="AP1442" s="1837"/>
      <c r="AQ1442" s="1837"/>
      <c r="BF1442" s="1837"/>
      <c r="BG1442" s="1837"/>
    </row>
    <row r="1443" spans="12:59">
      <c r="L1443" s="626">
        <v>138.01</v>
      </c>
      <c r="M1443" s="626" t="s">
        <v>85</v>
      </c>
      <c r="AB1443" s="626">
        <v>209</v>
      </c>
      <c r="AC1443" s="626" t="s">
        <v>83</v>
      </c>
      <c r="AP1443" s="1837"/>
      <c r="AQ1443" s="1837"/>
      <c r="BF1443" s="1837"/>
      <c r="BG1443" s="1837"/>
    </row>
    <row r="1444" spans="12:59">
      <c r="L1444" s="626">
        <v>138.02000000000001</v>
      </c>
      <c r="M1444" s="626" t="s">
        <v>85</v>
      </c>
      <c r="AB1444" s="626">
        <v>209.02</v>
      </c>
      <c r="AC1444" s="626" t="s">
        <v>93</v>
      </c>
      <c r="AP1444" s="1837"/>
      <c r="AQ1444" s="1837"/>
      <c r="BF1444" s="1837"/>
      <c r="BG1444" s="1837"/>
    </row>
    <row r="1445" spans="12:59">
      <c r="L1445" s="626">
        <v>138.03</v>
      </c>
      <c r="M1445" s="626" t="s">
        <v>85</v>
      </c>
      <c r="AB1445" s="626">
        <v>210.01</v>
      </c>
      <c r="AC1445" s="626" t="s">
        <v>41</v>
      </c>
      <c r="AP1445" s="1837"/>
      <c r="AQ1445" s="1837"/>
      <c r="BF1445" s="1837"/>
      <c r="BG1445" s="1837"/>
    </row>
    <row r="1446" spans="12:59">
      <c r="L1446" s="626">
        <v>139</v>
      </c>
      <c r="M1446" s="626" t="s">
        <v>85</v>
      </c>
      <c r="AB1446" s="626">
        <v>210.01</v>
      </c>
      <c r="AC1446" s="626" t="s">
        <v>83</v>
      </c>
      <c r="AP1446" s="1837"/>
      <c r="AQ1446" s="1837"/>
      <c r="BF1446" s="1837"/>
      <c r="BG1446" s="1837"/>
    </row>
    <row r="1447" spans="12:59">
      <c r="L1447" s="626">
        <v>140</v>
      </c>
      <c r="M1447" s="626" t="s">
        <v>85</v>
      </c>
      <c r="AB1447" s="626">
        <v>210.02</v>
      </c>
      <c r="AC1447" s="626" t="s">
        <v>83</v>
      </c>
      <c r="AP1447" s="1837"/>
      <c r="AQ1447" s="1837"/>
      <c r="BF1447" s="1837"/>
      <c r="BG1447" s="1837"/>
    </row>
    <row r="1448" spans="12:59">
      <c r="L1448" s="626">
        <v>141</v>
      </c>
      <c r="M1448" s="626" t="s">
        <v>85</v>
      </c>
      <c r="AB1448" s="626">
        <v>210.03</v>
      </c>
      <c r="AC1448" s="626" t="s">
        <v>41</v>
      </c>
      <c r="AP1448" s="1837"/>
      <c r="AQ1448" s="1837"/>
      <c r="BF1448" s="1837"/>
      <c r="BG1448" s="1837"/>
    </row>
    <row r="1449" spans="12:59">
      <c r="L1449" s="626">
        <v>144</v>
      </c>
      <c r="M1449" s="626" t="s">
        <v>85</v>
      </c>
      <c r="AB1449" s="626">
        <v>211.02</v>
      </c>
      <c r="AC1449" s="626" t="s">
        <v>83</v>
      </c>
      <c r="AP1449" s="1837"/>
      <c r="AQ1449" s="1837"/>
      <c r="BF1449" s="1837"/>
      <c r="BG1449" s="1837"/>
    </row>
    <row r="1450" spans="12:59">
      <c r="L1450" s="626">
        <v>145.04</v>
      </c>
      <c r="M1450" s="626" t="s">
        <v>85</v>
      </c>
      <c r="AB1450" s="626">
        <v>212.01</v>
      </c>
      <c r="AC1450" s="626" t="s">
        <v>97</v>
      </c>
      <c r="AP1450" s="1837"/>
      <c r="AQ1450" s="1837"/>
      <c r="BF1450" s="1837"/>
      <c r="BG1450" s="1837"/>
    </row>
    <row r="1451" spans="12:59">
      <c r="L1451" s="626">
        <v>146.06</v>
      </c>
      <c r="M1451" s="626" t="s">
        <v>85</v>
      </c>
      <c r="AB1451" s="626">
        <v>212.03</v>
      </c>
      <c r="AC1451" s="626" t="s">
        <v>97</v>
      </c>
      <c r="AP1451" s="1837"/>
      <c r="AQ1451" s="1837"/>
      <c r="BF1451" s="1837"/>
      <c r="BG1451" s="1837"/>
    </row>
    <row r="1452" spans="12:59">
      <c r="L1452" s="626">
        <v>146.07</v>
      </c>
      <c r="M1452" s="626" t="s">
        <v>85</v>
      </c>
      <c r="AB1452" s="626">
        <v>212.04</v>
      </c>
      <c r="AC1452" s="626" t="s">
        <v>93</v>
      </c>
      <c r="AP1452" s="1837"/>
      <c r="AQ1452" s="1837"/>
      <c r="BF1452" s="1837"/>
      <c r="BG1452" s="1837"/>
    </row>
    <row r="1453" spans="12:59">
      <c r="L1453" s="626">
        <v>147.02000000000001</v>
      </c>
      <c r="M1453" s="626" t="s">
        <v>85</v>
      </c>
      <c r="AB1453" s="626">
        <v>212.04</v>
      </c>
      <c r="AC1453" s="626" t="s">
        <v>97</v>
      </c>
      <c r="AP1453" s="1837"/>
      <c r="AQ1453" s="1837"/>
      <c r="BF1453" s="1837"/>
      <c r="BG1453" s="1837"/>
    </row>
    <row r="1454" spans="12:59">
      <c r="L1454" s="626">
        <v>147.03</v>
      </c>
      <c r="M1454" s="626" t="s">
        <v>85</v>
      </c>
      <c r="AB1454" s="626">
        <v>213.02</v>
      </c>
      <c r="AC1454" s="626" t="s">
        <v>93</v>
      </c>
      <c r="AP1454" s="1837"/>
      <c r="AQ1454" s="1837"/>
      <c r="BF1454" s="1837"/>
      <c r="BG1454" s="1837"/>
    </row>
    <row r="1455" spans="12:59">
      <c r="L1455" s="626">
        <v>147.04</v>
      </c>
      <c r="M1455" s="626" t="s">
        <v>85</v>
      </c>
      <c r="AB1455" s="626">
        <v>213.06</v>
      </c>
      <c r="AC1455" s="626" t="s">
        <v>97</v>
      </c>
      <c r="AP1455" s="1837"/>
      <c r="AQ1455" s="1837"/>
      <c r="BF1455" s="1837"/>
      <c r="BG1455" s="1837"/>
    </row>
    <row r="1456" spans="12:59">
      <c r="L1456" s="626">
        <v>148.06</v>
      </c>
      <c r="M1456" s="626" t="s">
        <v>85</v>
      </c>
      <c r="AB1456" s="626">
        <v>213.07</v>
      </c>
      <c r="AC1456" s="626" t="s">
        <v>97</v>
      </c>
      <c r="AP1456" s="1837"/>
      <c r="AQ1456" s="1837"/>
      <c r="BF1456" s="1837"/>
      <c r="BG1456" s="1837"/>
    </row>
    <row r="1457" spans="12:59">
      <c r="L1457" s="626">
        <v>148.07</v>
      </c>
      <c r="M1457" s="626" t="s">
        <v>85</v>
      </c>
      <c r="AB1457" s="626">
        <v>213.11</v>
      </c>
      <c r="AC1457" s="626" t="s">
        <v>97</v>
      </c>
      <c r="AP1457" s="1837"/>
      <c r="AQ1457" s="1837"/>
      <c r="BF1457" s="1837"/>
      <c r="BG1457" s="1837"/>
    </row>
    <row r="1458" spans="12:59">
      <c r="L1458" s="626">
        <v>148.08000000000001</v>
      </c>
      <c r="M1458" s="626" t="s">
        <v>85</v>
      </c>
      <c r="AB1458" s="626">
        <v>213.12</v>
      </c>
      <c r="AC1458" s="626" t="s">
        <v>97</v>
      </c>
      <c r="AP1458" s="1837"/>
      <c r="AQ1458" s="1837"/>
      <c r="BF1458" s="1837"/>
      <c r="BG1458" s="1837"/>
    </row>
    <row r="1459" spans="12:59">
      <c r="L1459" s="626">
        <v>148.09</v>
      </c>
      <c r="M1459" s="626" t="s">
        <v>85</v>
      </c>
      <c r="AB1459" s="626">
        <v>213.13</v>
      </c>
      <c r="AC1459" s="626" t="s">
        <v>97</v>
      </c>
      <c r="AP1459" s="1837"/>
      <c r="AQ1459" s="1837"/>
      <c r="BF1459" s="1837"/>
      <c r="BG1459" s="1837"/>
    </row>
    <row r="1460" spans="12:59">
      <c r="L1460" s="626">
        <v>148.1</v>
      </c>
      <c r="M1460" s="626" t="s">
        <v>85</v>
      </c>
      <c r="AB1460" s="626">
        <v>213.14</v>
      </c>
      <c r="AC1460" s="626" t="s">
        <v>97</v>
      </c>
      <c r="AP1460" s="1837"/>
      <c r="AQ1460" s="1837"/>
      <c r="BF1460" s="1837"/>
      <c r="BG1460" s="1837"/>
    </row>
    <row r="1461" spans="12:59">
      <c r="L1461" s="626">
        <v>148.11000000000001</v>
      </c>
      <c r="M1461" s="626" t="s">
        <v>85</v>
      </c>
      <c r="AB1461" s="626">
        <v>213.15</v>
      </c>
      <c r="AC1461" s="626" t="s">
        <v>97</v>
      </c>
      <c r="AP1461" s="1837"/>
      <c r="AQ1461" s="1837"/>
      <c r="BF1461" s="1837"/>
      <c r="BG1461" s="1837"/>
    </row>
    <row r="1462" spans="12:59">
      <c r="L1462" s="626">
        <v>148.12</v>
      </c>
      <c r="M1462" s="626" t="s">
        <v>85</v>
      </c>
      <c r="AB1462" s="626">
        <v>213.16</v>
      </c>
      <c r="AC1462" s="626" t="s">
        <v>97</v>
      </c>
      <c r="AP1462" s="1837"/>
      <c r="AQ1462" s="1837"/>
      <c r="BF1462" s="1837"/>
      <c r="BG1462" s="1837"/>
    </row>
    <row r="1463" spans="12:59">
      <c r="L1463" s="626">
        <v>148.13</v>
      </c>
      <c r="M1463" s="626" t="s">
        <v>85</v>
      </c>
      <c r="AB1463" s="626">
        <v>213.17</v>
      </c>
      <c r="AC1463" s="626" t="s">
        <v>97</v>
      </c>
      <c r="AP1463" s="1837"/>
      <c r="AQ1463" s="1837"/>
      <c r="BF1463" s="1837"/>
      <c r="BG1463" s="1837"/>
    </row>
    <row r="1464" spans="12:59">
      <c r="L1464" s="626">
        <v>149.06</v>
      </c>
      <c r="M1464" s="626" t="s">
        <v>85</v>
      </c>
      <c r="AB1464" s="626">
        <v>213.18</v>
      </c>
      <c r="AC1464" s="626" t="s">
        <v>97</v>
      </c>
      <c r="AP1464" s="1837"/>
      <c r="AQ1464" s="1837"/>
      <c r="BF1464" s="1837"/>
      <c r="BG1464" s="1837"/>
    </row>
    <row r="1465" spans="12:59">
      <c r="L1465" s="626">
        <v>150.02000000000001</v>
      </c>
      <c r="M1465" s="626" t="s">
        <v>85</v>
      </c>
      <c r="AB1465" s="626">
        <v>213.2</v>
      </c>
      <c r="AC1465" s="626" t="s">
        <v>97</v>
      </c>
      <c r="AP1465" s="1837"/>
      <c r="AQ1465" s="1837"/>
      <c r="BF1465" s="1837"/>
      <c r="BG1465" s="1837"/>
    </row>
    <row r="1466" spans="12:59">
      <c r="L1466" s="626">
        <v>150.04</v>
      </c>
      <c r="M1466" s="626" t="s">
        <v>85</v>
      </c>
      <c r="AB1466" s="626">
        <v>213.21</v>
      </c>
      <c r="AC1466" s="626" t="s">
        <v>97</v>
      </c>
      <c r="AP1466" s="1837"/>
      <c r="AQ1466" s="1837"/>
      <c r="BF1466" s="1837"/>
      <c r="BG1466" s="1837"/>
    </row>
    <row r="1467" spans="12:59">
      <c r="L1467" s="626">
        <v>151.03</v>
      </c>
      <c r="M1467" s="626" t="s">
        <v>85</v>
      </c>
      <c r="AB1467" s="626">
        <v>214.03</v>
      </c>
      <c r="AC1467" s="626" t="s">
        <v>93</v>
      </c>
      <c r="AP1467" s="1837"/>
      <c r="AQ1467" s="1837"/>
      <c r="BF1467" s="1837"/>
      <c r="BG1467" s="1837"/>
    </row>
    <row r="1468" spans="12:59">
      <c r="L1468" s="626">
        <v>152.01</v>
      </c>
      <c r="M1468" s="626" t="s">
        <v>85</v>
      </c>
      <c r="AB1468" s="626">
        <v>214.03</v>
      </c>
      <c r="AC1468" s="626" t="s">
        <v>97</v>
      </c>
      <c r="AP1468" s="1837"/>
      <c r="AQ1468" s="1837"/>
      <c r="BF1468" s="1837"/>
      <c r="BG1468" s="1837"/>
    </row>
    <row r="1469" spans="12:59">
      <c r="L1469" s="626">
        <v>153</v>
      </c>
      <c r="M1469" s="626" t="s">
        <v>85</v>
      </c>
      <c r="AB1469" s="626">
        <v>214.04</v>
      </c>
      <c r="AC1469" s="626" t="s">
        <v>93</v>
      </c>
      <c r="AP1469" s="1837"/>
      <c r="AQ1469" s="1837"/>
      <c r="BF1469" s="1837"/>
      <c r="BG1469" s="1837"/>
    </row>
    <row r="1470" spans="12:59">
      <c r="L1470" s="626">
        <v>154.02000000000001</v>
      </c>
      <c r="M1470" s="626" t="s">
        <v>85</v>
      </c>
      <c r="AB1470" s="626">
        <v>214.05</v>
      </c>
      <c r="AC1470" s="626" t="s">
        <v>93</v>
      </c>
      <c r="AP1470" s="1837"/>
      <c r="AQ1470" s="1837"/>
      <c r="BF1470" s="1837"/>
      <c r="BG1470" s="1837"/>
    </row>
    <row r="1471" spans="12:59">
      <c r="L1471" s="626">
        <v>155.01</v>
      </c>
      <c r="M1471" s="626" t="s">
        <v>85</v>
      </c>
      <c r="AB1471" s="626">
        <v>214.06</v>
      </c>
      <c r="AC1471" s="626" t="s">
        <v>93</v>
      </c>
      <c r="AP1471" s="1837"/>
      <c r="AQ1471" s="1837"/>
      <c r="BF1471" s="1837"/>
      <c r="BG1471" s="1837"/>
    </row>
    <row r="1472" spans="12:59">
      <c r="L1472" s="626">
        <v>156.01</v>
      </c>
      <c r="M1472" s="626" t="s">
        <v>85</v>
      </c>
      <c r="AB1472" s="626">
        <v>214.07</v>
      </c>
      <c r="AC1472" s="626" t="s">
        <v>93</v>
      </c>
      <c r="AP1472" s="1837"/>
      <c r="AQ1472" s="1837"/>
      <c r="BF1472" s="1837"/>
      <c r="BG1472" s="1837"/>
    </row>
    <row r="1473" spans="12:59">
      <c r="L1473" s="626">
        <v>156.02000000000001</v>
      </c>
      <c r="M1473" s="626" t="s">
        <v>85</v>
      </c>
      <c r="AB1473" s="626">
        <v>215.01</v>
      </c>
      <c r="AC1473" s="626" t="s">
        <v>83</v>
      </c>
      <c r="AP1473" s="1837"/>
      <c r="AQ1473" s="1837"/>
      <c r="BF1473" s="1837"/>
      <c r="BG1473" s="1837"/>
    </row>
    <row r="1474" spans="12:59">
      <c r="L1474" s="626">
        <v>157.01</v>
      </c>
      <c r="M1474" s="626" t="s">
        <v>85</v>
      </c>
      <c r="AB1474" s="626">
        <v>215.04</v>
      </c>
      <c r="AC1474" s="626" t="s">
        <v>97</v>
      </c>
      <c r="AP1474" s="1837"/>
      <c r="AQ1474" s="1837"/>
      <c r="BF1474" s="1837"/>
      <c r="BG1474" s="1837"/>
    </row>
    <row r="1475" spans="12:59">
      <c r="L1475" s="626">
        <v>157.02000000000001</v>
      </c>
      <c r="M1475" s="626" t="s">
        <v>85</v>
      </c>
      <c r="AB1475" s="626">
        <v>215.05</v>
      </c>
      <c r="AC1475" s="626" t="s">
        <v>97</v>
      </c>
      <c r="AP1475" s="1837"/>
      <c r="AQ1475" s="1837"/>
      <c r="BF1475" s="1837"/>
      <c r="BG1475" s="1837"/>
    </row>
    <row r="1476" spans="12:59">
      <c r="L1476" s="626">
        <v>158.01</v>
      </c>
      <c r="M1476" s="626" t="s">
        <v>85</v>
      </c>
      <c r="AB1476" s="626">
        <v>216</v>
      </c>
      <c r="AC1476" s="626" t="s">
        <v>83</v>
      </c>
      <c r="AP1476" s="1837"/>
      <c r="AQ1476" s="1837"/>
      <c r="BF1476" s="1837"/>
      <c r="BG1476" s="1837"/>
    </row>
    <row r="1477" spans="12:59">
      <c r="L1477" s="626">
        <v>158.02000000000001</v>
      </c>
      <c r="M1477" s="626" t="s">
        <v>85</v>
      </c>
      <c r="AB1477" s="626">
        <v>216.04</v>
      </c>
      <c r="AC1477" s="626" t="s">
        <v>97</v>
      </c>
      <c r="AP1477" s="1837"/>
      <c r="AQ1477" s="1837"/>
      <c r="BF1477" s="1837"/>
      <c r="BG1477" s="1837"/>
    </row>
    <row r="1478" spans="12:59">
      <c r="L1478" s="626">
        <v>159.02000000000001</v>
      </c>
      <c r="M1478" s="626" t="s">
        <v>85</v>
      </c>
      <c r="AB1478" s="626">
        <v>216.09</v>
      </c>
      <c r="AC1478" s="626" t="s">
        <v>97</v>
      </c>
      <c r="AP1478" s="1837"/>
      <c r="AQ1478" s="1837"/>
      <c r="BF1478" s="1837"/>
      <c r="BG1478" s="1837"/>
    </row>
    <row r="1479" spans="12:59">
      <c r="L1479" s="626">
        <v>160.01</v>
      </c>
      <c r="M1479" s="626" t="s">
        <v>85</v>
      </c>
      <c r="AB1479" s="626">
        <v>216.11</v>
      </c>
      <c r="AC1479" s="626" t="s">
        <v>97</v>
      </c>
      <c r="AP1479" s="1837"/>
      <c r="AQ1479" s="1837"/>
      <c r="BF1479" s="1837"/>
      <c r="BG1479" s="1837"/>
    </row>
    <row r="1480" spans="12:59">
      <c r="L1480" s="626">
        <v>160.02000000000001</v>
      </c>
      <c r="M1480" s="626" t="s">
        <v>85</v>
      </c>
      <c r="AB1480" s="626">
        <v>216.12</v>
      </c>
      <c r="AC1480" s="626" t="s">
        <v>97</v>
      </c>
      <c r="AP1480" s="1837"/>
      <c r="AQ1480" s="1837"/>
      <c r="BF1480" s="1837"/>
      <c r="BG1480" s="1837"/>
    </row>
    <row r="1481" spans="12:59">
      <c r="L1481" s="626">
        <v>161</v>
      </c>
      <c r="M1481" s="626" t="s">
        <v>85</v>
      </c>
      <c r="AB1481" s="626">
        <v>216.14</v>
      </c>
      <c r="AC1481" s="626" t="s">
        <v>97</v>
      </c>
      <c r="AP1481" s="1837"/>
      <c r="AQ1481" s="1837"/>
      <c r="BF1481" s="1837"/>
      <c r="BG1481" s="1837"/>
    </row>
    <row r="1482" spans="12:59">
      <c r="L1482" s="626">
        <v>162</v>
      </c>
      <c r="M1482" s="626" t="s">
        <v>85</v>
      </c>
      <c r="AB1482" s="626">
        <v>216.15</v>
      </c>
      <c r="AC1482" s="626" t="s">
        <v>97</v>
      </c>
      <c r="AP1482" s="1837"/>
      <c r="AQ1482" s="1837"/>
      <c r="BF1482" s="1837"/>
      <c r="BG1482" s="1837"/>
    </row>
    <row r="1483" spans="12:59">
      <c r="L1483" s="626">
        <v>163.01</v>
      </c>
      <c r="M1483" s="626" t="s">
        <v>85</v>
      </c>
      <c r="AB1483" s="626">
        <v>216.16</v>
      </c>
      <c r="AC1483" s="626" t="s">
        <v>97</v>
      </c>
      <c r="AP1483" s="1837"/>
      <c r="AQ1483" s="1837"/>
      <c r="BF1483" s="1837"/>
      <c r="BG1483" s="1837"/>
    </row>
    <row r="1484" spans="12:59">
      <c r="L1484" s="626">
        <v>164.02</v>
      </c>
      <c r="M1484" s="626" t="s">
        <v>85</v>
      </c>
      <c r="AB1484" s="626">
        <v>217</v>
      </c>
      <c r="AC1484" s="626" t="s">
        <v>83</v>
      </c>
      <c r="AP1484" s="1837"/>
      <c r="AQ1484" s="1837"/>
      <c r="BF1484" s="1837"/>
      <c r="BG1484" s="1837"/>
    </row>
    <row r="1485" spans="12:59">
      <c r="L1485" s="626">
        <v>164.07</v>
      </c>
      <c r="M1485" s="626" t="s">
        <v>85</v>
      </c>
      <c r="AB1485" s="626">
        <v>217.04</v>
      </c>
      <c r="AC1485" s="626" t="s">
        <v>97</v>
      </c>
      <c r="AP1485" s="1837"/>
      <c r="AQ1485" s="1837"/>
      <c r="BF1485" s="1837"/>
      <c r="BG1485" s="1837"/>
    </row>
    <row r="1486" spans="12:59">
      <c r="L1486" s="626">
        <v>164.08</v>
      </c>
      <c r="M1486" s="626" t="s">
        <v>85</v>
      </c>
      <c r="AB1486" s="626">
        <v>217.06</v>
      </c>
      <c r="AC1486" s="626" t="s">
        <v>97</v>
      </c>
      <c r="AP1486" s="1837"/>
      <c r="AQ1486" s="1837"/>
      <c r="BF1486" s="1837"/>
      <c r="BG1486" s="1837"/>
    </row>
    <row r="1487" spans="12:59">
      <c r="L1487" s="626">
        <v>164.09</v>
      </c>
      <c r="M1487" s="626" t="s">
        <v>85</v>
      </c>
      <c r="AB1487" s="626">
        <v>217.07</v>
      </c>
      <c r="AC1487" s="626" t="s">
        <v>97</v>
      </c>
      <c r="AP1487" s="1837"/>
      <c r="AQ1487" s="1837"/>
      <c r="BF1487" s="1837"/>
      <c r="BG1487" s="1837"/>
    </row>
    <row r="1488" spans="12:59">
      <c r="L1488" s="626">
        <v>164.1</v>
      </c>
      <c r="M1488" s="626" t="s">
        <v>85</v>
      </c>
      <c r="AB1488" s="626">
        <v>217.08</v>
      </c>
      <c r="AC1488" s="626" t="s">
        <v>97</v>
      </c>
      <c r="AP1488" s="1837"/>
      <c r="AQ1488" s="1837"/>
      <c r="BF1488" s="1837"/>
      <c r="BG1488" s="1837"/>
    </row>
    <row r="1489" spans="12:59">
      <c r="L1489" s="626">
        <v>164.11</v>
      </c>
      <c r="M1489" s="626" t="s">
        <v>85</v>
      </c>
      <c r="AB1489" s="626">
        <v>218.03</v>
      </c>
      <c r="AC1489" s="626" t="s">
        <v>97</v>
      </c>
      <c r="AP1489" s="1837"/>
      <c r="AQ1489" s="1837"/>
      <c r="BF1489" s="1837"/>
      <c r="BG1489" s="1837"/>
    </row>
    <row r="1490" spans="12:59">
      <c r="L1490" s="626">
        <v>164.12</v>
      </c>
      <c r="M1490" s="626" t="s">
        <v>85</v>
      </c>
      <c r="AB1490" s="626">
        <v>218.05</v>
      </c>
      <c r="AC1490" s="626" t="s">
        <v>97</v>
      </c>
      <c r="AP1490" s="1837"/>
      <c r="AQ1490" s="1837"/>
      <c r="BF1490" s="1837"/>
      <c r="BG1490" s="1837"/>
    </row>
    <row r="1491" spans="12:59">
      <c r="L1491" s="626">
        <v>165.03</v>
      </c>
      <c r="M1491" s="626" t="s">
        <v>85</v>
      </c>
      <c r="AB1491" s="626">
        <v>218.06</v>
      </c>
      <c r="AC1491" s="626" t="s">
        <v>97</v>
      </c>
      <c r="AP1491" s="1837"/>
      <c r="AQ1491" s="1837"/>
      <c r="BF1491" s="1837"/>
      <c r="BG1491" s="1837"/>
    </row>
    <row r="1492" spans="12:59">
      <c r="L1492" s="626">
        <v>165.04</v>
      </c>
      <c r="M1492" s="626" t="s">
        <v>85</v>
      </c>
      <c r="AB1492" s="626">
        <v>219</v>
      </c>
      <c r="AC1492" s="626" t="s">
        <v>89</v>
      </c>
      <c r="AP1492" s="1837"/>
      <c r="AQ1492" s="1837"/>
      <c r="BF1492" s="1837"/>
      <c r="BG1492" s="1837"/>
    </row>
    <row r="1493" spans="12:59">
      <c r="L1493" s="626">
        <v>165.05</v>
      </c>
      <c r="M1493" s="626" t="s">
        <v>85</v>
      </c>
      <c r="AB1493" s="626">
        <v>219.01</v>
      </c>
      <c r="AC1493" s="626" t="s">
        <v>97</v>
      </c>
      <c r="AP1493" s="1837"/>
      <c r="AQ1493" s="1837"/>
      <c r="BF1493" s="1837"/>
      <c r="BG1493" s="1837"/>
    </row>
    <row r="1494" spans="12:59">
      <c r="L1494" s="626">
        <v>165.07</v>
      </c>
      <c r="M1494" s="626" t="s">
        <v>85</v>
      </c>
      <c r="AB1494" s="626">
        <v>221</v>
      </c>
      <c r="AC1494" s="626" t="s">
        <v>89</v>
      </c>
      <c r="AP1494" s="1837"/>
      <c r="AQ1494" s="1837"/>
      <c r="BF1494" s="1837"/>
      <c r="BG1494" s="1837"/>
    </row>
    <row r="1495" spans="12:59">
      <c r="L1495" s="626">
        <v>165.11</v>
      </c>
      <c r="M1495" s="626" t="s">
        <v>85</v>
      </c>
      <c r="AB1495" s="626">
        <v>221.05</v>
      </c>
      <c r="AC1495" s="626" t="s">
        <v>97</v>
      </c>
      <c r="AP1495" s="1837"/>
      <c r="AQ1495" s="1837"/>
      <c r="BF1495" s="1837"/>
      <c r="BG1495" s="1837"/>
    </row>
    <row r="1496" spans="12:59">
      <c r="L1496" s="626">
        <v>166.01</v>
      </c>
      <c r="M1496" s="626" t="s">
        <v>85</v>
      </c>
      <c r="AB1496" s="626">
        <v>221.06</v>
      </c>
      <c r="AC1496" s="626" t="s">
        <v>97</v>
      </c>
      <c r="AP1496" s="1837"/>
      <c r="AQ1496" s="1837"/>
      <c r="BF1496" s="1837"/>
      <c r="BG1496" s="1837"/>
    </row>
    <row r="1497" spans="12:59">
      <c r="L1497" s="626">
        <v>166.02</v>
      </c>
      <c r="M1497" s="626" t="s">
        <v>85</v>
      </c>
      <c r="AB1497" s="626">
        <v>222</v>
      </c>
      <c r="AC1497" s="626" t="s">
        <v>89</v>
      </c>
      <c r="AP1497" s="1837"/>
      <c r="AQ1497" s="1837"/>
      <c r="BF1497" s="1837"/>
      <c r="BG1497" s="1837"/>
    </row>
    <row r="1498" spans="12:59">
      <c r="L1498" s="626">
        <v>167.04</v>
      </c>
      <c r="M1498" s="626" t="s">
        <v>85</v>
      </c>
      <c r="AB1498" s="626">
        <v>222.05</v>
      </c>
      <c r="AC1498" s="626" t="s">
        <v>97</v>
      </c>
      <c r="AP1498" s="1837"/>
      <c r="AQ1498" s="1837"/>
      <c r="BF1498" s="1837"/>
      <c r="BG1498" s="1837"/>
    </row>
    <row r="1499" spans="12:59">
      <c r="L1499" s="626">
        <v>167.1</v>
      </c>
      <c r="M1499" s="626" t="s">
        <v>85</v>
      </c>
      <c r="AB1499" s="626">
        <v>222.06</v>
      </c>
      <c r="AC1499" s="626" t="s">
        <v>97</v>
      </c>
      <c r="AP1499" s="1837"/>
      <c r="AQ1499" s="1837"/>
      <c r="BF1499" s="1837"/>
      <c r="BG1499" s="1837"/>
    </row>
    <row r="1500" spans="12:59">
      <c r="L1500" s="626">
        <v>167.14</v>
      </c>
      <c r="M1500" s="626" t="s">
        <v>85</v>
      </c>
      <c r="AB1500" s="626">
        <v>222.07</v>
      </c>
      <c r="AC1500" s="626" t="s">
        <v>97</v>
      </c>
      <c r="AP1500" s="1837"/>
      <c r="AQ1500" s="1837"/>
      <c r="BF1500" s="1837"/>
      <c r="BG1500" s="1837"/>
    </row>
    <row r="1501" spans="12:59">
      <c r="L1501" s="626">
        <v>167.16</v>
      </c>
      <c r="M1501" s="626" t="s">
        <v>85</v>
      </c>
      <c r="AB1501" s="626">
        <v>223.02</v>
      </c>
      <c r="AC1501" s="626" t="s">
        <v>89</v>
      </c>
      <c r="AP1501" s="1837"/>
      <c r="AQ1501" s="1837"/>
      <c r="BF1501" s="1837"/>
      <c r="BG1501" s="1837"/>
    </row>
    <row r="1502" spans="12:59">
      <c r="L1502" s="626">
        <v>167.17</v>
      </c>
      <c r="M1502" s="626" t="s">
        <v>85</v>
      </c>
      <c r="AB1502" s="626">
        <v>224</v>
      </c>
      <c r="AC1502" s="626" t="s">
        <v>83</v>
      </c>
      <c r="AP1502" s="1837"/>
      <c r="AQ1502" s="1837"/>
      <c r="BF1502" s="1837"/>
      <c r="BG1502" s="1837"/>
    </row>
    <row r="1503" spans="12:59">
      <c r="L1503" s="626">
        <v>167.23</v>
      </c>
      <c r="M1503" s="626" t="s">
        <v>85</v>
      </c>
      <c r="AB1503" s="626">
        <v>224.01</v>
      </c>
      <c r="AC1503" s="626" t="s">
        <v>89</v>
      </c>
      <c r="AP1503" s="1837"/>
      <c r="AQ1503" s="1837"/>
      <c r="BF1503" s="1837"/>
      <c r="BG1503" s="1837"/>
    </row>
    <row r="1504" spans="12:59">
      <c r="L1504" s="626">
        <v>167.27</v>
      </c>
      <c r="M1504" s="626" t="s">
        <v>85</v>
      </c>
      <c r="AB1504" s="626">
        <v>224.02</v>
      </c>
      <c r="AC1504" s="626" t="s">
        <v>89</v>
      </c>
      <c r="AP1504" s="1837"/>
      <c r="AQ1504" s="1837"/>
      <c r="BF1504" s="1837"/>
      <c r="BG1504" s="1837"/>
    </row>
    <row r="1505" spans="12:59">
      <c r="L1505" s="626">
        <v>167.28</v>
      </c>
      <c r="M1505" s="626" t="s">
        <v>85</v>
      </c>
      <c r="AB1505" s="626">
        <v>225.01</v>
      </c>
      <c r="AC1505" s="626" t="s">
        <v>89</v>
      </c>
      <c r="AP1505" s="1837"/>
      <c r="AQ1505" s="1837"/>
      <c r="BF1505" s="1837"/>
      <c r="BG1505" s="1837"/>
    </row>
    <row r="1506" spans="12:59">
      <c r="L1506" s="626">
        <v>167.3</v>
      </c>
      <c r="M1506" s="626" t="s">
        <v>85</v>
      </c>
      <c r="AB1506" s="626">
        <v>225.03</v>
      </c>
      <c r="AC1506" s="626" t="s">
        <v>89</v>
      </c>
      <c r="AP1506" s="1837"/>
      <c r="AQ1506" s="1837"/>
      <c r="BF1506" s="1837"/>
      <c r="BG1506" s="1837"/>
    </row>
    <row r="1507" spans="12:59">
      <c r="L1507" s="626">
        <v>167.31</v>
      </c>
      <c r="M1507" s="626" t="s">
        <v>85</v>
      </c>
      <c r="AB1507" s="626">
        <v>226.01</v>
      </c>
      <c r="AC1507" s="626" t="s">
        <v>89</v>
      </c>
      <c r="AP1507" s="1837"/>
      <c r="AQ1507" s="1837"/>
      <c r="BF1507" s="1837"/>
      <c r="BG1507" s="1837"/>
    </row>
    <row r="1508" spans="12:59">
      <c r="L1508" s="626">
        <v>167.32</v>
      </c>
      <c r="M1508" s="626" t="s">
        <v>85</v>
      </c>
      <c r="AB1508" s="626">
        <v>226.02</v>
      </c>
      <c r="AC1508" s="626" t="s">
        <v>89</v>
      </c>
      <c r="AP1508" s="1837"/>
      <c r="AQ1508" s="1837"/>
      <c r="BF1508" s="1837"/>
      <c r="BG1508" s="1837"/>
    </row>
    <row r="1509" spans="12:59">
      <c r="L1509" s="626">
        <v>167.33</v>
      </c>
      <c r="M1509" s="626" t="s">
        <v>85</v>
      </c>
      <c r="AB1509" s="626">
        <v>227</v>
      </c>
      <c r="AC1509" s="626" t="s">
        <v>89</v>
      </c>
      <c r="AP1509" s="1837"/>
      <c r="AQ1509" s="1837"/>
      <c r="BF1509" s="1837"/>
      <c r="BG1509" s="1837"/>
    </row>
    <row r="1510" spans="12:59">
      <c r="L1510" s="626">
        <v>167.34</v>
      </c>
      <c r="M1510" s="626" t="s">
        <v>85</v>
      </c>
      <c r="AB1510" s="626">
        <v>228.01</v>
      </c>
      <c r="AC1510" s="626" t="s">
        <v>89</v>
      </c>
      <c r="AP1510" s="1837"/>
      <c r="AQ1510" s="1837"/>
      <c r="BF1510" s="1837"/>
      <c r="BG1510" s="1837"/>
    </row>
    <row r="1511" spans="12:59">
      <c r="L1511" s="626">
        <v>168.02</v>
      </c>
      <c r="M1511" s="626" t="s">
        <v>85</v>
      </c>
      <c r="AB1511" s="626">
        <v>228.02</v>
      </c>
      <c r="AC1511" s="626" t="s">
        <v>89</v>
      </c>
      <c r="AP1511" s="1837"/>
      <c r="AQ1511" s="1837"/>
      <c r="BF1511" s="1837"/>
      <c r="BG1511" s="1837"/>
    </row>
    <row r="1512" spans="12:59">
      <c r="L1512" s="626">
        <v>168.03</v>
      </c>
      <c r="M1512" s="626" t="s">
        <v>85</v>
      </c>
      <c r="AB1512" s="626">
        <v>229.01</v>
      </c>
      <c r="AC1512" s="626" t="s">
        <v>89</v>
      </c>
      <c r="AP1512" s="1837"/>
      <c r="AQ1512" s="1837"/>
      <c r="BF1512" s="1837"/>
      <c r="BG1512" s="1837"/>
    </row>
    <row r="1513" spans="12:59">
      <c r="L1513" s="626">
        <v>168.04</v>
      </c>
      <c r="M1513" s="626" t="s">
        <v>85</v>
      </c>
      <c r="AB1513" s="626">
        <v>232</v>
      </c>
      <c r="AC1513" s="626" t="s">
        <v>83</v>
      </c>
      <c r="AP1513" s="1837"/>
      <c r="AQ1513" s="1837"/>
      <c r="BF1513" s="1837"/>
      <c r="BG1513" s="1837"/>
    </row>
    <row r="1514" spans="12:59">
      <c r="L1514" s="626">
        <v>168.07</v>
      </c>
      <c r="M1514" s="626" t="s">
        <v>85</v>
      </c>
      <c r="AB1514" s="626">
        <v>232</v>
      </c>
      <c r="AC1514" s="626" t="s">
        <v>89</v>
      </c>
      <c r="AP1514" s="1837"/>
      <c r="AQ1514" s="1837"/>
      <c r="BF1514" s="1837"/>
      <c r="BG1514" s="1837"/>
    </row>
    <row r="1515" spans="12:59">
      <c r="L1515" s="626">
        <v>170.04</v>
      </c>
      <c r="M1515" s="626" t="s">
        <v>85</v>
      </c>
      <c r="AB1515" s="626">
        <v>233</v>
      </c>
      <c r="AC1515" s="626" t="s">
        <v>89</v>
      </c>
      <c r="AP1515" s="1837"/>
      <c r="AQ1515" s="1837"/>
      <c r="BF1515" s="1837"/>
      <c r="BG1515" s="1837"/>
    </row>
    <row r="1516" spans="12:59">
      <c r="L1516" s="626">
        <v>170.06</v>
      </c>
      <c r="M1516" s="626" t="s">
        <v>85</v>
      </c>
      <c r="AB1516" s="626">
        <v>233.03</v>
      </c>
      <c r="AC1516" s="626" t="s">
        <v>83</v>
      </c>
      <c r="AP1516" s="1837"/>
      <c r="AQ1516" s="1837"/>
      <c r="BF1516" s="1837"/>
      <c r="BG1516" s="1837"/>
    </row>
    <row r="1517" spans="12:59">
      <c r="L1517" s="626">
        <v>170.08</v>
      </c>
      <c r="M1517" s="626" t="s">
        <v>85</v>
      </c>
      <c r="AB1517" s="626">
        <v>233.04</v>
      </c>
      <c r="AC1517" s="626" t="s">
        <v>83</v>
      </c>
      <c r="AP1517" s="1837"/>
      <c r="AQ1517" s="1837"/>
      <c r="BF1517" s="1837"/>
      <c r="BG1517" s="1837"/>
    </row>
    <row r="1518" spans="12:59">
      <c r="L1518" s="626">
        <v>170.12</v>
      </c>
      <c r="M1518" s="626" t="s">
        <v>85</v>
      </c>
      <c r="AB1518" s="626">
        <v>233.05</v>
      </c>
      <c r="AC1518" s="626" t="s">
        <v>83</v>
      </c>
      <c r="AP1518" s="1837"/>
      <c r="AQ1518" s="1837"/>
      <c r="BF1518" s="1837"/>
      <c r="BG1518" s="1837"/>
    </row>
    <row r="1519" spans="12:59">
      <c r="L1519" s="626">
        <v>170.13</v>
      </c>
      <c r="M1519" s="626" t="s">
        <v>85</v>
      </c>
      <c r="AB1519" s="626">
        <v>233.06</v>
      </c>
      <c r="AC1519" s="626" t="s">
        <v>83</v>
      </c>
      <c r="AP1519" s="1837"/>
      <c r="AQ1519" s="1837"/>
      <c r="BF1519" s="1837"/>
      <c r="BG1519" s="1837"/>
    </row>
    <row r="1520" spans="12:59">
      <c r="L1520" s="626">
        <v>170.14</v>
      </c>
      <c r="M1520" s="626" t="s">
        <v>85</v>
      </c>
      <c r="AB1520" s="626">
        <v>233.08</v>
      </c>
      <c r="AC1520" s="626" t="s">
        <v>83</v>
      </c>
      <c r="AP1520" s="1837"/>
      <c r="AQ1520" s="1837"/>
      <c r="BF1520" s="1837"/>
      <c r="BG1520" s="1837"/>
    </row>
    <row r="1521" spans="12:59">
      <c r="L1521" s="626">
        <v>170.15</v>
      </c>
      <c r="M1521" s="626" t="s">
        <v>85</v>
      </c>
      <c r="AB1521" s="626">
        <v>235</v>
      </c>
      <c r="AC1521" s="626" t="s">
        <v>89</v>
      </c>
      <c r="AP1521" s="1837"/>
      <c r="AQ1521" s="1837"/>
      <c r="BF1521" s="1837"/>
      <c r="BG1521" s="1837"/>
    </row>
    <row r="1522" spans="12:59">
      <c r="L1522" s="626">
        <v>170.16</v>
      </c>
      <c r="M1522" s="626" t="s">
        <v>85</v>
      </c>
      <c r="AB1522" s="626">
        <v>236</v>
      </c>
      <c r="AC1522" s="626" t="s">
        <v>89</v>
      </c>
      <c r="AP1522" s="1837"/>
      <c r="AQ1522" s="1837"/>
      <c r="BF1522" s="1837"/>
      <c r="BG1522" s="1837"/>
    </row>
    <row r="1523" spans="12:59">
      <c r="L1523" s="626">
        <v>170.17</v>
      </c>
      <c r="M1523" s="626" t="s">
        <v>85</v>
      </c>
      <c r="AB1523" s="626">
        <v>237</v>
      </c>
      <c r="AC1523" s="626" t="s">
        <v>89</v>
      </c>
      <c r="AP1523" s="1837"/>
      <c r="AQ1523" s="1837"/>
      <c r="BF1523" s="1837"/>
      <c r="BG1523" s="1837"/>
    </row>
    <row r="1524" spans="12:59">
      <c r="L1524" s="626">
        <v>171.03</v>
      </c>
      <c r="M1524" s="626" t="s">
        <v>85</v>
      </c>
      <c r="AB1524" s="626">
        <v>238</v>
      </c>
      <c r="AC1524" s="626" t="s">
        <v>89</v>
      </c>
      <c r="AP1524" s="1837"/>
      <c r="AQ1524" s="1837"/>
      <c r="BF1524" s="1837"/>
      <c r="BG1524" s="1837"/>
    </row>
    <row r="1525" spans="12:59">
      <c r="L1525" s="626">
        <v>171.04</v>
      </c>
      <c r="M1525" s="626" t="s">
        <v>85</v>
      </c>
      <c r="AB1525" s="626">
        <v>239</v>
      </c>
      <c r="AC1525" s="626" t="s">
        <v>89</v>
      </c>
      <c r="AP1525" s="1837"/>
      <c r="AQ1525" s="1837"/>
      <c r="BF1525" s="1837"/>
      <c r="BG1525" s="1837"/>
    </row>
    <row r="1526" spans="12:59">
      <c r="L1526" s="626">
        <v>171.05</v>
      </c>
      <c r="M1526" s="626" t="s">
        <v>85</v>
      </c>
      <c r="AB1526" s="626">
        <v>240.01</v>
      </c>
      <c r="AC1526" s="626" t="s">
        <v>89</v>
      </c>
      <c r="AP1526" s="1837"/>
      <c r="AQ1526" s="1837"/>
      <c r="BF1526" s="1837"/>
      <c r="BG1526" s="1837"/>
    </row>
    <row r="1527" spans="12:59">
      <c r="L1527" s="626">
        <v>171.07</v>
      </c>
      <c r="M1527" s="626" t="s">
        <v>85</v>
      </c>
      <c r="AB1527" s="626">
        <v>240.02</v>
      </c>
      <c r="AC1527" s="626" t="s">
        <v>89</v>
      </c>
      <c r="AP1527" s="1837"/>
      <c r="AQ1527" s="1837"/>
      <c r="BF1527" s="1837"/>
      <c r="BG1527" s="1837"/>
    </row>
    <row r="1528" spans="12:59">
      <c r="L1528" s="626">
        <v>171.08</v>
      </c>
      <c r="M1528" s="626" t="s">
        <v>85</v>
      </c>
      <c r="AB1528" s="626">
        <v>240.04</v>
      </c>
      <c r="AC1528" s="626" t="s">
        <v>89</v>
      </c>
      <c r="AP1528" s="1837"/>
      <c r="AQ1528" s="1837"/>
      <c r="BF1528" s="1837"/>
      <c r="BG1528" s="1837"/>
    </row>
    <row r="1529" spans="12:59">
      <c r="L1529" s="626">
        <v>171.09</v>
      </c>
      <c r="M1529" s="626" t="s">
        <v>85</v>
      </c>
      <c r="AB1529" s="626">
        <v>240.05</v>
      </c>
      <c r="AC1529" s="626" t="s">
        <v>89</v>
      </c>
      <c r="AP1529" s="1837"/>
      <c r="AQ1529" s="1837"/>
      <c r="BF1529" s="1837"/>
      <c r="BG1529" s="1837"/>
    </row>
    <row r="1530" spans="12:59">
      <c r="L1530" s="626">
        <v>172</v>
      </c>
      <c r="M1530" s="626" t="s">
        <v>85</v>
      </c>
      <c r="AB1530" s="626">
        <v>241</v>
      </c>
      <c r="AC1530" s="626" t="s">
        <v>89</v>
      </c>
      <c r="AP1530" s="1837"/>
      <c r="AQ1530" s="1837"/>
      <c r="BF1530" s="1837"/>
      <c r="BG1530" s="1837"/>
    </row>
    <row r="1531" spans="12:59">
      <c r="L1531" s="626">
        <v>174</v>
      </c>
      <c r="M1531" s="626" t="s">
        <v>85</v>
      </c>
      <c r="AB1531" s="626">
        <v>243.01</v>
      </c>
      <c r="AC1531" s="626" t="s">
        <v>89</v>
      </c>
      <c r="AP1531" s="1837"/>
      <c r="AQ1531" s="1837"/>
      <c r="BF1531" s="1837"/>
      <c r="BG1531" s="1837"/>
    </row>
    <row r="1532" spans="12:59">
      <c r="L1532" s="626">
        <v>175.01</v>
      </c>
      <c r="M1532" s="626" t="s">
        <v>85</v>
      </c>
      <c r="AB1532" s="626">
        <v>243.02</v>
      </c>
      <c r="AC1532" s="626" t="s">
        <v>89</v>
      </c>
      <c r="AP1532" s="1837"/>
      <c r="AQ1532" s="1837"/>
      <c r="BF1532" s="1837"/>
      <c r="BG1532" s="1837"/>
    </row>
    <row r="1533" spans="12:59">
      <c r="L1533" s="626">
        <v>177.02</v>
      </c>
      <c r="M1533" s="626" t="s">
        <v>85</v>
      </c>
      <c r="AB1533" s="626">
        <v>244.06</v>
      </c>
      <c r="AC1533" s="626" t="s">
        <v>89</v>
      </c>
      <c r="AP1533" s="1837"/>
      <c r="AQ1533" s="1837"/>
      <c r="BF1533" s="1837"/>
      <c r="BG1533" s="1837"/>
    </row>
    <row r="1534" spans="12:59">
      <c r="L1534" s="626">
        <v>178.02</v>
      </c>
      <c r="M1534" s="626" t="s">
        <v>85</v>
      </c>
      <c r="AB1534" s="626">
        <v>244.09</v>
      </c>
      <c r="AC1534" s="626" t="s">
        <v>89</v>
      </c>
      <c r="AP1534" s="1837"/>
      <c r="AQ1534" s="1837"/>
      <c r="BF1534" s="1837"/>
      <c r="BG1534" s="1837"/>
    </row>
    <row r="1535" spans="12:59">
      <c r="L1535" s="626">
        <v>178.04</v>
      </c>
      <c r="M1535" s="626" t="s">
        <v>85</v>
      </c>
      <c r="AB1535" s="626">
        <v>244.11</v>
      </c>
      <c r="AC1535" s="626" t="s">
        <v>89</v>
      </c>
      <c r="AP1535" s="1837"/>
      <c r="AQ1535" s="1837"/>
      <c r="BF1535" s="1837"/>
      <c r="BG1535" s="1837"/>
    </row>
    <row r="1536" spans="12:59">
      <c r="L1536" s="626">
        <v>178.05</v>
      </c>
      <c r="M1536" s="626" t="s">
        <v>85</v>
      </c>
      <c r="AB1536" s="626">
        <v>244.12</v>
      </c>
      <c r="AC1536" s="626" t="s">
        <v>89</v>
      </c>
      <c r="AP1536" s="1837"/>
      <c r="AQ1536" s="1837"/>
      <c r="BF1536" s="1837"/>
      <c r="BG1536" s="1837"/>
    </row>
    <row r="1537" spans="12:59">
      <c r="L1537" s="626">
        <v>178.06</v>
      </c>
      <c r="M1537" s="626" t="s">
        <v>85</v>
      </c>
      <c r="AB1537" s="626">
        <v>245.05</v>
      </c>
      <c r="AC1537" s="626" t="s">
        <v>89</v>
      </c>
      <c r="AP1537" s="1837"/>
      <c r="AQ1537" s="1837"/>
      <c r="BF1537" s="1837"/>
      <c r="BG1537" s="1837"/>
    </row>
    <row r="1538" spans="12:59">
      <c r="L1538" s="626">
        <v>178.08</v>
      </c>
      <c r="M1538" s="626" t="s">
        <v>85</v>
      </c>
      <c r="AB1538" s="626">
        <v>245.07</v>
      </c>
      <c r="AC1538" s="626" t="s">
        <v>89</v>
      </c>
      <c r="AP1538" s="1837"/>
      <c r="AQ1538" s="1837"/>
      <c r="BF1538" s="1837"/>
      <c r="BG1538" s="1837"/>
    </row>
    <row r="1539" spans="12:59">
      <c r="L1539" s="626">
        <v>179.01</v>
      </c>
      <c r="M1539" s="626" t="s">
        <v>85</v>
      </c>
      <c r="AB1539" s="626">
        <v>245.08</v>
      </c>
      <c r="AC1539" s="626" t="s">
        <v>89</v>
      </c>
      <c r="AP1539" s="1837"/>
      <c r="AQ1539" s="1837"/>
      <c r="BF1539" s="1837"/>
      <c r="BG1539" s="1837"/>
    </row>
    <row r="1540" spans="12:59">
      <c r="L1540" s="626">
        <v>181</v>
      </c>
      <c r="M1540" s="626" t="s">
        <v>85</v>
      </c>
      <c r="AB1540" s="626">
        <v>245.09</v>
      </c>
      <c r="AC1540" s="626" t="s">
        <v>89</v>
      </c>
      <c r="AP1540" s="1837"/>
      <c r="AQ1540" s="1837"/>
      <c r="BF1540" s="1837"/>
      <c r="BG1540" s="1837"/>
    </row>
    <row r="1541" spans="12:59">
      <c r="L1541" s="626">
        <v>182</v>
      </c>
      <c r="M1541" s="626" t="s">
        <v>85</v>
      </c>
      <c r="AB1541" s="626">
        <v>245.11</v>
      </c>
      <c r="AC1541" s="626" t="s">
        <v>89</v>
      </c>
      <c r="AP1541" s="1837"/>
      <c r="AQ1541" s="1837"/>
      <c r="BF1541" s="1837"/>
      <c r="BG1541" s="1837"/>
    </row>
    <row r="1542" spans="12:59">
      <c r="L1542" s="626">
        <v>184</v>
      </c>
      <c r="M1542" s="626" t="s">
        <v>85</v>
      </c>
      <c r="AB1542" s="626">
        <v>248.01</v>
      </c>
      <c r="AC1542" s="626" t="s">
        <v>89</v>
      </c>
      <c r="AP1542" s="1837"/>
      <c r="AQ1542" s="1837"/>
      <c r="BF1542" s="1837"/>
      <c r="BG1542" s="1837"/>
    </row>
    <row r="1543" spans="12:59">
      <c r="L1543" s="626">
        <v>188</v>
      </c>
      <c r="M1543" s="626" t="s">
        <v>85</v>
      </c>
      <c r="AB1543" s="626">
        <v>248.05</v>
      </c>
      <c r="AC1543" s="626" t="s">
        <v>89</v>
      </c>
      <c r="AP1543" s="1837"/>
      <c r="AQ1543" s="1837"/>
      <c r="BF1543" s="1837"/>
      <c r="BG1543" s="1837"/>
    </row>
    <row r="1544" spans="12:59">
      <c r="L1544" s="626">
        <v>408.01</v>
      </c>
      <c r="M1544" s="626" t="s">
        <v>86</v>
      </c>
      <c r="AB1544" s="626">
        <v>249.04</v>
      </c>
      <c r="AC1544" s="626" t="s">
        <v>89</v>
      </c>
      <c r="AP1544" s="1837"/>
      <c r="AQ1544" s="1837"/>
      <c r="BF1544" s="1837"/>
      <c r="BG1544" s="1837"/>
    </row>
    <row r="1545" spans="12:59">
      <c r="L1545" s="626">
        <v>408.02</v>
      </c>
      <c r="M1545" s="626" t="s">
        <v>86</v>
      </c>
      <c r="AB1545" s="626">
        <v>249.05</v>
      </c>
      <c r="AC1545" s="626" t="s">
        <v>89</v>
      </c>
      <c r="AP1545" s="1837"/>
      <c r="AQ1545" s="1837"/>
      <c r="BF1545" s="1837"/>
      <c r="BG1545" s="1837"/>
    </row>
    <row r="1546" spans="12:59">
      <c r="L1546" s="626">
        <v>408.03</v>
      </c>
      <c r="M1546" s="626" t="s">
        <v>86</v>
      </c>
      <c r="AB1546" s="626">
        <v>250.1</v>
      </c>
      <c r="AC1546" s="626" t="s">
        <v>89</v>
      </c>
      <c r="AP1546" s="1837"/>
      <c r="AQ1546" s="1837"/>
      <c r="BF1546" s="1837"/>
      <c r="BG1546" s="1837"/>
    </row>
    <row r="1547" spans="12:59">
      <c r="L1547" s="626">
        <v>408.04</v>
      </c>
      <c r="M1547" s="626" t="s">
        <v>86</v>
      </c>
      <c r="AB1547" s="626">
        <v>250.11</v>
      </c>
      <c r="AC1547" s="626" t="s">
        <v>89</v>
      </c>
      <c r="AP1547" s="1837"/>
      <c r="AQ1547" s="1837"/>
      <c r="BF1547" s="1837"/>
      <c r="BG1547" s="1837"/>
    </row>
    <row r="1548" spans="12:59">
      <c r="L1548" s="626">
        <v>409.01</v>
      </c>
      <c r="M1548" s="626" t="s">
        <v>86</v>
      </c>
      <c r="AB1548" s="626">
        <v>250.12</v>
      </c>
      <c r="AC1548" s="626" t="s">
        <v>89</v>
      </c>
      <c r="AP1548" s="1837"/>
      <c r="AQ1548" s="1837"/>
      <c r="BF1548" s="1837"/>
      <c r="BG1548" s="1837"/>
    </row>
    <row r="1549" spans="12:59">
      <c r="L1549" s="626">
        <v>410.01</v>
      </c>
      <c r="M1549" s="626" t="s">
        <v>86</v>
      </c>
      <c r="AB1549" s="626">
        <v>250.13</v>
      </c>
      <c r="AC1549" s="626" t="s">
        <v>89</v>
      </c>
      <c r="AP1549" s="1837"/>
      <c r="AQ1549" s="1837"/>
      <c r="BF1549" s="1837"/>
      <c r="BG1549" s="1837"/>
    </row>
    <row r="1550" spans="12:59">
      <c r="L1550" s="626">
        <v>410.02</v>
      </c>
      <c r="M1550" s="626" t="s">
        <v>86</v>
      </c>
      <c r="AB1550" s="626">
        <v>250.14</v>
      </c>
      <c r="AC1550" s="626" t="s">
        <v>89</v>
      </c>
      <c r="AP1550" s="1837"/>
      <c r="AQ1550" s="1837"/>
      <c r="BF1550" s="1837"/>
      <c r="BG1550" s="1837"/>
    </row>
    <row r="1551" spans="12:59">
      <c r="L1551" s="626">
        <v>415</v>
      </c>
      <c r="M1551" s="626" t="s">
        <v>86</v>
      </c>
      <c r="AB1551" s="626">
        <v>250.16</v>
      </c>
      <c r="AC1551" s="626" t="s">
        <v>89</v>
      </c>
      <c r="AP1551" s="1837"/>
      <c r="AQ1551" s="1837"/>
      <c r="BF1551" s="1837"/>
      <c r="BG1551" s="1837"/>
    </row>
    <row r="1552" spans="12:59">
      <c r="L1552" s="626">
        <v>421</v>
      </c>
      <c r="M1552" s="626" t="s">
        <v>86</v>
      </c>
      <c r="AB1552" s="626">
        <v>251.07</v>
      </c>
      <c r="AC1552" s="626" t="s">
        <v>89</v>
      </c>
      <c r="AP1552" s="1837"/>
      <c r="AQ1552" s="1837"/>
      <c r="BF1552" s="1837"/>
      <c r="BG1552" s="1837"/>
    </row>
    <row r="1553" spans="12:59">
      <c r="L1553" s="626">
        <v>424</v>
      </c>
      <c r="M1553" s="626" t="s">
        <v>86</v>
      </c>
      <c r="AB1553" s="626">
        <v>251.08</v>
      </c>
      <c r="AC1553" s="626" t="s">
        <v>89</v>
      </c>
      <c r="AP1553" s="1837"/>
      <c r="AQ1553" s="1837"/>
      <c r="BF1553" s="1837"/>
      <c r="BG1553" s="1837"/>
    </row>
    <row r="1554" spans="12:59">
      <c r="L1554" s="626">
        <v>426.01</v>
      </c>
      <c r="M1554" s="626" t="s">
        <v>86</v>
      </c>
      <c r="AB1554" s="626">
        <v>251.1</v>
      </c>
      <c r="AC1554" s="626" t="s">
        <v>89</v>
      </c>
      <c r="AP1554" s="1837"/>
      <c r="AQ1554" s="1837"/>
      <c r="BF1554" s="1837"/>
      <c r="BG1554" s="1837"/>
    </row>
    <row r="1555" spans="12:59">
      <c r="L1555" s="626">
        <v>426.02</v>
      </c>
      <c r="M1555" s="626" t="s">
        <v>86</v>
      </c>
      <c r="AB1555" s="626">
        <v>251.12</v>
      </c>
      <c r="AC1555" s="626" t="s">
        <v>89</v>
      </c>
      <c r="AP1555" s="1837"/>
      <c r="AQ1555" s="1837"/>
      <c r="BF1555" s="1837"/>
      <c r="BG1555" s="1837"/>
    </row>
    <row r="1556" spans="12:59">
      <c r="L1556" s="626">
        <v>428</v>
      </c>
      <c r="M1556" s="626" t="s">
        <v>86</v>
      </c>
      <c r="AB1556" s="626">
        <v>251.13</v>
      </c>
      <c r="AC1556" s="626" t="s">
        <v>89</v>
      </c>
      <c r="AP1556" s="1837"/>
      <c r="AQ1556" s="1837"/>
      <c r="BF1556" s="1837"/>
      <c r="BG1556" s="1837"/>
    </row>
    <row r="1557" spans="12:59">
      <c r="L1557" s="626">
        <v>429</v>
      </c>
      <c r="M1557" s="626" t="s">
        <v>86</v>
      </c>
      <c r="AB1557" s="626">
        <v>251.16</v>
      </c>
      <c r="AC1557" s="626" t="s">
        <v>89</v>
      </c>
      <c r="AP1557" s="1837"/>
      <c r="AQ1557" s="1837"/>
      <c r="BF1557" s="1837"/>
      <c r="BG1557" s="1837"/>
    </row>
    <row r="1558" spans="12:59">
      <c r="L1558" s="626">
        <v>431</v>
      </c>
      <c r="M1558" s="626" t="s">
        <v>86</v>
      </c>
      <c r="AB1558" s="626">
        <v>251.19</v>
      </c>
      <c r="AC1558" s="626" t="s">
        <v>89</v>
      </c>
      <c r="AP1558" s="1837"/>
      <c r="AQ1558" s="1837"/>
      <c r="BF1558" s="1837"/>
      <c r="BG1558" s="1837"/>
    </row>
    <row r="1559" spans="12:59">
      <c r="L1559" s="626">
        <v>432.02</v>
      </c>
      <c r="M1559" s="626" t="s">
        <v>86</v>
      </c>
      <c r="AB1559" s="626">
        <v>251.2</v>
      </c>
      <c r="AC1559" s="626" t="s">
        <v>89</v>
      </c>
      <c r="AP1559" s="1837"/>
      <c r="AQ1559" s="1837"/>
      <c r="BF1559" s="1837"/>
      <c r="BG1559" s="1837"/>
    </row>
    <row r="1560" spans="12:59">
      <c r="L1560" s="626">
        <v>432.04</v>
      </c>
      <c r="M1560" s="626" t="s">
        <v>86</v>
      </c>
      <c r="AB1560" s="626">
        <v>251.21</v>
      </c>
      <c r="AC1560" s="626" t="s">
        <v>89</v>
      </c>
      <c r="AP1560" s="1837"/>
      <c r="AQ1560" s="1837"/>
      <c r="BF1560" s="1837"/>
      <c r="BG1560" s="1837"/>
    </row>
    <row r="1561" spans="12:59">
      <c r="L1561" s="626">
        <v>433.01</v>
      </c>
      <c r="M1561" s="626" t="s">
        <v>86</v>
      </c>
      <c r="AB1561" s="626">
        <v>251.22</v>
      </c>
      <c r="AC1561" s="626" t="s">
        <v>89</v>
      </c>
      <c r="AP1561" s="1837"/>
      <c r="AQ1561" s="1837"/>
      <c r="BF1561" s="1837"/>
      <c r="BG1561" s="1837"/>
    </row>
    <row r="1562" spans="12:59">
      <c r="L1562" s="626">
        <v>433.02</v>
      </c>
      <c r="M1562" s="626" t="s">
        <v>86</v>
      </c>
      <c r="AB1562" s="626">
        <v>251.23</v>
      </c>
      <c r="AC1562" s="626" t="s">
        <v>89</v>
      </c>
      <c r="AP1562" s="1837"/>
      <c r="AQ1562" s="1837"/>
      <c r="BF1562" s="1837"/>
      <c r="BG1562" s="1837"/>
    </row>
    <row r="1563" spans="12:59">
      <c r="L1563" s="626">
        <v>434</v>
      </c>
      <c r="M1563" s="626" t="s">
        <v>86</v>
      </c>
      <c r="AB1563" s="626">
        <v>252.03</v>
      </c>
      <c r="AC1563" s="626" t="s">
        <v>89</v>
      </c>
      <c r="AP1563" s="1837"/>
      <c r="AQ1563" s="1837"/>
      <c r="BF1563" s="1837"/>
      <c r="BG1563" s="1837"/>
    </row>
    <row r="1564" spans="12:59">
      <c r="L1564" s="626">
        <v>436</v>
      </c>
      <c r="M1564" s="626" t="s">
        <v>86</v>
      </c>
      <c r="AB1564" s="626">
        <v>252.05</v>
      </c>
      <c r="AC1564" s="626" t="s">
        <v>89</v>
      </c>
      <c r="AP1564" s="1837"/>
      <c r="AQ1564" s="1837"/>
      <c r="BF1564" s="1837"/>
      <c r="BG1564" s="1837"/>
    </row>
    <row r="1565" spans="12:59">
      <c r="L1565" s="626">
        <v>437</v>
      </c>
      <c r="M1565" s="626" t="s">
        <v>86</v>
      </c>
      <c r="AB1565" s="626">
        <v>252.09</v>
      </c>
      <c r="AC1565" s="626" t="s">
        <v>89</v>
      </c>
      <c r="AP1565" s="1837"/>
      <c r="AQ1565" s="1837"/>
      <c r="BF1565" s="1837"/>
      <c r="BG1565" s="1837"/>
    </row>
    <row r="1566" spans="12:59">
      <c r="L1566" s="626">
        <v>438</v>
      </c>
      <c r="M1566" s="626" t="s">
        <v>86</v>
      </c>
      <c r="AB1566" s="626">
        <v>253.06</v>
      </c>
      <c r="AC1566" s="626" t="s">
        <v>89</v>
      </c>
      <c r="AP1566" s="1837"/>
      <c r="AQ1566" s="1837"/>
      <c r="BF1566" s="1837"/>
      <c r="BG1566" s="1837"/>
    </row>
    <row r="1567" spans="12:59">
      <c r="L1567" s="626">
        <v>1.01</v>
      </c>
      <c r="M1567" s="626" t="s">
        <v>2031</v>
      </c>
      <c r="AB1567" s="626">
        <v>254.01</v>
      </c>
      <c r="AC1567" s="626" t="s">
        <v>89</v>
      </c>
      <c r="AP1567" s="1837"/>
      <c r="AQ1567" s="1837"/>
      <c r="BF1567" s="1837"/>
      <c r="BG1567" s="1837"/>
    </row>
    <row r="1568" spans="12:59">
      <c r="L1568" s="626">
        <v>1.02</v>
      </c>
      <c r="M1568" s="626" t="s">
        <v>2031</v>
      </c>
      <c r="AB1568" s="626">
        <v>254.05</v>
      </c>
      <c r="AC1568" s="626" t="s">
        <v>89</v>
      </c>
      <c r="AP1568" s="1837"/>
      <c r="AQ1568" s="1837"/>
      <c r="BF1568" s="1837"/>
      <c r="BG1568" s="1837"/>
    </row>
    <row r="1569" spans="12:59">
      <c r="L1569" s="626">
        <v>2.02</v>
      </c>
      <c r="M1569" s="626" t="s">
        <v>2031</v>
      </c>
      <c r="AB1569" s="626">
        <v>254.07</v>
      </c>
      <c r="AC1569" s="626" t="s">
        <v>89</v>
      </c>
      <c r="AP1569" s="1837"/>
      <c r="AQ1569" s="1837"/>
      <c r="BF1569" s="1837"/>
      <c r="BG1569" s="1837"/>
    </row>
    <row r="1570" spans="12:59">
      <c r="L1570" s="626">
        <v>2.04</v>
      </c>
      <c r="M1570" s="626" t="s">
        <v>2031</v>
      </c>
      <c r="AB1570" s="626">
        <v>254.11</v>
      </c>
      <c r="AC1570" s="626" t="s">
        <v>89</v>
      </c>
      <c r="AP1570" s="1837"/>
      <c r="AQ1570" s="1837"/>
      <c r="BF1570" s="1837"/>
      <c r="BG1570" s="1837"/>
    </row>
    <row r="1571" spans="12:59">
      <c r="L1571" s="626">
        <v>2.0499999999999998</v>
      </c>
      <c r="M1571" s="626" t="s">
        <v>2031</v>
      </c>
      <c r="AB1571" s="626">
        <v>254.12</v>
      </c>
      <c r="AC1571" s="626" t="s">
        <v>89</v>
      </c>
      <c r="AP1571" s="1837"/>
      <c r="AQ1571" s="1837"/>
      <c r="BF1571" s="1837"/>
      <c r="BG1571" s="1837"/>
    </row>
    <row r="1572" spans="12:59">
      <c r="L1572" s="626">
        <v>2.06</v>
      </c>
      <c r="M1572" s="626" t="s">
        <v>2031</v>
      </c>
      <c r="AB1572" s="626">
        <v>255.01</v>
      </c>
      <c r="AC1572" s="626" t="s">
        <v>89</v>
      </c>
      <c r="AP1572" s="1837"/>
      <c r="AQ1572" s="1837"/>
      <c r="BF1572" s="1837"/>
      <c r="BG1572" s="1837"/>
    </row>
    <row r="1573" spans="12:59">
      <c r="L1573" s="626">
        <v>2.08</v>
      </c>
      <c r="M1573" s="626" t="s">
        <v>2031</v>
      </c>
      <c r="AB1573" s="626">
        <v>255.06</v>
      </c>
      <c r="AC1573" s="626" t="s">
        <v>89</v>
      </c>
      <c r="AP1573" s="1837"/>
      <c r="AQ1573" s="1837"/>
      <c r="BF1573" s="1837"/>
      <c r="BG1573" s="1837"/>
    </row>
    <row r="1574" spans="12:59">
      <c r="L1574" s="626">
        <v>2.09</v>
      </c>
      <c r="M1574" s="626" t="s">
        <v>2031</v>
      </c>
      <c r="AB1574" s="626">
        <v>257</v>
      </c>
      <c r="AC1574" s="626" t="s">
        <v>89</v>
      </c>
      <c r="AP1574" s="1837"/>
      <c r="AQ1574" s="1837"/>
      <c r="BF1574" s="1837"/>
      <c r="BG1574" s="1837"/>
    </row>
    <row r="1575" spans="12:59">
      <c r="L1575" s="626">
        <v>2.1</v>
      </c>
      <c r="M1575" s="626" t="s">
        <v>2031</v>
      </c>
      <c r="AB1575" s="626">
        <v>260.01</v>
      </c>
      <c r="AC1575" s="626" t="s">
        <v>89</v>
      </c>
      <c r="AP1575" s="1837"/>
      <c r="AQ1575" s="1837"/>
      <c r="BF1575" s="1837"/>
      <c r="BG1575" s="1837"/>
    </row>
    <row r="1576" spans="12:59">
      <c r="L1576" s="626">
        <v>2.11</v>
      </c>
      <c r="M1576" s="626" t="s">
        <v>2031</v>
      </c>
      <c r="AB1576" s="626">
        <v>260.02</v>
      </c>
      <c r="AC1576" s="626" t="s">
        <v>89</v>
      </c>
      <c r="AP1576" s="1837"/>
      <c r="AQ1576" s="1837"/>
      <c r="BF1576" s="1837"/>
      <c r="BG1576" s="1837"/>
    </row>
    <row r="1577" spans="12:59">
      <c r="L1577" s="626">
        <v>2.14</v>
      </c>
      <c r="M1577" s="626" t="s">
        <v>2031</v>
      </c>
      <c r="AB1577" s="626">
        <v>266.01</v>
      </c>
      <c r="AC1577" s="626" t="s">
        <v>89</v>
      </c>
      <c r="AP1577" s="1837"/>
      <c r="AQ1577" s="1837"/>
      <c r="BF1577" s="1837"/>
      <c r="BG1577" s="1837"/>
    </row>
    <row r="1578" spans="12:59">
      <c r="L1578" s="626">
        <v>2.15</v>
      </c>
      <c r="M1578" s="626" t="s">
        <v>2031</v>
      </c>
      <c r="AB1578" s="626">
        <v>267.02</v>
      </c>
      <c r="AC1578" s="626" t="s">
        <v>89</v>
      </c>
      <c r="AP1578" s="1837"/>
      <c r="AQ1578" s="1837"/>
      <c r="BF1578" s="1837"/>
      <c r="BG1578" s="1837"/>
    </row>
    <row r="1579" spans="12:59">
      <c r="L1579" s="626">
        <v>3.01</v>
      </c>
      <c r="M1579" s="626" t="s">
        <v>2031</v>
      </c>
      <c r="AB1579" s="626">
        <v>268.04000000000002</v>
      </c>
      <c r="AC1579" s="626" t="s">
        <v>89</v>
      </c>
      <c r="AP1579" s="1837"/>
      <c r="AQ1579" s="1837"/>
      <c r="BF1579" s="1837"/>
      <c r="BG1579" s="1837"/>
    </row>
    <row r="1580" spans="12:59">
      <c r="L1580" s="626">
        <v>3.03</v>
      </c>
      <c r="M1580" s="626" t="s">
        <v>2031</v>
      </c>
      <c r="AB1580" s="626">
        <v>268.08999999999997</v>
      </c>
      <c r="AC1580" s="626" t="s">
        <v>89</v>
      </c>
      <c r="AP1580" s="1837"/>
      <c r="AQ1580" s="1837"/>
      <c r="BF1580" s="1837"/>
      <c r="BG1580" s="1837"/>
    </row>
    <row r="1581" spans="12:59">
      <c r="L1581" s="626">
        <v>3.04</v>
      </c>
      <c r="M1581" s="626" t="s">
        <v>2031</v>
      </c>
      <c r="AB1581" s="626">
        <v>268.11</v>
      </c>
      <c r="AC1581" s="626" t="s">
        <v>89</v>
      </c>
      <c r="AP1581" s="1837"/>
      <c r="AQ1581" s="1837"/>
      <c r="BF1581" s="1837"/>
      <c r="BG1581" s="1837"/>
    </row>
    <row r="1582" spans="12:59">
      <c r="L1582" s="626">
        <v>4.05</v>
      </c>
      <c r="M1582" s="626" t="s">
        <v>2031</v>
      </c>
      <c r="AB1582" s="626">
        <v>268.12</v>
      </c>
      <c r="AC1582" s="626" t="s">
        <v>89</v>
      </c>
      <c r="AP1582" s="1837"/>
      <c r="AQ1582" s="1837"/>
      <c r="BF1582" s="1837"/>
      <c r="BG1582" s="1837"/>
    </row>
    <row r="1583" spans="12:59">
      <c r="L1583" s="626">
        <v>4.0599999999999996</v>
      </c>
      <c r="M1583" s="626" t="s">
        <v>2031</v>
      </c>
      <c r="AB1583" s="626">
        <v>268.13</v>
      </c>
      <c r="AC1583" s="626" t="s">
        <v>89</v>
      </c>
      <c r="AP1583" s="1837"/>
      <c r="AQ1583" s="1837"/>
      <c r="BF1583" s="1837"/>
      <c r="BG1583" s="1837"/>
    </row>
    <row r="1584" spans="12:59">
      <c r="L1584" s="626">
        <v>4.07</v>
      </c>
      <c r="M1584" s="626" t="s">
        <v>2031</v>
      </c>
      <c r="AB1584" s="626">
        <v>268.14999999999998</v>
      </c>
      <c r="AC1584" s="626" t="s">
        <v>89</v>
      </c>
      <c r="AP1584" s="1837"/>
      <c r="AQ1584" s="1837"/>
      <c r="BF1584" s="1837"/>
      <c r="BG1584" s="1837"/>
    </row>
    <row r="1585" spans="12:59">
      <c r="L1585" s="626">
        <v>4.08</v>
      </c>
      <c r="M1585" s="626" t="s">
        <v>2031</v>
      </c>
      <c r="AB1585" s="626">
        <v>268.16000000000003</v>
      </c>
      <c r="AC1585" s="626" t="s">
        <v>89</v>
      </c>
      <c r="AP1585" s="1837"/>
      <c r="AQ1585" s="1837"/>
      <c r="BF1585" s="1837"/>
      <c r="BG1585" s="1837"/>
    </row>
    <row r="1586" spans="12:59">
      <c r="L1586" s="626">
        <v>4.0999999999999996</v>
      </c>
      <c r="M1586" s="626" t="s">
        <v>2031</v>
      </c>
      <c r="AB1586" s="626">
        <v>268.17</v>
      </c>
      <c r="AC1586" s="626" t="s">
        <v>89</v>
      </c>
      <c r="AP1586" s="1837"/>
      <c r="AQ1586" s="1837"/>
      <c r="BF1586" s="1837"/>
      <c r="BG1586" s="1837"/>
    </row>
    <row r="1587" spans="12:59">
      <c r="L1587" s="626">
        <v>5.05</v>
      </c>
      <c r="M1587" s="626" t="s">
        <v>2031</v>
      </c>
      <c r="AB1587" s="626">
        <v>268.20999999999998</v>
      </c>
      <c r="AC1587" s="626" t="s">
        <v>89</v>
      </c>
      <c r="AP1587" s="1837"/>
      <c r="AQ1587" s="1837"/>
      <c r="BF1587" s="1837"/>
      <c r="BG1587" s="1837"/>
    </row>
    <row r="1588" spans="12:59">
      <c r="L1588" s="626">
        <v>5.07</v>
      </c>
      <c r="M1588" s="626" t="s">
        <v>2031</v>
      </c>
      <c r="AB1588" s="626">
        <v>269.07</v>
      </c>
      <c r="AC1588" s="626" t="s">
        <v>89</v>
      </c>
      <c r="AP1588" s="1837"/>
      <c r="AQ1588" s="1837"/>
      <c r="BF1588" s="1837"/>
      <c r="BG1588" s="1837"/>
    </row>
    <row r="1589" spans="12:59">
      <c r="L1589" s="626">
        <v>5.09</v>
      </c>
      <c r="M1589" s="626" t="s">
        <v>2031</v>
      </c>
      <c r="AB1589" s="626">
        <v>269.08</v>
      </c>
      <c r="AC1589" s="626" t="s">
        <v>89</v>
      </c>
      <c r="AP1589" s="1837"/>
      <c r="AQ1589" s="1837"/>
      <c r="BF1589" s="1837"/>
      <c r="BG1589" s="1837"/>
    </row>
    <row r="1590" spans="12:59">
      <c r="L1590" s="626">
        <v>5.1100000000000003</v>
      </c>
      <c r="M1590" s="626" t="s">
        <v>2031</v>
      </c>
      <c r="AB1590" s="626">
        <v>269.10000000000002</v>
      </c>
      <c r="AC1590" s="626" t="s">
        <v>89</v>
      </c>
      <c r="AP1590" s="1837"/>
      <c r="AQ1590" s="1837"/>
      <c r="BF1590" s="1837"/>
      <c r="BG1590" s="1837"/>
    </row>
    <row r="1591" spans="12:59">
      <c r="L1591" s="626">
        <v>7.02</v>
      </c>
      <c r="M1591" s="626" t="s">
        <v>2031</v>
      </c>
      <c r="AB1591" s="626">
        <v>269.11</v>
      </c>
      <c r="AC1591" s="626" t="s">
        <v>89</v>
      </c>
      <c r="AP1591" s="1837"/>
      <c r="AQ1591" s="1837"/>
      <c r="BF1591" s="1837"/>
      <c r="BG1591" s="1837"/>
    </row>
    <row r="1592" spans="12:59">
      <c r="L1592" s="626">
        <v>7.03</v>
      </c>
      <c r="M1592" s="626" t="s">
        <v>2031</v>
      </c>
      <c r="AB1592" s="626">
        <v>270</v>
      </c>
      <c r="AC1592" s="626" t="s">
        <v>89</v>
      </c>
      <c r="AP1592" s="1837"/>
      <c r="AQ1592" s="1837"/>
      <c r="BF1592" s="1837"/>
      <c r="BG1592" s="1837"/>
    </row>
    <row r="1593" spans="12:59">
      <c r="L1593" s="626">
        <v>8.02</v>
      </c>
      <c r="M1593" s="626" t="s">
        <v>2031</v>
      </c>
      <c r="AB1593" s="626">
        <v>271.05</v>
      </c>
      <c r="AC1593" s="626" t="s">
        <v>89</v>
      </c>
      <c r="AP1593" s="1837"/>
      <c r="AQ1593" s="1837"/>
      <c r="BF1593" s="1837"/>
      <c r="BG1593" s="1837"/>
    </row>
    <row r="1594" spans="12:59">
      <c r="L1594" s="626">
        <v>8.0299999999999994</v>
      </c>
      <c r="M1594" s="626" t="s">
        <v>2031</v>
      </c>
      <c r="AB1594" s="626">
        <v>271.06</v>
      </c>
      <c r="AC1594" s="626" t="s">
        <v>89</v>
      </c>
      <c r="AP1594" s="1837"/>
      <c r="AQ1594" s="1837"/>
      <c r="BF1594" s="1837"/>
      <c r="BG1594" s="1837"/>
    </row>
    <row r="1595" spans="12:59">
      <c r="L1595" s="626">
        <v>8.0399999999999991</v>
      </c>
      <c r="M1595" s="626" t="s">
        <v>2031</v>
      </c>
      <c r="AB1595" s="626">
        <v>272.02</v>
      </c>
      <c r="AC1595" s="626" t="s">
        <v>89</v>
      </c>
      <c r="AP1595" s="1837"/>
      <c r="AQ1595" s="1837"/>
      <c r="BF1595" s="1837"/>
      <c r="BG1595" s="1837"/>
    </row>
    <row r="1596" spans="12:59">
      <c r="L1596" s="626">
        <v>9.02</v>
      </c>
      <c r="M1596" s="626" t="s">
        <v>2031</v>
      </c>
      <c r="AB1596" s="626">
        <v>272.04000000000002</v>
      </c>
      <c r="AC1596" s="626" t="s">
        <v>89</v>
      </c>
      <c r="AP1596" s="1837"/>
      <c r="AQ1596" s="1837"/>
      <c r="BF1596" s="1837"/>
      <c r="BG1596" s="1837"/>
    </row>
    <row r="1597" spans="12:59">
      <c r="L1597" s="626">
        <v>9.0299999999999994</v>
      </c>
      <c r="M1597" s="626" t="s">
        <v>2031</v>
      </c>
      <c r="AB1597" s="626">
        <v>272.05</v>
      </c>
      <c r="AC1597" s="626" t="s">
        <v>89</v>
      </c>
      <c r="AP1597" s="1837"/>
      <c r="AQ1597" s="1837"/>
      <c r="BF1597" s="1837"/>
      <c r="BG1597" s="1837"/>
    </row>
    <row r="1598" spans="12:59">
      <c r="L1598" s="626">
        <v>9.0399999999999991</v>
      </c>
      <c r="M1598" s="626" t="s">
        <v>2031</v>
      </c>
      <c r="AB1598" s="626">
        <v>272.06</v>
      </c>
      <c r="AC1598" s="626" t="s">
        <v>89</v>
      </c>
      <c r="AP1598" s="1837"/>
      <c r="AQ1598" s="1837"/>
      <c r="BF1598" s="1837"/>
      <c r="BG1598" s="1837"/>
    </row>
    <row r="1599" spans="12:59">
      <c r="L1599" s="626">
        <v>9.0500000000000007</v>
      </c>
      <c r="M1599" s="626" t="s">
        <v>2031</v>
      </c>
      <c r="AB1599" s="626">
        <v>272.07</v>
      </c>
      <c r="AC1599" s="626" t="s">
        <v>89</v>
      </c>
      <c r="AP1599" s="1837"/>
      <c r="AQ1599" s="1837"/>
      <c r="BF1599" s="1837"/>
      <c r="BG1599" s="1837"/>
    </row>
    <row r="1600" spans="12:59">
      <c r="L1600" s="626">
        <v>10.029999999999999</v>
      </c>
      <c r="M1600" s="626" t="s">
        <v>2031</v>
      </c>
      <c r="AB1600" s="626">
        <v>272.08</v>
      </c>
      <c r="AC1600" s="626" t="s">
        <v>89</v>
      </c>
      <c r="AP1600" s="1837"/>
      <c r="AQ1600" s="1837"/>
      <c r="BF1600" s="1837"/>
      <c r="BG1600" s="1837"/>
    </row>
    <row r="1601" spans="12:59">
      <c r="L1601" s="626">
        <v>11.01</v>
      </c>
      <c r="M1601" s="626" t="s">
        <v>2031</v>
      </c>
      <c r="AB1601" s="626">
        <v>272.08999999999997</v>
      </c>
      <c r="AC1601" s="626" t="s">
        <v>89</v>
      </c>
      <c r="AP1601" s="1837"/>
      <c r="AQ1601" s="1837"/>
      <c r="BF1601" s="1837"/>
      <c r="BG1601" s="1837"/>
    </row>
    <row r="1602" spans="12:59">
      <c r="L1602" s="626">
        <v>11.02</v>
      </c>
      <c r="M1602" s="626" t="s">
        <v>2031</v>
      </c>
      <c r="AB1602" s="626">
        <v>272.10000000000002</v>
      </c>
      <c r="AC1602" s="626" t="s">
        <v>89</v>
      </c>
      <c r="AP1602" s="1837"/>
      <c r="AQ1602" s="1837"/>
      <c r="BF1602" s="1837"/>
      <c r="BG1602" s="1837"/>
    </row>
    <row r="1603" spans="12:59">
      <c r="L1603" s="626">
        <v>19.04</v>
      </c>
      <c r="M1603" s="626" t="s">
        <v>2031</v>
      </c>
      <c r="AB1603" s="626">
        <v>273.08999999999997</v>
      </c>
      <c r="AC1603" s="626" t="s">
        <v>89</v>
      </c>
      <c r="AP1603" s="1837"/>
      <c r="AQ1603" s="1837"/>
      <c r="BF1603" s="1837"/>
      <c r="BG1603" s="1837"/>
    </row>
    <row r="1604" spans="12:59">
      <c r="L1604" s="626">
        <v>19.14</v>
      </c>
      <c r="M1604" s="626" t="s">
        <v>2031</v>
      </c>
      <c r="AB1604" s="626">
        <v>273.10000000000002</v>
      </c>
      <c r="AC1604" s="626" t="s">
        <v>89</v>
      </c>
      <c r="AP1604" s="1837"/>
      <c r="AQ1604" s="1837"/>
      <c r="BF1604" s="1837"/>
      <c r="BG1604" s="1837"/>
    </row>
    <row r="1605" spans="12:59">
      <c r="L1605" s="626">
        <v>19.149999999999999</v>
      </c>
      <c r="M1605" s="626" t="s">
        <v>2031</v>
      </c>
      <c r="AB1605" s="626">
        <v>273.14</v>
      </c>
      <c r="AC1605" s="626" t="s">
        <v>89</v>
      </c>
      <c r="AP1605" s="1837"/>
      <c r="AQ1605" s="1837"/>
      <c r="BF1605" s="1837"/>
      <c r="BG1605" s="1837"/>
    </row>
    <row r="1606" spans="12:59">
      <c r="L1606" s="626">
        <v>19.16</v>
      </c>
      <c r="M1606" s="626" t="s">
        <v>2031</v>
      </c>
      <c r="AB1606" s="626">
        <v>273.14999999999998</v>
      </c>
      <c r="AC1606" s="626" t="s">
        <v>89</v>
      </c>
      <c r="AP1606" s="1837"/>
      <c r="AQ1606" s="1837"/>
      <c r="BF1606" s="1837"/>
      <c r="BG1606" s="1837"/>
    </row>
    <row r="1607" spans="12:59">
      <c r="L1607" s="626">
        <v>20.05</v>
      </c>
      <c r="M1607" s="626" t="s">
        <v>2031</v>
      </c>
      <c r="AB1607" s="626">
        <v>273.16000000000003</v>
      </c>
      <c r="AC1607" s="626" t="s">
        <v>89</v>
      </c>
      <c r="AP1607" s="1837"/>
      <c r="AQ1607" s="1837"/>
      <c r="BF1607" s="1837"/>
      <c r="BG1607" s="1837"/>
    </row>
    <row r="1608" spans="12:59">
      <c r="L1608" s="626">
        <v>23</v>
      </c>
      <c r="M1608" s="626" t="s">
        <v>2031</v>
      </c>
      <c r="AB1608" s="626">
        <v>273.17</v>
      </c>
      <c r="AC1608" s="626" t="s">
        <v>89</v>
      </c>
      <c r="AP1608" s="1837"/>
      <c r="AQ1608" s="1837"/>
      <c r="BF1608" s="1837"/>
      <c r="BG1608" s="1837"/>
    </row>
    <row r="1609" spans="12:59">
      <c r="L1609" s="626">
        <v>26</v>
      </c>
      <c r="M1609" s="626" t="s">
        <v>2031</v>
      </c>
      <c r="AB1609" s="626">
        <v>273.18</v>
      </c>
      <c r="AC1609" s="626" t="s">
        <v>89</v>
      </c>
      <c r="AP1609" s="1837"/>
      <c r="AQ1609" s="1837"/>
      <c r="BF1609" s="1837"/>
      <c r="BG1609" s="1837"/>
    </row>
    <row r="1610" spans="12:59">
      <c r="L1610" s="626">
        <v>27</v>
      </c>
      <c r="M1610" s="626" t="s">
        <v>2031</v>
      </c>
      <c r="AB1610" s="626">
        <v>273.19</v>
      </c>
      <c r="AC1610" s="626" t="s">
        <v>89</v>
      </c>
      <c r="AP1610" s="1837"/>
      <c r="AQ1610" s="1837"/>
      <c r="BF1610" s="1837"/>
      <c r="BG1610" s="1837"/>
    </row>
    <row r="1611" spans="12:59">
      <c r="L1611" s="626">
        <v>32.020000000000003</v>
      </c>
      <c r="M1611" s="626" t="s">
        <v>2031</v>
      </c>
      <c r="AB1611" s="626">
        <v>273.2</v>
      </c>
      <c r="AC1611" s="626" t="s">
        <v>89</v>
      </c>
      <c r="AP1611" s="1837"/>
      <c r="AQ1611" s="1837"/>
      <c r="BF1611" s="1837"/>
      <c r="BG1611" s="1837"/>
    </row>
    <row r="1612" spans="12:59">
      <c r="L1612" s="626">
        <v>34</v>
      </c>
      <c r="M1612" s="626" t="s">
        <v>2031</v>
      </c>
      <c r="AB1612" s="626">
        <v>273.20999999999998</v>
      </c>
      <c r="AC1612" s="626" t="s">
        <v>89</v>
      </c>
      <c r="AP1612" s="1837"/>
      <c r="AQ1612" s="1837"/>
      <c r="BF1612" s="1837"/>
      <c r="BG1612" s="1837"/>
    </row>
    <row r="1613" spans="12:59">
      <c r="L1613" s="626">
        <v>35.04</v>
      </c>
      <c r="M1613" s="626" t="s">
        <v>2031</v>
      </c>
      <c r="AB1613" s="626">
        <v>273.22000000000003</v>
      </c>
      <c r="AC1613" s="626" t="s">
        <v>89</v>
      </c>
      <c r="AP1613" s="1837"/>
      <c r="AQ1613" s="1837"/>
      <c r="BF1613" s="1837"/>
      <c r="BG1613" s="1837"/>
    </row>
    <row r="1614" spans="12:59">
      <c r="L1614" s="626">
        <v>35.07</v>
      </c>
      <c r="M1614" s="626" t="s">
        <v>2031</v>
      </c>
      <c r="AB1614" s="626">
        <v>273.23</v>
      </c>
      <c r="AC1614" s="626" t="s">
        <v>89</v>
      </c>
      <c r="AP1614" s="1837"/>
      <c r="AQ1614" s="1837"/>
      <c r="BF1614" s="1837"/>
      <c r="BG1614" s="1837"/>
    </row>
    <row r="1615" spans="12:59">
      <c r="L1615" s="626">
        <v>35.090000000000003</v>
      </c>
      <c r="M1615" s="626" t="s">
        <v>2031</v>
      </c>
      <c r="AB1615" s="626">
        <v>273.24</v>
      </c>
      <c r="AC1615" s="626" t="s">
        <v>89</v>
      </c>
      <c r="AP1615" s="1837"/>
      <c r="AQ1615" s="1837"/>
      <c r="BF1615" s="1837"/>
      <c r="BG1615" s="1837"/>
    </row>
    <row r="1616" spans="12:59">
      <c r="L1616" s="626">
        <v>35.11</v>
      </c>
      <c r="M1616" s="626" t="s">
        <v>2031</v>
      </c>
      <c r="AB1616" s="626">
        <v>273.25</v>
      </c>
      <c r="AC1616" s="626" t="s">
        <v>89</v>
      </c>
      <c r="AP1616" s="1837"/>
      <c r="AQ1616" s="1837"/>
      <c r="BF1616" s="1837"/>
      <c r="BG1616" s="1837"/>
    </row>
    <row r="1617" spans="12:59">
      <c r="L1617" s="626">
        <v>36</v>
      </c>
      <c r="M1617" s="626" t="s">
        <v>2031</v>
      </c>
      <c r="AB1617" s="626">
        <v>273.26</v>
      </c>
      <c r="AC1617" s="626" t="s">
        <v>89</v>
      </c>
      <c r="AP1617" s="1837"/>
      <c r="AQ1617" s="1837"/>
      <c r="BF1617" s="1837"/>
      <c r="BG1617" s="1837"/>
    </row>
    <row r="1618" spans="12:59">
      <c r="L1618" s="626">
        <v>38</v>
      </c>
      <c r="M1618" s="626" t="s">
        <v>2031</v>
      </c>
      <c r="AB1618" s="626">
        <v>273.27</v>
      </c>
      <c r="AC1618" s="626" t="s">
        <v>89</v>
      </c>
      <c r="AP1618" s="1837"/>
      <c r="AQ1618" s="1837"/>
      <c r="BF1618" s="1837"/>
      <c r="BG1618" s="1837"/>
    </row>
    <row r="1619" spans="12:59">
      <c r="L1619" s="626">
        <v>43</v>
      </c>
      <c r="M1619" s="626" t="s">
        <v>2031</v>
      </c>
      <c r="AB1619" s="626">
        <v>274.02999999999997</v>
      </c>
      <c r="AC1619" s="626" t="s">
        <v>89</v>
      </c>
      <c r="AP1619" s="1837"/>
      <c r="AQ1619" s="1837"/>
      <c r="BF1619" s="1837"/>
      <c r="BG1619" s="1837"/>
    </row>
    <row r="1620" spans="12:59">
      <c r="L1620" s="626">
        <v>48.09</v>
      </c>
      <c r="M1620" s="626" t="s">
        <v>2031</v>
      </c>
      <c r="AB1620" s="626">
        <v>275.01</v>
      </c>
      <c r="AC1620" s="626" t="s">
        <v>89</v>
      </c>
      <c r="AP1620" s="1837"/>
      <c r="AQ1620" s="1837"/>
      <c r="BF1620" s="1837"/>
      <c r="BG1620" s="1837"/>
    </row>
    <row r="1621" spans="12:59">
      <c r="L1621" s="626">
        <v>48.15</v>
      </c>
      <c r="M1621" s="626" t="s">
        <v>2031</v>
      </c>
      <c r="AB1621" s="626">
        <v>276.02999999999997</v>
      </c>
      <c r="AC1621" s="626" t="s">
        <v>89</v>
      </c>
      <c r="AP1621" s="1837"/>
      <c r="AQ1621" s="1837"/>
      <c r="BF1621" s="1837"/>
      <c r="BG1621" s="1837"/>
    </row>
    <row r="1622" spans="12:59">
      <c r="L1622" s="626">
        <v>49.02</v>
      </c>
      <c r="M1622" s="626" t="s">
        <v>2031</v>
      </c>
      <c r="AB1622" s="626">
        <v>276.04000000000002</v>
      </c>
      <c r="AC1622" s="626" t="s">
        <v>89</v>
      </c>
      <c r="AP1622" s="1837"/>
      <c r="AQ1622" s="1837"/>
      <c r="BF1622" s="1837"/>
      <c r="BG1622" s="1837"/>
    </row>
    <row r="1623" spans="12:59">
      <c r="L1623" s="626">
        <v>53</v>
      </c>
      <c r="M1623" s="626" t="s">
        <v>2031</v>
      </c>
      <c r="AB1623" s="626">
        <v>276.05</v>
      </c>
      <c r="AC1623" s="626" t="s">
        <v>89</v>
      </c>
      <c r="AP1623" s="1837"/>
      <c r="AQ1623" s="1837"/>
      <c r="BF1623" s="1837"/>
      <c r="BG1623" s="1837"/>
    </row>
    <row r="1624" spans="12:59">
      <c r="L1624" s="626">
        <v>54.05</v>
      </c>
      <c r="M1624" s="626" t="s">
        <v>2031</v>
      </c>
      <c r="AB1624" s="626">
        <v>276.06</v>
      </c>
      <c r="AC1624" s="626" t="s">
        <v>89</v>
      </c>
      <c r="AP1624" s="1837"/>
      <c r="AQ1624" s="1837"/>
      <c r="BF1624" s="1837"/>
      <c r="BG1624" s="1837"/>
    </row>
    <row r="1625" spans="12:59">
      <c r="L1625" s="626">
        <v>54.07</v>
      </c>
      <c r="M1625" s="626" t="s">
        <v>2031</v>
      </c>
      <c r="AB1625" s="626">
        <v>277.01</v>
      </c>
      <c r="AC1625" s="626" t="s">
        <v>89</v>
      </c>
      <c r="AP1625" s="1837"/>
      <c r="AQ1625" s="1837"/>
      <c r="BF1625" s="1837"/>
      <c r="BG1625" s="1837"/>
    </row>
    <row r="1626" spans="12:59">
      <c r="L1626" s="626">
        <v>54.09</v>
      </c>
      <c r="M1626" s="626" t="s">
        <v>2031</v>
      </c>
      <c r="AB1626" s="626">
        <v>277.02999999999997</v>
      </c>
      <c r="AC1626" s="626" t="s">
        <v>89</v>
      </c>
      <c r="AP1626" s="1837"/>
      <c r="AQ1626" s="1837"/>
      <c r="BF1626" s="1837"/>
      <c r="BG1626" s="1837"/>
    </row>
    <row r="1627" spans="12:59">
      <c r="L1627" s="626">
        <v>54.11</v>
      </c>
      <c r="M1627" s="626" t="s">
        <v>2031</v>
      </c>
      <c r="AB1627" s="626">
        <v>277.04000000000002</v>
      </c>
      <c r="AC1627" s="626" t="s">
        <v>89</v>
      </c>
      <c r="AP1627" s="1837"/>
      <c r="AQ1627" s="1837"/>
      <c r="BF1627" s="1837"/>
      <c r="BG1627" s="1837"/>
    </row>
    <row r="1628" spans="12:59">
      <c r="L1628" s="626">
        <v>56.02</v>
      </c>
      <c r="M1628" s="626" t="s">
        <v>2031</v>
      </c>
      <c r="AB1628" s="626">
        <v>278.01</v>
      </c>
      <c r="AC1628" s="626" t="s">
        <v>89</v>
      </c>
      <c r="AP1628" s="1837"/>
      <c r="AQ1628" s="1837"/>
      <c r="BF1628" s="1837"/>
      <c r="BG1628" s="1837"/>
    </row>
    <row r="1629" spans="12:59">
      <c r="L1629" s="626">
        <v>58.08</v>
      </c>
      <c r="M1629" s="626" t="s">
        <v>2031</v>
      </c>
      <c r="AB1629" s="626">
        <v>278.02</v>
      </c>
      <c r="AC1629" s="626" t="s">
        <v>89</v>
      </c>
      <c r="AP1629" s="1837"/>
      <c r="AQ1629" s="1837"/>
      <c r="BF1629" s="1837"/>
      <c r="BG1629" s="1837"/>
    </row>
    <row r="1630" spans="12:59">
      <c r="L1630" s="626">
        <v>58.11</v>
      </c>
      <c r="M1630" s="626" t="s">
        <v>2031</v>
      </c>
      <c r="AB1630" s="626">
        <v>279.01</v>
      </c>
      <c r="AC1630" s="626" t="s">
        <v>89</v>
      </c>
      <c r="AP1630" s="1837"/>
      <c r="AQ1630" s="1837"/>
      <c r="BF1630" s="1837"/>
      <c r="BG1630" s="1837"/>
    </row>
    <row r="1631" spans="12:59">
      <c r="L1631" s="626">
        <v>58.13</v>
      </c>
      <c r="M1631" s="626" t="s">
        <v>2031</v>
      </c>
      <c r="AB1631" s="626">
        <v>279.02999999999997</v>
      </c>
      <c r="AC1631" s="626" t="s">
        <v>89</v>
      </c>
      <c r="AP1631" s="1837"/>
      <c r="AQ1631" s="1837"/>
      <c r="BF1631" s="1837"/>
      <c r="BG1631" s="1837"/>
    </row>
    <row r="1632" spans="12:59">
      <c r="L1632" s="626">
        <v>58.16</v>
      </c>
      <c r="M1632" s="626" t="s">
        <v>2031</v>
      </c>
      <c r="AB1632" s="626">
        <v>279.04000000000002</v>
      </c>
      <c r="AC1632" s="626" t="s">
        <v>89</v>
      </c>
      <c r="AP1632" s="1837"/>
      <c r="AQ1632" s="1837"/>
      <c r="BF1632" s="1837"/>
      <c r="BG1632" s="1837"/>
    </row>
    <row r="1633" spans="12:59">
      <c r="L1633" s="626">
        <v>59.03</v>
      </c>
      <c r="M1633" s="626" t="s">
        <v>2031</v>
      </c>
      <c r="AB1633" s="626">
        <v>280.02</v>
      </c>
      <c r="AC1633" s="626" t="s">
        <v>89</v>
      </c>
      <c r="AP1633" s="1837"/>
      <c r="AQ1633" s="1837"/>
      <c r="BF1633" s="1837"/>
      <c r="BG1633" s="1837"/>
    </row>
    <row r="1634" spans="12:59">
      <c r="L1634" s="626">
        <v>59.16</v>
      </c>
      <c r="M1634" s="626" t="s">
        <v>2031</v>
      </c>
      <c r="AB1634" s="626">
        <v>280.02999999999997</v>
      </c>
      <c r="AC1634" s="626" t="s">
        <v>89</v>
      </c>
      <c r="AP1634" s="1837"/>
      <c r="AQ1634" s="1837"/>
      <c r="BF1634" s="1837"/>
      <c r="BG1634" s="1837"/>
    </row>
    <row r="1635" spans="12:59">
      <c r="L1635" s="626">
        <v>59.17</v>
      </c>
      <c r="M1635" s="626" t="s">
        <v>2031</v>
      </c>
      <c r="AB1635" s="626">
        <v>280.04000000000002</v>
      </c>
      <c r="AC1635" s="626" t="s">
        <v>89</v>
      </c>
      <c r="AP1635" s="1837"/>
      <c r="AQ1635" s="1837"/>
      <c r="BF1635" s="1837"/>
      <c r="BG1635" s="1837"/>
    </row>
    <row r="1636" spans="12:59">
      <c r="L1636" s="626">
        <v>59.18</v>
      </c>
      <c r="M1636" s="626" t="s">
        <v>2031</v>
      </c>
      <c r="AB1636" s="626">
        <v>281.02</v>
      </c>
      <c r="AC1636" s="626" t="s">
        <v>89</v>
      </c>
      <c r="AP1636" s="1837"/>
      <c r="AQ1636" s="1837"/>
      <c r="BF1636" s="1837"/>
      <c r="BG1636" s="1837"/>
    </row>
    <row r="1637" spans="12:59">
      <c r="L1637" s="626">
        <v>59.21</v>
      </c>
      <c r="M1637" s="626" t="s">
        <v>2031</v>
      </c>
      <c r="AB1637" s="626">
        <v>282</v>
      </c>
      <c r="AC1637" s="626" t="s">
        <v>89</v>
      </c>
      <c r="AP1637" s="1837"/>
      <c r="AQ1637" s="1837"/>
      <c r="BF1637" s="1837"/>
      <c r="BG1637" s="1837"/>
    </row>
    <row r="1638" spans="12:59">
      <c r="L1638" s="626">
        <v>59.22</v>
      </c>
      <c r="M1638" s="626" t="s">
        <v>2031</v>
      </c>
      <c r="AB1638" s="626">
        <v>284.01</v>
      </c>
      <c r="AC1638" s="626" t="s">
        <v>89</v>
      </c>
      <c r="AP1638" s="1837"/>
      <c r="AQ1638" s="1837"/>
      <c r="BF1638" s="1837"/>
      <c r="BG1638" s="1837"/>
    </row>
    <row r="1639" spans="12:59">
      <c r="L1639" s="626">
        <v>59.23</v>
      </c>
      <c r="M1639" s="626" t="s">
        <v>2031</v>
      </c>
      <c r="AB1639" s="626">
        <v>301</v>
      </c>
      <c r="AC1639" s="626" t="s">
        <v>36</v>
      </c>
      <c r="AP1639" s="1837"/>
      <c r="AQ1639" s="1837"/>
      <c r="BF1639" s="1837"/>
      <c r="BG1639" s="1837"/>
    </row>
    <row r="1640" spans="12:59">
      <c r="L1640" s="626">
        <v>59.26</v>
      </c>
      <c r="M1640" s="626" t="s">
        <v>2031</v>
      </c>
      <c r="AB1640" s="626">
        <v>301</v>
      </c>
      <c r="AC1640" s="626" t="s">
        <v>70</v>
      </c>
      <c r="AP1640" s="1837"/>
      <c r="AQ1640" s="1837"/>
      <c r="BF1640" s="1837"/>
      <c r="BG1640" s="1837"/>
    </row>
    <row r="1641" spans="12:59">
      <c r="L1641" s="626">
        <v>59.31</v>
      </c>
      <c r="M1641" s="626" t="s">
        <v>2031</v>
      </c>
      <c r="AB1641" s="626">
        <v>301.01</v>
      </c>
      <c r="AC1641" s="626" t="s">
        <v>88</v>
      </c>
      <c r="AP1641" s="1837"/>
      <c r="AQ1641" s="1837"/>
      <c r="BF1641" s="1837"/>
      <c r="BG1641" s="1837"/>
    </row>
    <row r="1642" spans="12:59">
      <c r="L1642" s="626">
        <v>59.34</v>
      </c>
      <c r="M1642" s="626" t="s">
        <v>2031</v>
      </c>
      <c r="AB1642" s="626">
        <v>301.04000000000002</v>
      </c>
      <c r="AC1642" s="626" t="s">
        <v>69</v>
      </c>
      <c r="AP1642" s="1837"/>
      <c r="AQ1642" s="1837"/>
      <c r="BF1642" s="1837"/>
      <c r="BG1642" s="1837"/>
    </row>
    <row r="1643" spans="12:59">
      <c r="L1643" s="626">
        <v>59.37</v>
      </c>
      <c r="M1643" s="626" t="s">
        <v>2031</v>
      </c>
      <c r="AB1643" s="626">
        <v>301.05</v>
      </c>
      <c r="AC1643" s="626" t="s">
        <v>69</v>
      </c>
      <c r="AP1643" s="1837"/>
      <c r="AQ1643" s="1837"/>
      <c r="BF1643" s="1837"/>
      <c r="BG1643" s="1837"/>
    </row>
    <row r="1644" spans="12:59">
      <c r="L1644" s="626">
        <v>59.38</v>
      </c>
      <c r="M1644" s="626" t="s">
        <v>2031</v>
      </c>
      <c r="AB1644" s="626">
        <v>301.08</v>
      </c>
      <c r="AC1644" s="626" t="s">
        <v>69</v>
      </c>
      <c r="AP1644" s="1837"/>
      <c r="AQ1644" s="1837"/>
      <c r="BF1644" s="1837"/>
      <c r="BG1644" s="1837"/>
    </row>
    <row r="1645" spans="12:59">
      <c r="L1645" s="626">
        <v>59.42</v>
      </c>
      <c r="M1645" s="626" t="s">
        <v>2031</v>
      </c>
      <c r="AB1645" s="626">
        <v>302.01</v>
      </c>
      <c r="AC1645" s="626" t="s">
        <v>43</v>
      </c>
      <c r="AP1645" s="1837"/>
      <c r="AQ1645" s="1837"/>
      <c r="BF1645" s="1837"/>
      <c r="BG1645" s="1837"/>
    </row>
    <row r="1646" spans="12:59">
      <c r="L1646" s="626">
        <v>59.45</v>
      </c>
      <c r="M1646" s="626" t="s">
        <v>2031</v>
      </c>
      <c r="AB1646" s="626">
        <v>302.01</v>
      </c>
      <c r="AC1646" s="626" t="s">
        <v>70</v>
      </c>
      <c r="AP1646" s="1837"/>
      <c r="AQ1646" s="1837"/>
      <c r="BF1646" s="1837"/>
      <c r="BG1646" s="1837"/>
    </row>
    <row r="1647" spans="12:59">
      <c r="L1647" s="626">
        <v>59.46</v>
      </c>
      <c r="M1647" s="626" t="s">
        <v>2031</v>
      </c>
      <c r="AB1647" s="626">
        <v>302.02</v>
      </c>
      <c r="AC1647" s="626" t="s">
        <v>43</v>
      </c>
      <c r="AP1647" s="1837"/>
      <c r="AQ1647" s="1837"/>
      <c r="BF1647" s="1837"/>
      <c r="BG1647" s="1837"/>
    </row>
    <row r="1648" spans="12:59">
      <c r="L1648" s="626">
        <v>59.47</v>
      </c>
      <c r="M1648" s="626" t="s">
        <v>2031</v>
      </c>
      <c r="AB1648" s="626">
        <v>302.02</v>
      </c>
      <c r="AC1648" s="626" t="s">
        <v>88</v>
      </c>
      <c r="AP1648" s="1837"/>
      <c r="AQ1648" s="1837"/>
      <c r="BF1648" s="1837"/>
      <c r="BG1648" s="1837"/>
    </row>
    <row r="1649" spans="12:59">
      <c r="L1649" s="626">
        <v>59.49</v>
      </c>
      <c r="M1649" s="626" t="s">
        <v>2031</v>
      </c>
      <c r="AB1649" s="626">
        <v>302.02999999999997</v>
      </c>
      <c r="AC1649" s="626" t="s">
        <v>43</v>
      </c>
      <c r="AP1649" s="1837"/>
      <c r="AQ1649" s="1837"/>
      <c r="BF1649" s="1837"/>
      <c r="BG1649" s="1837"/>
    </row>
    <row r="1650" spans="12:59">
      <c r="L1650" s="626">
        <v>59.5</v>
      </c>
      <c r="M1650" s="626" t="s">
        <v>2031</v>
      </c>
      <c r="AB1650" s="626">
        <v>302.02999999999997</v>
      </c>
      <c r="AC1650" s="626" t="s">
        <v>69</v>
      </c>
      <c r="AP1650" s="1837"/>
      <c r="AQ1650" s="1837"/>
      <c r="BF1650" s="1837"/>
      <c r="BG1650" s="1837"/>
    </row>
    <row r="1651" spans="12:59">
      <c r="L1651" s="626">
        <v>59.53</v>
      </c>
      <c r="M1651" s="626" t="s">
        <v>2031</v>
      </c>
      <c r="AB1651" s="626">
        <v>302.02999999999997</v>
      </c>
      <c r="AC1651" s="626" t="s">
        <v>70</v>
      </c>
      <c r="AP1651" s="1837"/>
      <c r="AQ1651" s="1837"/>
      <c r="BF1651" s="1837"/>
      <c r="BG1651" s="1837"/>
    </row>
    <row r="1652" spans="12:59">
      <c r="L1652" s="626">
        <v>59.54</v>
      </c>
      <c r="M1652" s="626" t="s">
        <v>2031</v>
      </c>
      <c r="AB1652" s="626">
        <v>302.04000000000002</v>
      </c>
      <c r="AC1652" s="626" t="s">
        <v>88</v>
      </c>
      <c r="AP1652" s="1837"/>
      <c r="AQ1652" s="1837"/>
      <c r="BF1652" s="1837"/>
      <c r="BG1652" s="1837"/>
    </row>
    <row r="1653" spans="12:59">
      <c r="L1653" s="626">
        <v>59.55</v>
      </c>
      <c r="M1653" s="626" t="s">
        <v>2031</v>
      </c>
      <c r="AB1653" s="626">
        <v>302.05</v>
      </c>
      <c r="AC1653" s="626" t="s">
        <v>88</v>
      </c>
      <c r="AP1653" s="1837"/>
      <c r="AQ1653" s="1837"/>
      <c r="BF1653" s="1837"/>
      <c r="BG1653" s="1837"/>
    </row>
    <row r="1654" spans="12:59">
      <c r="L1654" s="626">
        <v>60.05</v>
      </c>
      <c r="M1654" s="626" t="s">
        <v>2031</v>
      </c>
      <c r="AB1654" s="626">
        <v>302.07</v>
      </c>
      <c r="AC1654" s="626" t="s">
        <v>69</v>
      </c>
      <c r="AP1654" s="1837"/>
      <c r="AQ1654" s="1837"/>
      <c r="BF1654" s="1837"/>
      <c r="BG1654" s="1837"/>
    </row>
    <row r="1655" spans="12:59">
      <c r="L1655" s="626">
        <v>60.06</v>
      </c>
      <c r="M1655" s="626" t="s">
        <v>2031</v>
      </c>
      <c r="AB1655" s="626">
        <v>302.08</v>
      </c>
      <c r="AC1655" s="626" t="s">
        <v>69</v>
      </c>
      <c r="AP1655" s="1837"/>
      <c r="AQ1655" s="1837"/>
      <c r="BF1655" s="1837"/>
      <c r="BG1655" s="1837"/>
    </row>
    <row r="1656" spans="12:59">
      <c r="L1656" s="626">
        <v>60.08</v>
      </c>
      <c r="M1656" s="626" t="s">
        <v>2031</v>
      </c>
      <c r="AB1656" s="626">
        <v>303</v>
      </c>
      <c r="AC1656" s="626" t="s">
        <v>70</v>
      </c>
      <c r="AP1656" s="1837"/>
      <c r="AQ1656" s="1837"/>
      <c r="BF1656" s="1837"/>
      <c r="BG1656" s="1837"/>
    </row>
    <row r="1657" spans="12:59">
      <c r="L1657" s="626">
        <v>62.02</v>
      </c>
      <c r="M1657" s="626" t="s">
        <v>2031</v>
      </c>
      <c r="AB1657" s="626">
        <v>303.01</v>
      </c>
      <c r="AC1657" s="626" t="s">
        <v>43</v>
      </c>
      <c r="AP1657" s="1837"/>
      <c r="AQ1657" s="1837"/>
      <c r="BF1657" s="1837"/>
      <c r="BG1657" s="1837"/>
    </row>
    <row r="1658" spans="12:59">
      <c r="L1658" s="626">
        <v>63</v>
      </c>
      <c r="M1658" s="626" t="s">
        <v>2031</v>
      </c>
      <c r="AB1658" s="626">
        <v>303.01</v>
      </c>
      <c r="AC1658" s="626" t="s">
        <v>88</v>
      </c>
      <c r="AP1658" s="1837"/>
      <c r="AQ1658" s="1837"/>
      <c r="BF1658" s="1837"/>
      <c r="BG1658" s="1837"/>
    </row>
    <row r="1659" spans="12:59">
      <c r="L1659" s="626">
        <v>64.010000000000005</v>
      </c>
      <c r="M1659" s="626" t="s">
        <v>2031</v>
      </c>
      <c r="AB1659" s="626">
        <v>303.02</v>
      </c>
      <c r="AC1659" s="626" t="s">
        <v>69</v>
      </c>
      <c r="AP1659" s="1837"/>
      <c r="AQ1659" s="1837"/>
      <c r="BF1659" s="1837"/>
      <c r="BG1659" s="1837"/>
    </row>
    <row r="1660" spans="12:59">
      <c r="L1660" s="626">
        <v>64.02</v>
      </c>
      <c r="M1660" s="626" t="s">
        <v>2031</v>
      </c>
      <c r="AB1660" s="626">
        <v>303.02999999999997</v>
      </c>
      <c r="AC1660" s="626" t="s">
        <v>43</v>
      </c>
      <c r="AP1660" s="1837"/>
      <c r="AQ1660" s="1837"/>
      <c r="BF1660" s="1837"/>
      <c r="BG1660" s="1837"/>
    </row>
    <row r="1661" spans="12:59">
      <c r="L1661" s="626">
        <v>66.02</v>
      </c>
      <c r="M1661" s="626" t="s">
        <v>2031</v>
      </c>
      <c r="AB1661" s="626">
        <v>303.02999999999997</v>
      </c>
      <c r="AC1661" s="626" t="s">
        <v>88</v>
      </c>
      <c r="AP1661" s="1837"/>
      <c r="AQ1661" s="1837"/>
      <c r="BF1661" s="1837"/>
      <c r="BG1661" s="1837"/>
    </row>
    <row r="1662" spans="12:59">
      <c r="L1662" s="626">
        <v>66.03</v>
      </c>
      <c r="M1662" s="626" t="s">
        <v>2031</v>
      </c>
      <c r="AB1662" s="626">
        <v>303.05</v>
      </c>
      <c r="AC1662" s="626" t="s">
        <v>69</v>
      </c>
      <c r="AP1662" s="1837"/>
      <c r="AQ1662" s="1837"/>
      <c r="BF1662" s="1837"/>
      <c r="BG1662" s="1837"/>
    </row>
    <row r="1663" spans="12:59">
      <c r="L1663" s="626">
        <v>66.05</v>
      </c>
      <c r="M1663" s="626" t="s">
        <v>2031</v>
      </c>
      <c r="AB1663" s="626">
        <v>303.08</v>
      </c>
      <c r="AC1663" s="626" t="s">
        <v>69</v>
      </c>
      <c r="AP1663" s="1837"/>
      <c r="AQ1663" s="1837"/>
      <c r="BF1663" s="1837"/>
      <c r="BG1663" s="1837"/>
    </row>
    <row r="1664" spans="12:59">
      <c r="L1664" s="626">
        <v>69.06</v>
      </c>
      <c r="M1664" s="626" t="s">
        <v>2031</v>
      </c>
      <c r="AB1664" s="626">
        <v>304.01</v>
      </c>
      <c r="AC1664" s="626" t="s">
        <v>41</v>
      </c>
      <c r="AP1664" s="1837"/>
      <c r="AQ1664" s="1837"/>
      <c r="BF1664" s="1837"/>
      <c r="BG1664" s="1837"/>
    </row>
    <row r="1665" spans="12:59">
      <c r="L1665" s="626">
        <v>69.11</v>
      </c>
      <c r="M1665" s="626" t="s">
        <v>2031</v>
      </c>
      <c r="AB1665" s="626">
        <v>304.02</v>
      </c>
      <c r="AC1665" s="626" t="s">
        <v>41</v>
      </c>
      <c r="AP1665" s="1837"/>
      <c r="AQ1665" s="1837"/>
      <c r="BF1665" s="1837"/>
      <c r="BG1665" s="1837"/>
    </row>
    <row r="1666" spans="12:59">
      <c r="L1666" s="626">
        <v>69.12</v>
      </c>
      <c r="M1666" s="626" t="s">
        <v>2031</v>
      </c>
      <c r="AB1666" s="626">
        <v>304.04000000000002</v>
      </c>
      <c r="AC1666" s="626" t="s">
        <v>88</v>
      </c>
      <c r="AP1666" s="1837"/>
      <c r="AQ1666" s="1837"/>
      <c r="BF1666" s="1837"/>
      <c r="BG1666" s="1837"/>
    </row>
    <row r="1667" spans="12:59">
      <c r="L1667" s="626">
        <v>70.02</v>
      </c>
      <c r="M1667" s="626" t="s">
        <v>2031</v>
      </c>
      <c r="AB1667" s="626">
        <v>304.06</v>
      </c>
      <c r="AC1667" s="626" t="s">
        <v>69</v>
      </c>
      <c r="AP1667" s="1837"/>
      <c r="AQ1667" s="1837"/>
      <c r="BF1667" s="1837"/>
      <c r="BG1667" s="1837"/>
    </row>
    <row r="1668" spans="12:59">
      <c r="L1668" s="626">
        <v>70.05</v>
      </c>
      <c r="M1668" s="626" t="s">
        <v>2031</v>
      </c>
      <c r="AB1668" s="626">
        <v>304.08</v>
      </c>
      <c r="AC1668" s="626" t="s">
        <v>69</v>
      </c>
      <c r="AP1668" s="1837"/>
      <c r="AQ1668" s="1837"/>
      <c r="BF1668" s="1837"/>
      <c r="BG1668" s="1837"/>
    </row>
    <row r="1669" spans="12:59">
      <c r="L1669" s="626">
        <v>70.06</v>
      </c>
      <c r="M1669" s="626" t="s">
        <v>2031</v>
      </c>
      <c r="AB1669" s="626">
        <v>304.08999999999997</v>
      </c>
      <c r="AC1669" s="626" t="s">
        <v>88</v>
      </c>
      <c r="AP1669" s="1837"/>
      <c r="AQ1669" s="1837"/>
      <c r="BF1669" s="1837"/>
      <c r="BG1669" s="1837"/>
    </row>
    <row r="1670" spans="12:59">
      <c r="L1670" s="626">
        <v>70.069999999999993</v>
      </c>
      <c r="M1670" s="626" t="s">
        <v>2031</v>
      </c>
      <c r="AB1670" s="626">
        <v>304.10000000000002</v>
      </c>
      <c r="AC1670" s="626" t="s">
        <v>69</v>
      </c>
      <c r="AP1670" s="1837"/>
      <c r="AQ1670" s="1837"/>
      <c r="BF1670" s="1837"/>
      <c r="BG1670" s="1837"/>
    </row>
    <row r="1671" spans="12:59">
      <c r="L1671" s="626">
        <v>70.08</v>
      </c>
      <c r="M1671" s="626" t="s">
        <v>2031</v>
      </c>
      <c r="AB1671" s="626">
        <v>305.01</v>
      </c>
      <c r="AC1671" s="626" t="s">
        <v>41</v>
      </c>
      <c r="AP1671" s="1837"/>
      <c r="AQ1671" s="1837"/>
      <c r="BF1671" s="1837"/>
      <c r="BG1671" s="1837"/>
    </row>
    <row r="1672" spans="12:59">
      <c r="L1672" s="626">
        <v>70.09</v>
      </c>
      <c r="M1672" s="626" t="s">
        <v>2031</v>
      </c>
      <c r="AB1672" s="626">
        <v>305.02999999999997</v>
      </c>
      <c r="AC1672" s="626" t="s">
        <v>41</v>
      </c>
      <c r="AP1672" s="1837"/>
      <c r="AQ1672" s="1837"/>
      <c r="BF1672" s="1837"/>
      <c r="BG1672" s="1837"/>
    </row>
    <row r="1673" spans="12:59">
      <c r="L1673" s="626">
        <v>70.099999999999994</v>
      </c>
      <c r="M1673" s="626" t="s">
        <v>2031</v>
      </c>
      <c r="AB1673" s="626">
        <v>307.01</v>
      </c>
      <c r="AC1673" s="626" t="s">
        <v>43</v>
      </c>
      <c r="AP1673" s="1837"/>
      <c r="AQ1673" s="1837"/>
      <c r="BF1673" s="1837"/>
      <c r="BG1673" s="1837"/>
    </row>
    <row r="1674" spans="12:59">
      <c r="L1674" s="626">
        <v>70.11</v>
      </c>
      <c r="M1674" s="626" t="s">
        <v>2031</v>
      </c>
      <c r="AB1674" s="626">
        <v>307.01</v>
      </c>
      <c r="AC1674" s="626" t="s">
        <v>69</v>
      </c>
      <c r="AP1674" s="1837"/>
      <c r="AQ1674" s="1837"/>
      <c r="BF1674" s="1837"/>
      <c r="BG1674" s="1837"/>
    </row>
    <row r="1675" spans="12:59">
      <c r="L1675" s="626">
        <v>72.010000000000005</v>
      </c>
      <c r="M1675" s="626" t="s">
        <v>2031</v>
      </c>
      <c r="AB1675" s="626">
        <v>307.02</v>
      </c>
      <c r="AC1675" s="626" t="s">
        <v>36</v>
      </c>
      <c r="AP1675" s="1837"/>
      <c r="AQ1675" s="1837"/>
      <c r="BF1675" s="1837"/>
      <c r="BG1675" s="1837"/>
    </row>
    <row r="1676" spans="12:59">
      <c r="L1676" s="626">
        <v>72.02</v>
      </c>
      <c r="M1676" s="626" t="s">
        <v>2031</v>
      </c>
      <c r="AB1676" s="626">
        <v>307.02</v>
      </c>
      <c r="AC1676" s="626" t="s">
        <v>43</v>
      </c>
      <c r="AP1676" s="1837"/>
      <c r="AQ1676" s="1837"/>
      <c r="BF1676" s="1837"/>
      <c r="BG1676" s="1837"/>
    </row>
    <row r="1677" spans="12:59">
      <c r="L1677" s="626">
        <v>72.03</v>
      </c>
      <c r="M1677" s="626" t="s">
        <v>2031</v>
      </c>
      <c r="AB1677" s="626">
        <v>307.02</v>
      </c>
      <c r="AC1677" s="626" t="s">
        <v>69</v>
      </c>
      <c r="AP1677" s="1837"/>
      <c r="AQ1677" s="1837"/>
      <c r="BF1677" s="1837"/>
      <c r="BG1677" s="1837"/>
    </row>
    <row r="1678" spans="12:59">
      <c r="L1678" s="626">
        <v>73.010000000000005</v>
      </c>
      <c r="M1678" s="626" t="s">
        <v>2031</v>
      </c>
      <c r="AB1678" s="626">
        <v>307.02999999999997</v>
      </c>
      <c r="AC1678" s="626" t="s">
        <v>43</v>
      </c>
      <c r="AP1678" s="1837"/>
      <c r="AQ1678" s="1837"/>
      <c r="BF1678" s="1837"/>
      <c r="BG1678" s="1837"/>
    </row>
    <row r="1679" spans="12:59">
      <c r="L1679" s="626">
        <v>74.069999999999993</v>
      </c>
      <c r="M1679" s="626" t="s">
        <v>2031</v>
      </c>
      <c r="AB1679" s="626">
        <v>307.04000000000002</v>
      </c>
      <c r="AC1679" s="626" t="s">
        <v>36</v>
      </c>
      <c r="AP1679" s="1837"/>
      <c r="AQ1679" s="1837"/>
      <c r="BF1679" s="1837"/>
      <c r="BG1679" s="1837"/>
    </row>
    <row r="1680" spans="12:59">
      <c r="L1680" s="626">
        <v>74.099999999999994</v>
      </c>
      <c r="M1680" s="626" t="s">
        <v>2031</v>
      </c>
      <c r="AB1680" s="626">
        <v>308.01</v>
      </c>
      <c r="AC1680" s="626" t="s">
        <v>43</v>
      </c>
      <c r="AP1680" s="1837"/>
      <c r="AQ1680" s="1837"/>
      <c r="BF1680" s="1837"/>
      <c r="BG1680" s="1837"/>
    </row>
    <row r="1681" spans="12:59">
      <c r="L1681" s="626">
        <v>74.12</v>
      </c>
      <c r="M1681" s="626" t="s">
        <v>2031</v>
      </c>
      <c r="AB1681" s="626">
        <v>308.02</v>
      </c>
      <c r="AC1681" s="626" t="s">
        <v>43</v>
      </c>
      <c r="AP1681" s="1837"/>
      <c r="AQ1681" s="1837"/>
      <c r="BF1681" s="1837"/>
      <c r="BG1681" s="1837"/>
    </row>
    <row r="1682" spans="12:59">
      <c r="L1682" s="626">
        <v>74.14</v>
      </c>
      <c r="M1682" s="626" t="s">
        <v>2031</v>
      </c>
      <c r="AB1682" s="626">
        <v>308.04000000000002</v>
      </c>
      <c r="AC1682" s="626" t="s">
        <v>69</v>
      </c>
      <c r="AP1682" s="1837"/>
      <c r="AQ1682" s="1837"/>
      <c r="BF1682" s="1837"/>
      <c r="BG1682" s="1837"/>
    </row>
    <row r="1683" spans="12:59">
      <c r="L1683" s="626">
        <v>74.16</v>
      </c>
      <c r="M1683" s="626" t="s">
        <v>2031</v>
      </c>
      <c r="AB1683" s="626">
        <v>309.02</v>
      </c>
      <c r="AC1683" s="626" t="s">
        <v>36</v>
      </c>
      <c r="AP1683" s="1837"/>
      <c r="AQ1683" s="1837"/>
      <c r="BF1683" s="1837"/>
      <c r="BG1683" s="1837"/>
    </row>
    <row r="1684" spans="12:59">
      <c r="L1684" s="626">
        <v>74.180000000000007</v>
      </c>
      <c r="M1684" s="626" t="s">
        <v>2031</v>
      </c>
      <c r="AB1684" s="626">
        <v>309.02</v>
      </c>
      <c r="AC1684" s="626" t="s">
        <v>43</v>
      </c>
      <c r="AP1684" s="1837"/>
      <c r="AQ1684" s="1837"/>
      <c r="BF1684" s="1837"/>
      <c r="BG1684" s="1837"/>
    </row>
    <row r="1685" spans="12:59">
      <c r="L1685" s="626">
        <v>74.2</v>
      </c>
      <c r="M1685" s="626" t="s">
        <v>2031</v>
      </c>
      <c r="AB1685" s="626">
        <v>309.02</v>
      </c>
      <c r="AC1685" s="626" t="s">
        <v>69</v>
      </c>
      <c r="AP1685" s="1837"/>
      <c r="AQ1685" s="1837"/>
      <c r="BF1685" s="1837"/>
      <c r="BG1685" s="1837"/>
    </row>
    <row r="1686" spans="12:59">
      <c r="L1686" s="626">
        <v>75.010000000000005</v>
      </c>
      <c r="M1686" s="626" t="s">
        <v>2031</v>
      </c>
      <c r="AB1686" s="626">
        <v>309.02999999999997</v>
      </c>
      <c r="AC1686" s="626" t="s">
        <v>88</v>
      </c>
      <c r="AP1686" s="1837"/>
      <c r="AQ1686" s="1837"/>
      <c r="BF1686" s="1837"/>
      <c r="BG1686" s="1837"/>
    </row>
    <row r="1687" spans="12:59">
      <c r="L1687" s="626">
        <v>75.040000000000006</v>
      </c>
      <c r="M1687" s="626" t="s">
        <v>2031</v>
      </c>
      <c r="AB1687" s="626">
        <v>309.04000000000002</v>
      </c>
      <c r="AC1687" s="626" t="s">
        <v>36</v>
      </c>
      <c r="AP1687" s="1837"/>
      <c r="AQ1687" s="1837"/>
      <c r="BF1687" s="1837"/>
      <c r="BG1687" s="1837"/>
    </row>
    <row r="1688" spans="12:59">
      <c r="L1688" s="626">
        <v>75.05</v>
      </c>
      <c r="M1688" s="626" t="s">
        <v>2031</v>
      </c>
      <c r="AB1688" s="626">
        <v>309.04000000000002</v>
      </c>
      <c r="AC1688" s="626" t="s">
        <v>43</v>
      </c>
      <c r="AP1688" s="1837"/>
      <c r="AQ1688" s="1837"/>
      <c r="BF1688" s="1837"/>
      <c r="BG1688" s="1837"/>
    </row>
    <row r="1689" spans="12:59">
      <c r="L1689" s="626">
        <v>76.03</v>
      </c>
      <c r="M1689" s="626" t="s">
        <v>2031</v>
      </c>
      <c r="AB1689" s="626">
        <v>309.05</v>
      </c>
      <c r="AC1689" s="626" t="s">
        <v>88</v>
      </c>
      <c r="AP1689" s="1837"/>
      <c r="AQ1689" s="1837"/>
      <c r="BF1689" s="1837"/>
      <c r="BG1689" s="1837"/>
    </row>
    <row r="1690" spans="12:59">
      <c r="L1690" s="626">
        <v>76.040000000000006</v>
      </c>
      <c r="M1690" s="626" t="s">
        <v>2031</v>
      </c>
      <c r="AB1690" s="626">
        <v>309.12</v>
      </c>
      <c r="AC1690" s="626" t="s">
        <v>69</v>
      </c>
      <c r="AP1690" s="1837"/>
      <c r="AQ1690" s="1837"/>
      <c r="BF1690" s="1837"/>
      <c r="BG1690" s="1837"/>
    </row>
    <row r="1691" spans="12:59">
      <c r="L1691" s="626">
        <v>76.05</v>
      </c>
      <c r="M1691" s="626" t="s">
        <v>2031</v>
      </c>
      <c r="AB1691" s="626">
        <v>309.13</v>
      </c>
      <c r="AC1691" s="626" t="s">
        <v>69</v>
      </c>
      <c r="AP1691" s="1837"/>
      <c r="AQ1691" s="1837"/>
      <c r="BF1691" s="1837"/>
      <c r="BG1691" s="1837"/>
    </row>
    <row r="1692" spans="12:59">
      <c r="L1692" s="626">
        <v>76.069999999999993</v>
      </c>
      <c r="M1692" s="626" t="s">
        <v>2031</v>
      </c>
      <c r="AB1692" s="626">
        <v>309.14</v>
      </c>
      <c r="AC1692" s="626" t="s">
        <v>69</v>
      </c>
      <c r="AP1692" s="1837"/>
      <c r="AQ1692" s="1837"/>
      <c r="BF1692" s="1837"/>
      <c r="BG1692" s="1837"/>
    </row>
    <row r="1693" spans="12:59">
      <c r="L1693" s="626">
        <v>76.099999999999994</v>
      </c>
      <c r="M1693" s="626" t="s">
        <v>2031</v>
      </c>
      <c r="AB1693" s="626">
        <v>310</v>
      </c>
      <c r="AC1693" s="626" t="s">
        <v>69</v>
      </c>
      <c r="AP1693" s="1837"/>
      <c r="AQ1693" s="1837"/>
      <c r="BF1693" s="1837"/>
      <c r="BG1693" s="1837"/>
    </row>
    <row r="1694" spans="12:59">
      <c r="L1694" s="626">
        <v>76.12</v>
      </c>
      <c r="M1694" s="626" t="s">
        <v>2031</v>
      </c>
      <c r="AB1694" s="626">
        <v>310.02</v>
      </c>
      <c r="AC1694" s="626" t="s">
        <v>36</v>
      </c>
      <c r="AP1694" s="1837"/>
      <c r="AQ1694" s="1837"/>
      <c r="BF1694" s="1837"/>
      <c r="BG1694" s="1837"/>
    </row>
    <row r="1695" spans="12:59">
      <c r="L1695" s="626">
        <v>76.13</v>
      </c>
      <c r="M1695" s="626" t="s">
        <v>2031</v>
      </c>
      <c r="AB1695" s="626">
        <v>310.12</v>
      </c>
      <c r="AC1695" s="626" t="s">
        <v>88</v>
      </c>
      <c r="AP1695" s="1837"/>
      <c r="AQ1695" s="1837"/>
      <c r="BF1695" s="1837"/>
      <c r="BG1695" s="1837"/>
    </row>
    <row r="1696" spans="12:59">
      <c r="L1696" s="626">
        <v>76.14</v>
      </c>
      <c r="M1696" s="626" t="s">
        <v>2031</v>
      </c>
      <c r="AB1696" s="626">
        <v>310.13</v>
      </c>
      <c r="AC1696" s="626" t="s">
        <v>88</v>
      </c>
      <c r="AP1696" s="1837"/>
      <c r="AQ1696" s="1837"/>
      <c r="BF1696" s="1837"/>
      <c r="BG1696" s="1837"/>
    </row>
    <row r="1697" spans="12:59">
      <c r="L1697" s="626">
        <v>76.16</v>
      </c>
      <c r="M1697" s="626" t="s">
        <v>2031</v>
      </c>
      <c r="AB1697" s="626">
        <v>311.01</v>
      </c>
      <c r="AC1697" s="626" t="s">
        <v>36</v>
      </c>
      <c r="AP1697" s="1837"/>
      <c r="AQ1697" s="1837"/>
      <c r="BF1697" s="1837"/>
      <c r="BG1697" s="1837"/>
    </row>
    <row r="1698" spans="12:59">
      <c r="L1698" s="626">
        <v>76.17</v>
      </c>
      <c r="M1698" s="626" t="s">
        <v>2031</v>
      </c>
      <c r="AB1698" s="626">
        <v>311.02</v>
      </c>
      <c r="AC1698" s="626" t="s">
        <v>36</v>
      </c>
      <c r="AP1698" s="1837"/>
      <c r="AQ1698" s="1837"/>
      <c r="BF1698" s="1837"/>
      <c r="BG1698" s="1837"/>
    </row>
    <row r="1699" spans="12:59">
      <c r="L1699" s="626">
        <v>76.180000000000007</v>
      </c>
      <c r="M1699" s="626" t="s">
        <v>2031</v>
      </c>
      <c r="AB1699" s="626">
        <v>311.02</v>
      </c>
      <c r="AC1699" s="626" t="s">
        <v>69</v>
      </c>
      <c r="AP1699" s="1837"/>
      <c r="AQ1699" s="1837"/>
      <c r="BF1699" s="1837"/>
      <c r="BG1699" s="1837"/>
    </row>
    <row r="1700" spans="12:59">
      <c r="L1700" s="626">
        <v>77.05</v>
      </c>
      <c r="M1700" s="626" t="s">
        <v>2031</v>
      </c>
      <c r="AB1700" s="626">
        <v>311.02999999999997</v>
      </c>
      <c r="AC1700" s="626" t="s">
        <v>69</v>
      </c>
      <c r="AP1700" s="1837"/>
      <c r="AQ1700" s="1837"/>
      <c r="BF1700" s="1837"/>
      <c r="BG1700" s="1837"/>
    </row>
    <row r="1701" spans="12:59">
      <c r="L1701" s="626">
        <v>77.099999999999994</v>
      </c>
      <c r="M1701" s="626" t="s">
        <v>2031</v>
      </c>
      <c r="AB1701" s="626">
        <v>311.07</v>
      </c>
      <c r="AC1701" s="626" t="s">
        <v>43</v>
      </c>
      <c r="AP1701" s="1837"/>
      <c r="AQ1701" s="1837"/>
      <c r="BF1701" s="1837"/>
      <c r="BG1701" s="1837"/>
    </row>
    <row r="1702" spans="12:59">
      <c r="L1702" s="626">
        <v>77.13</v>
      </c>
      <c r="M1702" s="626" t="s">
        <v>2031</v>
      </c>
      <c r="AB1702" s="626">
        <v>312</v>
      </c>
      <c r="AC1702" s="626" t="s">
        <v>43</v>
      </c>
      <c r="AP1702" s="1837"/>
      <c r="AQ1702" s="1837"/>
      <c r="BF1702" s="1837"/>
      <c r="BG1702" s="1837"/>
    </row>
    <row r="1703" spans="12:59">
      <c r="L1703" s="626">
        <v>77.209999999999994</v>
      </c>
      <c r="M1703" s="626" t="s">
        <v>2031</v>
      </c>
      <c r="AB1703" s="626">
        <v>312.02</v>
      </c>
      <c r="AC1703" s="626" t="s">
        <v>36</v>
      </c>
      <c r="AP1703" s="1837"/>
      <c r="AQ1703" s="1837"/>
      <c r="BF1703" s="1837"/>
      <c r="BG1703" s="1837"/>
    </row>
    <row r="1704" spans="12:59">
      <c r="L1704" s="626">
        <v>77.23</v>
      </c>
      <c r="M1704" s="626" t="s">
        <v>2031</v>
      </c>
      <c r="AB1704" s="626">
        <v>312.02</v>
      </c>
      <c r="AC1704" s="626" t="s">
        <v>69</v>
      </c>
      <c r="AP1704" s="1837"/>
      <c r="AQ1704" s="1837"/>
      <c r="BF1704" s="1837"/>
      <c r="BG1704" s="1837"/>
    </row>
    <row r="1705" spans="12:59">
      <c r="L1705" s="626">
        <v>77.239999999999995</v>
      </c>
      <c r="M1705" s="626" t="s">
        <v>2031</v>
      </c>
      <c r="AB1705" s="626">
        <v>312.02999999999997</v>
      </c>
      <c r="AC1705" s="626" t="s">
        <v>36</v>
      </c>
      <c r="AP1705" s="1837"/>
      <c r="AQ1705" s="1837"/>
      <c r="BF1705" s="1837"/>
      <c r="BG1705" s="1837"/>
    </row>
    <row r="1706" spans="12:59">
      <c r="L1706" s="626">
        <v>77.25</v>
      </c>
      <c r="M1706" s="626" t="s">
        <v>2031</v>
      </c>
      <c r="AB1706" s="626">
        <v>312.05</v>
      </c>
      <c r="AC1706" s="626" t="s">
        <v>36</v>
      </c>
      <c r="AP1706" s="1837"/>
      <c r="AQ1706" s="1837"/>
      <c r="BF1706" s="1837"/>
      <c r="BG1706" s="1837"/>
    </row>
    <row r="1707" spans="12:59">
      <c r="L1707" s="626">
        <v>77.3</v>
      </c>
      <c r="M1707" s="626" t="s">
        <v>2031</v>
      </c>
      <c r="AB1707" s="626">
        <v>312.05</v>
      </c>
      <c r="AC1707" s="626" t="s">
        <v>88</v>
      </c>
      <c r="AP1707" s="1837"/>
      <c r="AQ1707" s="1837"/>
      <c r="BF1707" s="1837"/>
      <c r="BG1707" s="1837"/>
    </row>
    <row r="1708" spans="12:59">
      <c r="L1708" s="626">
        <v>77.31</v>
      </c>
      <c r="M1708" s="626" t="s">
        <v>2031</v>
      </c>
      <c r="AB1708" s="626">
        <v>312.08</v>
      </c>
      <c r="AC1708" s="626" t="s">
        <v>88</v>
      </c>
      <c r="AP1708" s="1837"/>
      <c r="AQ1708" s="1837"/>
      <c r="BF1708" s="1837"/>
      <c r="BG1708" s="1837"/>
    </row>
    <row r="1709" spans="12:59">
      <c r="L1709" s="626">
        <v>77.33</v>
      </c>
      <c r="M1709" s="626" t="s">
        <v>2031</v>
      </c>
      <c r="AB1709" s="626">
        <v>313.01</v>
      </c>
      <c r="AC1709" s="626" t="s">
        <v>69</v>
      </c>
      <c r="AP1709" s="1837"/>
      <c r="AQ1709" s="1837"/>
      <c r="BF1709" s="1837"/>
      <c r="BG1709" s="1837"/>
    </row>
    <row r="1710" spans="12:59">
      <c r="L1710" s="626">
        <v>77.34</v>
      </c>
      <c r="M1710" s="626" t="s">
        <v>2031</v>
      </c>
      <c r="AB1710" s="626">
        <v>313.01</v>
      </c>
      <c r="AC1710" s="626" t="s">
        <v>88</v>
      </c>
      <c r="AP1710" s="1837"/>
      <c r="AQ1710" s="1837"/>
      <c r="BF1710" s="1837"/>
      <c r="BG1710" s="1837"/>
    </row>
    <row r="1711" spans="12:59">
      <c r="L1711" s="626">
        <v>77.349999999999994</v>
      </c>
      <c r="M1711" s="626" t="s">
        <v>2031</v>
      </c>
      <c r="AB1711" s="626">
        <v>313.02</v>
      </c>
      <c r="AC1711" s="626" t="s">
        <v>88</v>
      </c>
      <c r="AP1711" s="1837"/>
      <c r="AQ1711" s="1837"/>
      <c r="BF1711" s="1837"/>
      <c r="BG1711" s="1837"/>
    </row>
    <row r="1712" spans="12:59">
      <c r="L1712" s="626">
        <v>77.36</v>
      </c>
      <c r="M1712" s="626" t="s">
        <v>2031</v>
      </c>
      <c r="AB1712" s="626">
        <v>313.05</v>
      </c>
      <c r="AC1712" s="626" t="s">
        <v>69</v>
      </c>
      <c r="AP1712" s="1837"/>
      <c r="AQ1712" s="1837"/>
      <c r="BF1712" s="1837"/>
      <c r="BG1712" s="1837"/>
    </row>
    <row r="1713" spans="12:59">
      <c r="L1713" s="626">
        <v>77.400000000000006</v>
      </c>
      <c r="M1713" s="626" t="s">
        <v>2031</v>
      </c>
      <c r="AB1713" s="626">
        <v>313.06</v>
      </c>
      <c r="AC1713" s="626" t="s">
        <v>69</v>
      </c>
      <c r="AP1713" s="1837"/>
      <c r="AQ1713" s="1837"/>
      <c r="BF1713" s="1837"/>
      <c r="BG1713" s="1837"/>
    </row>
    <row r="1714" spans="12:59">
      <c r="L1714" s="626">
        <v>77.430000000000007</v>
      </c>
      <c r="M1714" s="626" t="s">
        <v>2031</v>
      </c>
      <c r="AB1714" s="626">
        <v>313.07</v>
      </c>
      <c r="AC1714" s="626" t="s">
        <v>69</v>
      </c>
      <c r="AP1714" s="1837"/>
      <c r="AQ1714" s="1837"/>
      <c r="BF1714" s="1837"/>
      <c r="BG1714" s="1837"/>
    </row>
    <row r="1715" spans="12:59">
      <c r="L1715" s="626">
        <v>77.48</v>
      </c>
      <c r="M1715" s="626" t="s">
        <v>2031</v>
      </c>
      <c r="AB1715" s="626">
        <v>313.08</v>
      </c>
      <c r="AC1715" s="626" t="s">
        <v>69</v>
      </c>
      <c r="AP1715" s="1837"/>
      <c r="AQ1715" s="1837"/>
      <c r="BF1715" s="1837"/>
      <c r="BG1715" s="1837"/>
    </row>
    <row r="1716" spans="12:59">
      <c r="L1716" s="626">
        <v>77.489999999999995</v>
      </c>
      <c r="M1716" s="626" t="s">
        <v>2031</v>
      </c>
      <c r="AB1716" s="626">
        <v>313.08999999999997</v>
      </c>
      <c r="AC1716" s="626" t="s">
        <v>69</v>
      </c>
      <c r="AP1716" s="1837"/>
      <c r="AQ1716" s="1837"/>
      <c r="BF1716" s="1837"/>
      <c r="BG1716" s="1837"/>
    </row>
    <row r="1717" spans="12:59">
      <c r="L1717" s="626">
        <v>77.510000000000005</v>
      </c>
      <c r="M1717" s="626" t="s">
        <v>2031</v>
      </c>
      <c r="AB1717" s="626">
        <v>313.10000000000002</v>
      </c>
      <c r="AC1717" s="626" t="s">
        <v>69</v>
      </c>
      <c r="AP1717" s="1837"/>
      <c r="AQ1717" s="1837"/>
      <c r="BF1717" s="1837"/>
      <c r="BG1717" s="1837"/>
    </row>
    <row r="1718" spans="12:59">
      <c r="L1718" s="626">
        <v>77.52</v>
      </c>
      <c r="M1718" s="626" t="s">
        <v>2031</v>
      </c>
      <c r="AB1718" s="626">
        <v>313.11</v>
      </c>
      <c r="AC1718" s="626" t="s">
        <v>69</v>
      </c>
      <c r="AP1718" s="1837"/>
      <c r="AQ1718" s="1837"/>
      <c r="BF1718" s="1837"/>
      <c r="BG1718" s="1837"/>
    </row>
    <row r="1719" spans="12:59">
      <c r="L1719" s="626">
        <v>77.53</v>
      </c>
      <c r="M1719" s="626" t="s">
        <v>2031</v>
      </c>
      <c r="AB1719" s="626">
        <v>314.08999999999997</v>
      </c>
      <c r="AC1719" s="626" t="s">
        <v>88</v>
      </c>
      <c r="AP1719" s="1837"/>
      <c r="AQ1719" s="1837"/>
      <c r="BF1719" s="1837"/>
      <c r="BG1719" s="1837"/>
    </row>
    <row r="1720" spans="12:59">
      <c r="L1720" s="626">
        <v>77.540000000000006</v>
      </c>
      <c r="M1720" s="626" t="s">
        <v>2031</v>
      </c>
      <c r="AB1720" s="626">
        <v>315.02999999999997</v>
      </c>
      <c r="AC1720" s="626" t="s">
        <v>88</v>
      </c>
      <c r="AP1720" s="1837"/>
      <c r="AQ1720" s="1837"/>
      <c r="BF1720" s="1837"/>
      <c r="BG1720" s="1837"/>
    </row>
    <row r="1721" spans="12:59">
      <c r="L1721" s="626">
        <v>77.56</v>
      </c>
      <c r="M1721" s="626" t="s">
        <v>2031</v>
      </c>
      <c r="AB1721" s="626">
        <v>315.04000000000002</v>
      </c>
      <c r="AC1721" s="626" t="s">
        <v>88</v>
      </c>
      <c r="AP1721" s="1837"/>
      <c r="AQ1721" s="1837"/>
      <c r="BF1721" s="1837"/>
      <c r="BG1721" s="1837"/>
    </row>
    <row r="1722" spans="12:59">
      <c r="L1722" s="626">
        <v>77.569999999999993</v>
      </c>
      <c r="M1722" s="626" t="s">
        <v>2031</v>
      </c>
      <c r="AB1722" s="626">
        <v>315.05</v>
      </c>
      <c r="AC1722" s="626" t="s">
        <v>88</v>
      </c>
      <c r="AP1722" s="1837"/>
      <c r="AQ1722" s="1837"/>
      <c r="BF1722" s="1837"/>
      <c r="BG1722" s="1837"/>
    </row>
    <row r="1723" spans="12:59">
      <c r="L1723" s="626">
        <v>77.58</v>
      </c>
      <c r="M1723" s="626" t="s">
        <v>2031</v>
      </c>
      <c r="AB1723" s="626">
        <v>315.06</v>
      </c>
      <c r="AC1723" s="626" t="s">
        <v>88</v>
      </c>
      <c r="AP1723" s="1837"/>
      <c r="AQ1723" s="1837"/>
      <c r="BF1723" s="1837"/>
      <c r="BG1723" s="1837"/>
    </row>
    <row r="1724" spans="12:59">
      <c r="L1724" s="626">
        <v>77.59</v>
      </c>
      <c r="M1724" s="626" t="s">
        <v>2031</v>
      </c>
      <c r="AB1724" s="626">
        <v>315.07</v>
      </c>
      <c r="AC1724" s="626" t="s">
        <v>88</v>
      </c>
      <c r="AP1724" s="1837"/>
      <c r="AQ1724" s="1837"/>
      <c r="BF1724" s="1837"/>
      <c r="BG1724" s="1837"/>
    </row>
    <row r="1725" spans="12:59">
      <c r="L1725" s="626">
        <v>77.599999999999994</v>
      </c>
      <c r="M1725" s="626" t="s">
        <v>2031</v>
      </c>
      <c r="AB1725" s="626">
        <v>315.08</v>
      </c>
      <c r="AC1725" s="626" t="s">
        <v>88</v>
      </c>
      <c r="AP1725" s="1837"/>
      <c r="AQ1725" s="1837"/>
      <c r="BF1725" s="1837"/>
      <c r="BG1725" s="1837"/>
    </row>
    <row r="1726" spans="12:59">
      <c r="L1726" s="626">
        <v>77.62</v>
      </c>
      <c r="M1726" s="626" t="s">
        <v>2031</v>
      </c>
      <c r="AB1726" s="626">
        <v>316.01</v>
      </c>
      <c r="AC1726" s="626" t="s">
        <v>88</v>
      </c>
      <c r="AP1726" s="1837"/>
      <c r="AQ1726" s="1837"/>
      <c r="BF1726" s="1837"/>
      <c r="BG1726" s="1837"/>
    </row>
    <row r="1727" spans="12:59">
      <c r="L1727" s="626">
        <v>77.63</v>
      </c>
      <c r="M1727" s="626" t="s">
        <v>2031</v>
      </c>
      <c r="AB1727" s="626">
        <v>316.02</v>
      </c>
      <c r="AC1727" s="626" t="s">
        <v>88</v>
      </c>
      <c r="AP1727" s="1837"/>
      <c r="AQ1727" s="1837"/>
      <c r="BF1727" s="1837"/>
      <c r="BG1727" s="1837"/>
    </row>
    <row r="1728" spans="12:59">
      <c r="L1728" s="626">
        <v>77.64</v>
      </c>
      <c r="M1728" s="626" t="s">
        <v>2031</v>
      </c>
      <c r="AB1728" s="626">
        <v>316.02999999999997</v>
      </c>
      <c r="AC1728" s="626" t="s">
        <v>88</v>
      </c>
      <c r="AP1728" s="1837"/>
      <c r="AQ1728" s="1837"/>
      <c r="BF1728" s="1837"/>
      <c r="BG1728" s="1837"/>
    </row>
    <row r="1729" spans="12:59">
      <c r="L1729" s="626">
        <v>77.650000000000006</v>
      </c>
      <c r="M1729" s="626" t="s">
        <v>2031</v>
      </c>
      <c r="AB1729" s="626">
        <v>316.04000000000002</v>
      </c>
      <c r="AC1729" s="626" t="s">
        <v>88</v>
      </c>
      <c r="AP1729" s="1837"/>
      <c r="AQ1729" s="1837"/>
      <c r="BF1729" s="1837"/>
      <c r="BG1729" s="1837"/>
    </row>
    <row r="1730" spans="12:59">
      <c r="L1730" s="626">
        <v>78.05</v>
      </c>
      <c r="M1730" s="626" t="s">
        <v>2031</v>
      </c>
      <c r="AB1730" s="626">
        <v>316.05</v>
      </c>
      <c r="AC1730" s="626" t="s">
        <v>88</v>
      </c>
      <c r="AP1730" s="1837"/>
      <c r="AQ1730" s="1837"/>
      <c r="BF1730" s="1837"/>
      <c r="BG1730" s="1837"/>
    </row>
    <row r="1731" spans="12:59">
      <c r="L1731" s="626">
        <v>78.08</v>
      </c>
      <c r="M1731" s="626" t="s">
        <v>2031</v>
      </c>
      <c r="AB1731" s="626">
        <v>317.01</v>
      </c>
      <c r="AC1731" s="626" t="s">
        <v>88</v>
      </c>
      <c r="AP1731" s="1837"/>
      <c r="AQ1731" s="1837"/>
      <c r="BF1731" s="1837"/>
      <c r="BG1731" s="1837"/>
    </row>
    <row r="1732" spans="12:59">
      <c r="L1732" s="626">
        <v>78.12</v>
      </c>
      <c r="M1732" s="626" t="s">
        <v>2031</v>
      </c>
      <c r="AB1732" s="626">
        <v>317.04000000000002</v>
      </c>
      <c r="AC1732" s="626" t="s">
        <v>88</v>
      </c>
      <c r="AP1732" s="1837"/>
      <c r="AQ1732" s="1837"/>
      <c r="BF1732" s="1837"/>
      <c r="BG1732" s="1837"/>
    </row>
    <row r="1733" spans="12:59">
      <c r="L1733" s="626">
        <v>78.13</v>
      </c>
      <c r="M1733" s="626" t="s">
        <v>2031</v>
      </c>
      <c r="AB1733" s="626">
        <v>317.05</v>
      </c>
      <c r="AC1733" s="626" t="s">
        <v>88</v>
      </c>
      <c r="AP1733" s="1837"/>
      <c r="AQ1733" s="1837"/>
      <c r="BF1733" s="1837"/>
      <c r="BG1733" s="1837"/>
    </row>
    <row r="1734" spans="12:59">
      <c r="L1734" s="626">
        <v>78.14</v>
      </c>
      <c r="M1734" s="626" t="s">
        <v>2031</v>
      </c>
      <c r="AB1734" s="626">
        <v>317.06</v>
      </c>
      <c r="AC1734" s="626" t="s">
        <v>88</v>
      </c>
      <c r="AP1734" s="1837"/>
      <c r="AQ1734" s="1837"/>
      <c r="BF1734" s="1837"/>
      <c r="BG1734" s="1837"/>
    </row>
    <row r="1735" spans="12:59">
      <c r="L1735" s="626">
        <v>78.17</v>
      </c>
      <c r="M1735" s="626" t="s">
        <v>2031</v>
      </c>
      <c r="AB1735" s="626">
        <v>317.07</v>
      </c>
      <c r="AC1735" s="626" t="s">
        <v>88</v>
      </c>
      <c r="AP1735" s="1837"/>
      <c r="AQ1735" s="1837"/>
      <c r="BF1735" s="1837"/>
      <c r="BG1735" s="1837"/>
    </row>
    <row r="1736" spans="12:59">
      <c r="L1736" s="626">
        <v>78.180000000000007</v>
      </c>
      <c r="M1736" s="626" t="s">
        <v>2031</v>
      </c>
      <c r="AB1736" s="626">
        <v>317.08</v>
      </c>
      <c r="AC1736" s="626" t="s">
        <v>88</v>
      </c>
      <c r="AP1736" s="1837"/>
      <c r="AQ1736" s="1837"/>
      <c r="BF1736" s="1837"/>
      <c r="BG1736" s="1837"/>
    </row>
    <row r="1737" spans="12:59">
      <c r="L1737" s="626">
        <v>78.2</v>
      </c>
      <c r="M1737" s="626" t="s">
        <v>2031</v>
      </c>
      <c r="AB1737" s="626">
        <v>318.04000000000002</v>
      </c>
      <c r="AC1737" s="626" t="s">
        <v>88</v>
      </c>
      <c r="AP1737" s="1837"/>
      <c r="AQ1737" s="1837"/>
      <c r="BF1737" s="1837"/>
      <c r="BG1737" s="1837"/>
    </row>
    <row r="1738" spans="12:59">
      <c r="L1738" s="626">
        <v>78.209999999999994</v>
      </c>
      <c r="M1738" s="626" t="s">
        <v>2031</v>
      </c>
      <c r="AB1738" s="626">
        <v>318.05</v>
      </c>
      <c r="AC1738" s="626" t="s">
        <v>88</v>
      </c>
      <c r="AP1738" s="1837"/>
      <c r="AQ1738" s="1837"/>
      <c r="BF1738" s="1837"/>
      <c r="BG1738" s="1837"/>
    </row>
    <row r="1739" spans="12:59">
      <c r="L1739" s="626">
        <v>78.22</v>
      </c>
      <c r="M1739" s="626" t="s">
        <v>2031</v>
      </c>
      <c r="AB1739" s="626">
        <v>318.08</v>
      </c>
      <c r="AC1739" s="626" t="s">
        <v>88</v>
      </c>
      <c r="AP1739" s="1837"/>
      <c r="AQ1739" s="1837"/>
      <c r="BF1739" s="1837"/>
      <c r="BG1739" s="1837"/>
    </row>
    <row r="1740" spans="12:59">
      <c r="L1740" s="626">
        <v>78.23</v>
      </c>
      <c r="M1740" s="626" t="s">
        <v>2031</v>
      </c>
      <c r="AB1740" s="626">
        <v>319.01</v>
      </c>
      <c r="AC1740" s="626" t="s">
        <v>88</v>
      </c>
      <c r="AP1740" s="1837"/>
      <c r="AQ1740" s="1837"/>
      <c r="BF1740" s="1837"/>
      <c r="BG1740" s="1837"/>
    </row>
    <row r="1741" spans="12:59">
      <c r="L1741" s="626">
        <v>78.28</v>
      </c>
      <c r="M1741" s="626" t="s">
        <v>2031</v>
      </c>
      <c r="AB1741" s="626">
        <v>319.02</v>
      </c>
      <c r="AC1741" s="626" t="s">
        <v>88</v>
      </c>
      <c r="AP1741" s="1837"/>
      <c r="AQ1741" s="1837"/>
      <c r="BF1741" s="1837"/>
      <c r="BG1741" s="1837"/>
    </row>
    <row r="1742" spans="12:59">
      <c r="L1742" s="626">
        <v>78.3</v>
      </c>
      <c r="M1742" s="626" t="s">
        <v>2031</v>
      </c>
      <c r="AB1742" s="626">
        <v>319.02999999999997</v>
      </c>
      <c r="AC1742" s="626" t="s">
        <v>88</v>
      </c>
      <c r="AP1742" s="1837"/>
      <c r="AQ1742" s="1837"/>
      <c r="BF1742" s="1837"/>
      <c r="BG1742" s="1837"/>
    </row>
    <row r="1743" spans="12:59">
      <c r="L1743" s="626">
        <v>78.31</v>
      </c>
      <c r="M1743" s="626" t="s">
        <v>2031</v>
      </c>
      <c r="AB1743" s="626">
        <v>320.01</v>
      </c>
      <c r="AC1743" s="626" t="s">
        <v>88</v>
      </c>
      <c r="AP1743" s="1837"/>
      <c r="AQ1743" s="1837"/>
      <c r="BF1743" s="1837"/>
      <c r="BG1743" s="1837"/>
    </row>
    <row r="1744" spans="12:59">
      <c r="L1744" s="626">
        <v>78.34</v>
      </c>
      <c r="M1744" s="626" t="s">
        <v>2031</v>
      </c>
      <c r="AB1744" s="626">
        <v>320.05</v>
      </c>
      <c r="AC1744" s="626" t="s">
        <v>88</v>
      </c>
      <c r="AP1744" s="1837"/>
      <c r="AQ1744" s="1837"/>
      <c r="BF1744" s="1837"/>
      <c r="BG1744" s="1837"/>
    </row>
    <row r="1745" spans="12:59">
      <c r="L1745" s="626">
        <v>78.349999999999994</v>
      </c>
      <c r="M1745" s="626" t="s">
        <v>2031</v>
      </c>
      <c r="AB1745" s="626">
        <v>320.06</v>
      </c>
      <c r="AC1745" s="626" t="s">
        <v>88</v>
      </c>
      <c r="AP1745" s="1837"/>
      <c r="AQ1745" s="1837"/>
      <c r="BF1745" s="1837"/>
      <c r="BG1745" s="1837"/>
    </row>
    <row r="1746" spans="12:59">
      <c r="L1746" s="626">
        <v>78.36</v>
      </c>
      <c r="M1746" s="626" t="s">
        <v>2031</v>
      </c>
      <c r="AB1746" s="626">
        <v>320.07</v>
      </c>
      <c r="AC1746" s="626" t="s">
        <v>88</v>
      </c>
      <c r="AP1746" s="1837"/>
      <c r="AQ1746" s="1837"/>
      <c r="BF1746" s="1837"/>
      <c r="BG1746" s="1837"/>
    </row>
    <row r="1747" spans="12:59">
      <c r="L1747" s="626">
        <v>78.37</v>
      </c>
      <c r="M1747" s="626" t="s">
        <v>2031</v>
      </c>
      <c r="AB1747" s="626">
        <v>320.08</v>
      </c>
      <c r="AC1747" s="626" t="s">
        <v>88</v>
      </c>
      <c r="AP1747" s="1837"/>
      <c r="AQ1747" s="1837"/>
      <c r="BF1747" s="1837"/>
      <c r="BG1747" s="1837"/>
    </row>
    <row r="1748" spans="12:59">
      <c r="L1748" s="626">
        <v>78.38</v>
      </c>
      <c r="M1748" s="626" t="s">
        <v>2031</v>
      </c>
      <c r="AB1748" s="626">
        <v>320.08999999999997</v>
      </c>
      <c r="AC1748" s="626" t="s">
        <v>88</v>
      </c>
      <c r="AP1748" s="1837"/>
      <c r="AQ1748" s="1837"/>
      <c r="BF1748" s="1837"/>
      <c r="BG1748" s="1837"/>
    </row>
    <row r="1749" spans="12:59">
      <c r="L1749" s="626">
        <v>78.39</v>
      </c>
      <c r="M1749" s="626" t="s">
        <v>2031</v>
      </c>
      <c r="AB1749" s="626">
        <v>320.10000000000002</v>
      </c>
      <c r="AC1749" s="626" t="s">
        <v>88</v>
      </c>
      <c r="AP1749" s="1837"/>
      <c r="AQ1749" s="1837"/>
      <c r="BF1749" s="1837"/>
      <c r="BG1749" s="1837"/>
    </row>
    <row r="1750" spans="12:59">
      <c r="L1750" s="626">
        <v>79.09</v>
      </c>
      <c r="M1750" s="626" t="s">
        <v>2031</v>
      </c>
      <c r="AB1750" s="626">
        <v>320.11</v>
      </c>
      <c r="AC1750" s="626" t="s">
        <v>88</v>
      </c>
      <c r="AP1750" s="1837"/>
      <c r="AQ1750" s="1837"/>
      <c r="BF1750" s="1837"/>
      <c r="BG1750" s="1837"/>
    </row>
    <row r="1751" spans="12:59">
      <c r="L1751" s="626">
        <v>79.099999999999994</v>
      </c>
      <c r="M1751" s="626" t="s">
        <v>2031</v>
      </c>
      <c r="AB1751" s="626">
        <v>320.12</v>
      </c>
      <c r="AC1751" s="626" t="s">
        <v>88</v>
      </c>
      <c r="AP1751" s="1837"/>
      <c r="AQ1751" s="1837"/>
      <c r="BF1751" s="1837"/>
      <c r="BG1751" s="1837"/>
    </row>
    <row r="1752" spans="12:59">
      <c r="L1752" s="626">
        <v>79.12</v>
      </c>
      <c r="M1752" s="626" t="s">
        <v>2031</v>
      </c>
      <c r="AB1752" s="626">
        <v>320.13</v>
      </c>
      <c r="AC1752" s="626" t="s">
        <v>88</v>
      </c>
      <c r="AP1752" s="1837"/>
      <c r="AQ1752" s="1837"/>
      <c r="BF1752" s="1837"/>
      <c r="BG1752" s="1837"/>
    </row>
    <row r="1753" spans="12:59">
      <c r="L1753" s="626">
        <v>301.01</v>
      </c>
      <c r="M1753" s="626" t="s">
        <v>88</v>
      </c>
      <c r="AB1753" s="626">
        <v>320.14</v>
      </c>
      <c r="AC1753" s="626" t="s">
        <v>88</v>
      </c>
      <c r="AP1753" s="1837"/>
      <c r="AQ1753" s="1837"/>
      <c r="BF1753" s="1837"/>
      <c r="BG1753" s="1837"/>
    </row>
    <row r="1754" spans="12:59">
      <c r="L1754" s="626">
        <v>302.02</v>
      </c>
      <c r="M1754" s="626" t="s">
        <v>88</v>
      </c>
      <c r="AB1754" s="626">
        <v>321.02999999999997</v>
      </c>
      <c r="AC1754" s="626" t="s">
        <v>88</v>
      </c>
      <c r="AP1754" s="1837"/>
      <c r="AQ1754" s="1837"/>
      <c r="BF1754" s="1837"/>
      <c r="BG1754" s="1837"/>
    </row>
    <row r="1755" spans="12:59">
      <c r="L1755" s="626">
        <v>302.04000000000002</v>
      </c>
      <c r="M1755" s="626" t="s">
        <v>88</v>
      </c>
      <c r="AB1755" s="626">
        <v>321.04000000000002</v>
      </c>
      <c r="AC1755" s="626" t="s">
        <v>88</v>
      </c>
      <c r="AP1755" s="1837"/>
      <c r="AQ1755" s="1837"/>
      <c r="BF1755" s="1837"/>
      <c r="BG1755" s="1837"/>
    </row>
    <row r="1756" spans="12:59">
      <c r="L1756" s="626">
        <v>302.05</v>
      </c>
      <c r="M1756" s="626" t="s">
        <v>88</v>
      </c>
      <c r="AB1756" s="626">
        <v>321.05</v>
      </c>
      <c r="AC1756" s="626" t="s">
        <v>88</v>
      </c>
      <c r="AP1756" s="1837"/>
      <c r="AQ1756" s="1837"/>
      <c r="BF1756" s="1837"/>
      <c r="BG1756" s="1837"/>
    </row>
    <row r="1757" spans="12:59">
      <c r="L1757" s="626">
        <v>303.01</v>
      </c>
      <c r="M1757" s="626" t="s">
        <v>88</v>
      </c>
      <c r="AB1757" s="626">
        <v>321.06</v>
      </c>
      <c r="AC1757" s="626" t="s">
        <v>88</v>
      </c>
      <c r="AP1757" s="1837"/>
      <c r="AQ1757" s="1837"/>
      <c r="BF1757" s="1837"/>
      <c r="BG1757" s="1837"/>
    </row>
    <row r="1758" spans="12:59">
      <c r="L1758" s="626">
        <v>303.02999999999997</v>
      </c>
      <c r="M1758" s="626" t="s">
        <v>88</v>
      </c>
      <c r="AB1758" s="626">
        <v>321.07</v>
      </c>
      <c r="AC1758" s="626" t="s">
        <v>88</v>
      </c>
      <c r="AP1758" s="1837"/>
      <c r="AQ1758" s="1837"/>
      <c r="BF1758" s="1837"/>
      <c r="BG1758" s="1837"/>
    </row>
    <row r="1759" spans="12:59">
      <c r="L1759" s="626">
        <v>304.04000000000002</v>
      </c>
      <c r="M1759" s="626" t="s">
        <v>88</v>
      </c>
      <c r="AB1759" s="626">
        <v>321.08</v>
      </c>
      <c r="AC1759" s="626" t="s">
        <v>88</v>
      </c>
      <c r="AP1759" s="1837"/>
      <c r="AQ1759" s="1837"/>
      <c r="BF1759" s="1837"/>
      <c r="BG1759" s="1837"/>
    </row>
    <row r="1760" spans="12:59">
      <c r="L1760" s="626">
        <v>304.08999999999997</v>
      </c>
      <c r="M1760" s="626" t="s">
        <v>88</v>
      </c>
      <c r="AB1760" s="626">
        <v>321.08999999999997</v>
      </c>
      <c r="AC1760" s="626" t="s">
        <v>88</v>
      </c>
      <c r="AP1760" s="1837"/>
      <c r="AQ1760" s="1837"/>
      <c r="BF1760" s="1837"/>
      <c r="BG1760" s="1837"/>
    </row>
    <row r="1761" spans="12:59">
      <c r="L1761" s="626">
        <v>309.02999999999997</v>
      </c>
      <c r="M1761" s="626" t="s">
        <v>88</v>
      </c>
      <c r="AB1761" s="626">
        <v>321.10000000000002</v>
      </c>
      <c r="AC1761" s="626" t="s">
        <v>88</v>
      </c>
      <c r="AP1761" s="1837"/>
      <c r="AQ1761" s="1837"/>
      <c r="BF1761" s="1837"/>
      <c r="BG1761" s="1837"/>
    </row>
    <row r="1762" spans="12:59">
      <c r="L1762" s="626">
        <v>309.05</v>
      </c>
      <c r="M1762" s="626" t="s">
        <v>88</v>
      </c>
      <c r="AB1762" s="626">
        <v>321.11</v>
      </c>
      <c r="AC1762" s="626" t="s">
        <v>88</v>
      </c>
      <c r="AP1762" s="1837"/>
      <c r="AQ1762" s="1837"/>
      <c r="BF1762" s="1837"/>
      <c r="BG1762" s="1837"/>
    </row>
    <row r="1763" spans="12:59">
      <c r="L1763" s="626">
        <v>310.12</v>
      </c>
      <c r="M1763" s="626" t="s">
        <v>88</v>
      </c>
      <c r="AB1763" s="626">
        <v>321.12</v>
      </c>
      <c r="AC1763" s="626" t="s">
        <v>88</v>
      </c>
      <c r="AP1763" s="1837"/>
      <c r="AQ1763" s="1837"/>
      <c r="BF1763" s="1837"/>
      <c r="BG1763" s="1837"/>
    </row>
    <row r="1764" spans="12:59">
      <c r="L1764" s="626">
        <v>310.13</v>
      </c>
      <c r="M1764" s="626" t="s">
        <v>88</v>
      </c>
      <c r="AB1764" s="626">
        <v>321.13</v>
      </c>
      <c r="AC1764" s="626" t="s">
        <v>88</v>
      </c>
      <c r="AP1764" s="1837"/>
      <c r="AQ1764" s="1837"/>
      <c r="BF1764" s="1837"/>
      <c r="BG1764" s="1837"/>
    </row>
    <row r="1765" spans="12:59">
      <c r="L1765" s="626">
        <v>312.05</v>
      </c>
      <c r="M1765" s="626" t="s">
        <v>88</v>
      </c>
      <c r="AB1765" s="626">
        <v>322</v>
      </c>
      <c r="AC1765" s="626" t="s">
        <v>88</v>
      </c>
      <c r="AP1765" s="1837"/>
      <c r="AQ1765" s="1837"/>
      <c r="BF1765" s="1837"/>
      <c r="BG1765" s="1837"/>
    </row>
    <row r="1766" spans="12:59">
      <c r="L1766" s="626">
        <v>312.08</v>
      </c>
      <c r="M1766" s="626" t="s">
        <v>88</v>
      </c>
      <c r="AB1766" s="626">
        <v>323</v>
      </c>
      <c r="AC1766" s="626" t="s">
        <v>88</v>
      </c>
      <c r="AP1766" s="1837"/>
      <c r="AQ1766" s="1837"/>
      <c r="BF1766" s="1837"/>
      <c r="BG1766" s="1837"/>
    </row>
    <row r="1767" spans="12:59">
      <c r="L1767" s="626">
        <v>313.01</v>
      </c>
      <c r="M1767" s="626" t="s">
        <v>88</v>
      </c>
      <c r="AB1767" s="626">
        <v>324.01</v>
      </c>
      <c r="AC1767" s="626" t="s">
        <v>88</v>
      </c>
      <c r="AP1767" s="1837"/>
      <c r="AQ1767" s="1837"/>
      <c r="BF1767" s="1837"/>
      <c r="BG1767" s="1837"/>
    </row>
    <row r="1768" spans="12:59">
      <c r="L1768" s="626">
        <v>313.02</v>
      </c>
      <c r="M1768" s="626" t="s">
        <v>88</v>
      </c>
      <c r="AB1768" s="626">
        <v>325</v>
      </c>
      <c r="AC1768" s="626" t="s">
        <v>88</v>
      </c>
      <c r="AP1768" s="1837"/>
      <c r="AQ1768" s="1837"/>
      <c r="BF1768" s="1837"/>
      <c r="BG1768" s="1837"/>
    </row>
    <row r="1769" spans="12:59">
      <c r="L1769" s="626">
        <v>314.08999999999997</v>
      </c>
      <c r="M1769" s="626" t="s">
        <v>88</v>
      </c>
      <c r="AB1769" s="626">
        <v>326.02</v>
      </c>
      <c r="AC1769" s="626" t="s">
        <v>88</v>
      </c>
      <c r="AP1769" s="1837"/>
      <c r="AQ1769" s="1837"/>
      <c r="BF1769" s="1837"/>
      <c r="BG1769" s="1837"/>
    </row>
    <row r="1770" spans="12:59">
      <c r="L1770" s="626">
        <v>315.02999999999997</v>
      </c>
      <c r="M1770" s="626" t="s">
        <v>88</v>
      </c>
      <c r="AB1770" s="626">
        <v>328.01</v>
      </c>
      <c r="AC1770" s="626" t="s">
        <v>88</v>
      </c>
      <c r="AP1770" s="1837"/>
      <c r="AQ1770" s="1837"/>
      <c r="BF1770" s="1837"/>
      <c r="BG1770" s="1837"/>
    </row>
    <row r="1771" spans="12:59">
      <c r="L1771" s="626">
        <v>315.04000000000002</v>
      </c>
      <c r="M1771" s="626" t="s">
        <v>88</v>
      </c>
      <c r="AB1771" s="626">
        <v>328.03</v>
      </c>
      <c r="AC1771" s="626" t="s">
        <v>88</v>
      </c>
      <c r="AP1771" s="1837"/>
      <c r="AQ1771" s="1837"/>
      <c r="BF1771" s="1837"/>
      <c r="BG1771" s="1837"/>
    </row>
    <row r="1772" spans="12:59">
      <c r="L1772" s="626">
        <v>315.05</v>
      </c>
      <c r="M1772" s="626" t="s">
        <v>88</v>
      </c>
      <c r="AB1772" s="626">
        <v>329.02</v>
      </c>
      <c r="AC1772" s="626" t="s">
        <v>88</v>
      </c>
      <c r="AP1772" s="1837"/>
      <c r="AQ1772" s="1837"/>
      <c r="BF1772" s="1837"/>
      <c r="BG1772" s="1837"/>
    </row>
    <row r="1773" spans="12:59">
      <c r="L1773" s="626">
        <v>315.06</v>
      </c>
      <c r="M1773" s="626" t="s">
        <v>88</v>
      </c>
      <c r="AB1773" s="626">
        <v>330.05</v>
      </c>
      <c r="AC1773" s="626" t="s">
        <v>88</v>
      </c>
      <c r="AP1773" s="1837"/>
      <c r="AQ1773" s="1837"/>
      <c r="BF1773" s="1837"/>
      <c r="BG1773" s="1837"/>
    </row>
    <row r="1774" spans="12:59">
      <c r="L1774" s="626">
        <v>315.07</v>
      </c>
      <c r="M1774" s="626" t="s">
        <v>88</v>
      </c>
      <c r="AB1774" s="626">
        <v>401.01</v>
      </c>
      <c r="AC1774" s="626" t="s">
        <v>29</v>
      </c>
      <c r="AP1774" s="1837"/>
      <c r="AQ1774" s="1837"/>
      <c r="BF1774" s="1837"/>
      <c r="BG1774" s="1837"/>
    </row>
    <row r="1775" spans="12:59">
      <c r="L1775" s="626">
        <v>315.08</v>
      </c>
      <c r="M1775" s="626" t="s">
        <v>88</v>
      </c>
      <c r="AB1775" s="626">
        <v>401.01</v>
      </c>
      <c r="AC1775" s="626" t="s">
        <v>36</v>
      </c>
      <c r="AP1775" s="1837"/>
      <c r="AQ1775" s="1837"/>
      <c r="BF1775" s="1837"/>
      <c r="BG1775" s="1837"/>
    </row>
    <row r="1776" spans="12:59">
      <c r="L1776" s="626">
        <v>316.01</v>
      </c>
      <c r="M1776" s="626" t="s">
        <v>88</v>
      </c>
      <c r="AB1776" s="626">
        <v>401.02</v>
      </c>
      <c r="AC1776" s="626" t="s">
        <v>29</v>
      </c>
      <c r="AP1776" s="1837"/>
      <c r="AQ1776" s="1837"/>
      <c r="BF1776" s="1837"/>
      <c r="BG1776" s="1837"/>
    </row>
    <row r="1777" spans="12:59">
      <c r="L1777" s="626">
        <v>316.02</v>
      </c>
      <c r="M1777" s="626" t="s">
        <v>88</v>
      </c>
      <c r="AB1777" s="626">
        <v>401.02</v>
      </c>
      <c r="AC1777" s="626" t="s">
        <v>36</v>
      </c>
      <c r="AP1777" s="1837"/>
      <c r="AQ1777" s="1837"/>
      <c r="BF1777" s="1837"/>
      <c r="BG1777" s="1837"/>
    </row>
    <row r="1778" spans="12:59">
      <c r="L1778" s="626">
        <v>316.02999999999997</v>
      </c>
      <c r="M1778" s="626" t="s">
        <v>88</v>
      </c>
      <c r="AB1778" s="626">
        <v>401.08</v>
      </c>
      <c r="AC1778" s="626" t="s">
        <v>70</v>
      </c>
      <c r="AP1778" s="1837"/>
      <c r="AQ1778" s="1837"/>
      <c r="BF1778" s="1837"/>
      <c r="BG1778" s="1837"/>
    </row>
    <row r="1779" spans="12:59">
      <c r="L1779" s="626">
        <v>316.04000000000002</v>
      </c>
      <c r="M1779" s="626" t="s">
        <v>88</v>
      </c>
      <c r="AB1779" s="626">
        <v>401.1</v>
      </c>
      <c r="AC1779" s="626" t="s">
        <v>70</v>
      </c>
      <c r="AP1779" s="1837"/>
      <c r="AQ1779" s="1837"/>
      <c r="BF1779" s="1837"/>
      <c r="BG1779" s="1837"/>
    </row>
    <row r="1780" spans="12:59">
      <c r="L1780" s="626">
        <v>316.05</v>
      </c>
      <c r="M1780" s="626" t="s">
        <v>88</v>
      </c>
      <c r="AB1780" s="626">
        <v>401.11</v>
      </c>
      <c r="AC1780" s="626" t="s">
        <v>70</v>
      </c>
      <c r="AP1780" s="1837"/>
      <c r="AQ1780" s="1837"/>
      <c r="BF1780" s="1837"/>
      <c r="BG1780" s="1837"/>
    </row>
    <row r="1781" spans="12:59">
      <c r="L1781" s="626">
        <v>317.01</v>
      </c>
      <c r="M1781" s="626" t="s">
        <v>88</v>
      </c>
      <c r="AB1781" s="626">
        <v>401.12</v>
      </c>
      <c r="AC1781" s="626" t="s">
        <v>70</v>
      </c>
      <c r="AP1781" s="1837"/>
      <c r="AQ1781" s="1837"/>
      <c r="BF1781" s="1837"/>
      <c r="BG1781" s="1837"/>
    </row>
    <row r="1782" spans="12:59">
      <c r="L1782" s="626">
        <v>317.04000000000002</v>
      </c>
      <c r="M1782" s="626" t="s">
        <v>88</v>
      </c>
      <c r="AB1782" s="626">
        <v>401.13</v>
      </c>
      <c r="AC1782" s="626" t="s">
        <v>70</v>
      </c>
      <c r="AP1782" s="1837"/>
      <c r="AQ1782" s="1837"/>
      <c r="BF1782" s="1837"/>
      <c r="BG1782" s="1837"/>
    </row>
    <row r="1783" spans="12:59">
      <c r="L1783" s="626">
        <v>317.05</v>
      </c>
      <c r="M1783" s="626" t="s">
        <v>88</v>
      </c>
      <c r="AB1783" s="626">
        <v>401.14</v>
      </c>
      <c r="AC1783" s="626" t="s">
        <v>70</v>
      </c>
      <c r="AP1783" s="1837"/>
      <c r="AQ1783" s="1837"/>
      <c r="BF1783" s="1837"/>
      <c r="BG1783" s="1837"/>
    </row>
    <row r="1784" spans="12:59">
      <c r="L1784" s="626">
        <v>317.06</v>
      </c>
      <c r="M1784" s="626" t="s">
        <v>88</v>
      </c>
      <c r="AB1784" s="626">
        <v>401.15</v>
      </c>
      <c r="AC1784" s="626" t="s">
        <v>70</v>
      </c>
      <c r="AP1784" s="1837"/>
      <c r="AQ1784" s="1837"/>
      <c r="BF1784" s="1837"/>
      <c r="BG1784" s="1837"/>
    </row>
    <row r="1785" spans="12:59">
      <c r="L1785" s="626">
        <v>317.07</v>
      </c>
      <c r="M1785" s="626" t="s">
        <v>88</v>
      </c>
      <c r="AB1785" s="626">
        <v>401.16</v>
      </c>
      <c r="AC1785" s="626" t="s">
        <v>70</v>
      </c>
      <c r="AP1785" s="1837"/>
      <c r="AQ1785" s="1837"/>
      <c r="BF1785" s="1837"/>
      <c r="BG1785" s="1837"/>
    </row>
    <row r="1786" spans="12:59">
      <c r="L1786" s="626">
        <v>317.08</v>
      </c>
      <c r="M1786" s="626" t="s">
        <v>88</v>
      </c>
      <c r="AB1786" s="626">
        <v>401.17</v>
      </c>
      <c r="AC1786" s="626" t="s">
        <v>70</v>
      </c>
      <c r="AP1786" s="1837"/>
      <c r="AQ1786" s="1837"/>
      <c r="BF1786" s="1837"/>
      <c r="BG1786" s="1837"/>
    </row>
    <row r="1787" spans="12:59">
      <c r="L1787" s="626">
        <v>318.04000000000002</v>
      </c>
      <c r="M1787" s="626" t="s">
        <v>88</v>
      </c>
      <c r="AB1787" s="626">
        <v>401.18</v>
      </c>
      <c r="AC1787" s="626" t="s">
        <v>70</v>
      </c>
      <c r="AP1787" s="1837"/>
      <c r="AQ1787" s="1837"/>
      <c r="BF1787" s="1837"/>
      <c r="BG1787" s="1837"/>
    </row>
    <row r="1788" spans="12:59">
      <c r="L1788" s="626">
        <v>318.05</v>
      </c>
      <c r="M1788" s="626" t="s">
        <v>88</v>
      </c>
      <c r="AB1788" s="626">
        <v>401.19</v>
      </c>
      <c r="AC1788" s="626" t="s">
        <v>70</v>
      </c>
      <c r="AP1788" s="1837"/>
      <c r="AQ1788" s="1837"/>
      <c r="BF1788" s="1837"/>
      <c r="BG1788" s="1837"/>
    </row>
    <row r="1789" spans="12:59">
      <c r="L1789" s="626">
        <v>318.08</v>
      </c>
      <c r="M1789" s="626" t="s">
        <v>88</v>
      </c>
      <c r="AB1789" s="626">
        <v>401.2</v>
      </c>
      <c r="AC1789" s="626" t="s">
        <v>70</v>
      </c>
      <c r="AP1789" s="1837"/>
      <c r="AQ1789" s="1837"/>
      <c r="BF1789" s="1837"/>
      <c r="BG1789" s="1837"/>
    </row>
    <row r="1790" spans="12:59">
      <c r="L1790" s="626">
        <v>319.01</v>
      </c>
      <c r="M1790" s="626" t="s">
        <v>88</v>
      </c>
      <c r="AB1790" s="626">
        <v>401.23</v>
      </c>
      <c r="AC1790" s="626" t="s">
        <v>70</v>
      </c>
      <c r="AP1790" s="1837"/>
      <c r="AQ1790" s="1837"/>
      <c r="BF1790" s="1837"/>
      <c r="BG1790" s="1837"/>
    </row>
    <row r="1791" spans="12:59">
      <c r="L1791" s="626">
        <v>319.02</v>
      </c>
      <c r="M1791" s="626" t="s">
        <v>88</v>
      </c>
      <c r="AB1791" s="626">
        <v>401.25</v>
      </c>
      <c r="AC1791" s="626" t="s">
        <v>70</v>
      </c>
      <c r="AP1791" s="1837"/>
      <c r="AQ1791" s="1837"/>
      <c r="BF1791" s="1837"/>
      <c r="BG1791" s="1837"/>
    </row>
    <row r="1792" spans="12:59">
      <c r="L1792" s="626">
        <v>319.02999999999997</v>
      </c>
      <c r="M1792" s="626" t="s">
        <v>88</v>
      </c>
      <c r="AB1792" s="626">
        <v>402.01</v>
      </c>
      <c r="AC1792" s="626" t="s">
        <v>61</v>
      </c>
      <c r="AP1792" s="1837"/>
      <c r="AQ1792" s="1837"/>
      <c r="BF1792" s="1837"/>
      <c r="BG1792" s="1837"/>
    </row>
    <row r="1793" spans="12:59">
      <c r="L1793" s="626">
        <v>320.01</v>
      </c>
      <c r="M1793" s="626" t="s">
        <v>88</v>
      </c>
      <c r="AB1793" s="626">
        <v>402.02</v>
      </c>
      <c r="AC1793" s="626" t="s">
        <v>61</v>
      </c>
      <c r="AP1793" s="1837"/>
      <c r="AQ1793" s="1837"/>
      <c r="BF1793" s="1837"/>
      <c r="BG1793" s="1837"/>
    </row>
    <row r="1794" spans="12:59">
      <c r="L1794" s="626">
        <v>320.05</v>
      </c>
      <c r="M1794" s="626" t="s">
        <v>88</v>
      </c>
      <c r="AB1794" s="626">
        <v>402.03</v>
      </c>
      <c r="AC1794" s="626" t="s">
        <v>36</v>
      </c>
      <c r="AP1794" s="1837"/>
      <c r="AQ1794" s="1837"/>
      <c r="BF1794" s="1837"/>
      <c r="BG1794" s="1837"/>
    </row>
    <row r="1795" spans="12:59">
      <c r="L1795" s="626">
        <v>320.06</v>
      </c>
      <c r="M1795" s="626" t="s">
        <v>88</v>
      </c>
      <c r="AB1795" s="626">
        <v>402.04</v>
      </c>
      <c r="AC1795" s="626" t="s">
        <v>36</v>
      </c>
      <c r="AP1795" s="1837"/>
      <c r="AQ1795" s="1837"/>
      <c r="BF1795" s="1837"/>
      <c r="BG1795" s="1837"/>
    </row>
    <row r="1796" spans="12:59">
      <c r="L1796" s="626">
        <v>320.07</v>
      </c>
      <c r="M1796" s="626" t="s">
        <v>88</v>
      </c>
      <c r="AB1796" s="626">
        <v>402.05</v>
      </c>
      <c r="AC1796" s="626" t="s">
        <v>36</v>
      </c>
      <c r="AP1796" s="1837"/>
      <c r="AQ1796" s="1837"/>
      <c r="BF1796" s="1837"/>
      <c r="BG1796" s="1837"/>
    </row>
    <row r="1797" spans="12:59">
      <c r="L1797" s="626">
        <v>320.08</v>
      </c>
      <c r="M1797" s="626" t="s">
        <v>88</v>
      </c>
      <c r="AB1797" s="626">
        <v>402.06</v>
      </c>
      <c r="AC1797" s="626" t="s">
        <v>36</v>
      </c>
      <c r="AP1797" s="1837"/>
      <c r="AQ1797" s="1837"/>
      <c r="BF1797" s="1837"/>
      <c r="BG1797" s="1837"/>
    </row>
    <row r="1798" spans="12:59">
      <c r="L1798" s="626">
        <v>320.08999999999997</v>
      </c>
      <c r="M1798" s="626" t="s">
        <v>88</v>
      </c>
      <c r="AB1798" s="626">
        <v>402.06</v>
      </c>
      <c r="AC1798" s="626" t="s">
        <v>70</v>
      </c>
      <c r="AP1798" s="1837"/>
      <c r="AQ1798" s="1837"/>
      <c r="BF1798" s="1837"/>
      <c r="BG1798" s="1837"/>
    </row>
    <row r="1799" spans="12:59">
      <c r="L1799" s="626">
        <v>320.10000000000002</v>
      </c>
      <c r="M1799" s="626" t="s">
        <v>88</v>
      </c>
      <c r="AB1799" s="626">
        <v>402.07</v>
      </c>
      <c r="AC1799" s="626" t="s">
        <v>70</v>
      </c>
      <c r="AP1799" s="1837"/>
      <c r="AQ1799" s="1837"/>
      <c r="BF1799" s="1837"/>
      <c r="BG1799" s="1837"/>
    </row>
    <row r="1800" spans="12:59">
      <c r="L1800" s="626">
        <v>320.11</v>
      </c>
      <c r="M1800" s="626" t="s">
        <v>88</v>
      </c>
      <c r="AB1800" s="626">
        <v>403.01</v>
      </c>
      <c r="AC1800" s="626" t="s">
        <v>61</v>
      </c>
      <c r="AP1800" s="1837"/>
      <c r="AQ1800" s="1837"/>
      <c r="BF1800" s="1837"/>
      <c r="BG1800" s="1837"/>
    </row>
    <row r="1801" spans="12:59">
      <c r="L1801" s="626">
        <v>320.12</v>
      </c>
      <c r="M1801" s="626" t="s">
        <v>88</v>
      </c>
      <c r="AB1801" s="626">
        <v>403.02</v>
      </c>
      <c r="AC1801" s="626" t="s">
        <v>61</v>
      </c>
      <c r="AP1801" s="1837"/>
      <c r="AQ1801" s="1837"/>
      <c r="BF1801" s="1837"/>
      <c r="BG1801" s="1837"/>
    </row>
    <row r="1802" spans="12:59">
      <c r="L1802" s="626">
        <v>320.13</v>
      </c>
      <c r="M1802" s="626" t="s">
        <v>88</v>
      </c>
      <c r="AB1802" s="626">
        <v>403.03</v>
      </c>
      <c r="AC1802" s="626" t="s">
        <v>61</v>
      </c>
      <c r="AP1802" s="1837"/>
      <c r="AQ1802" s="1837"/>
      <c r="BF1802" s="1837"/>
      <c r="BG1802" s="1837"/>
    </row>
    <row r="1803" spans="12:59">
      <c r="L1803" s="626">
        <v>320.14</v>
      </c>
      <c r="M1803" s="626" t="s">
        <v>88</v>
      </c>
      <c r="AB1803" s="626">
        <v>403.1</v>
      </c>
      <c r="AC1803" s="626" t="s">
        <v>70</v>
      </c>
      <c r="AP1803" s="1837"/>
      <c r="AQ1803" s="1837"/>
      <c r="BF1803" s="1837"/>
      <c r="BG1803" s="1837"/>
    </row>
    <row r="1804" spans="12:59">
      <c r="L1804" s="626">
        <v>321.02999999999997</v>
      </c>
      <c r="M1804" s="626" t="s">
        <v>88</v>
      </c>
      <c r="AB1804" s="626">
        <v>404.01</v>
      </c>
      <c r="AC1804" s="626" t="s">
        <v>36</v>
      </c>
      <c r="AP1804" s="1837"/>
      <c r="AQ1804" s="1837"/>
      <c r="BF1804" s="1837"/>
      <c r="BG1804" s="1837"/>
    </row>
    <row r="1805" spans="12:59">
      <c r="L1805" s="626">
        <v>321.04000000000002</v>
      </c>
      <c r="M1805" s="626" t="s">
        <v>88</v>
      </c>
      <c r="AB1805" s="626">
        <v>404.02</v>
      </c>
      <c r="AC1805" s="626" t="s">
        <v>36</v>
      </c>
      <c r="AP1805" s="1837"/>
      <c r="AQ1805" s="1837"/>
      <c r="BF1805" s="1837"/>
      <c r="BG1805" s="1837"/>
    </row>
    <row r="1806" spans="12:59">
      <c r="L1806" s="626">
        <v>321.05</v>
      </c>
      <c r="M1806" s="626" t="s">
        <v>88</v>
      </c>
      <c r="AB1806" s="626">
        <v>405.02</v>
      </c>
      <c r="AC1806" s="626" t="s">
        <v>36</v>
      </c>
      <c r="AP1806" s="1837"/>
      <c r="AQ1806" s="1837"/>
      <c r="BF1806" s="1837"/>
      <c r="BG1806" s="1837"/>
    </row>
    <row r="1807" spans="12:59">
      <c r="L1807" s="626">
        <v>321.06</v>
      </c>
      <c r="M1807" s="626" t="s">
        <v>88</v>
      </c>
      <c r="AB1807" s="626">
        <v>405.03</v>
      </c>
      <c r="AC1807" s="626" t="s">
        <v>36</v>
      </c>
      <c r="AP1807" s="1837"/>
      <c r="AQ1807" s="1837"/>
      <c r="BF1807" s="1837"/>
      <c r="BG1807" s="1837"/>
    </row>
    <row r="1808" spans="12:59">
      <c r="L1808" s="626">
        <v>321.07</v>
      </c>
      <c r="M1808" s="626" t="s">
        <v>88</v>
      </c>
      <c r="AB1808" s="626">
        <v>405.04</v>
      </c>
      <c r="AC1808" s="626" t="s">
        <v>36</v>
      </c>
      <c r="AP1808" s="1837"/>
      <c r="AQ1808" s="1837"/>
      <c r="BF1808" s="1837"/>
      <c r="BG1808" s="1837"/>
    </row>
    <row r="1809" spans="12:59">
      <c r="L1809" s="626">
        <v>321.08</v>
      </c>
      <c r="M1809" s="626" t="s">
        <v>88</v>
      </c>
      <c r="AB1809" s="626">
        <v>406.01</v>
      </c>
      <c r="AC1809" s="626" t="s">
        <v>36</v>
      </c>
      <c r="AP1809" s="1837"/>
      <c r="AQ1809" s="1837"/>
      <c r="BF1809" s="1837"/>
      <c r="BG1809" s="1837"/>
    </row>
    <row r="1810" spans="12:59">
      <c r="L1810" s="626">
        <v>321.08999999999997</v>
      </c>
      <c r="M1810" s="626" t="s">
        <v>88</v>
      </c>
      <c r="AB1810" s="626">
        <v>406.02</v>
      </c>
      <c r="AC1810" s="626" t="s">
        <v>36</v>
      </c>
      <c r="AP1810" s="1837"/>
      <c r="AQ1810" s="1837"/>
      <c r="BF1810" s="1837"/>
      <c r="BG1810" s="1837"/>
    </row>
    <row r="1811" spans="12:59">
      <c r="L1811" s="626">
        <v>321.10000000000002</v>
      </c>
      <c r="M1811" s="626" t="s">
        <v>88</v>
      </c>
      <c r="AB1811" s="626">
        <v>407.01</v>
      </c>
      <c r="AC1811" s="626" t="s">
        <v>36</v>
      </c>
      <c r="AP1811" s="1837"/>
      <c r="AQ1811" s="1837"/>
      <c r="BF1811" s="1837"/>
      <c r="BG1811" s="1837"/>
    </row>
    <row r="1812" spans="12:59">
      <c r="L1812" s="626">
        <v>321.11</v>
      </c>
      <c r="M1812" s="626" t="s">
        <v>88</v>
      </c>
      <c r="AB1812" s="626">
        <v>407.02</v>
      </c>
      <c r="AC1812" s="626" t="s">
        <v>36</v>
      </c>
      <c r="AP1812" s="1837"/>
      <c r="AQ1812" s="1837"/>
      <c r="BF1812" s="1837"/>
      <c r="BG1812" s="1837"/>
    </row>
    <row r="1813" spans="12:59">
      <c r="L1813" s="626">
        <v>321.12</v>
      </c>
      <c r="M1813" s="626" t="s">
        <v>88</v>
      </c>
      <c r="AB1813" s="626">
        <v>407.02</v>
      </c>
      <c r="AC1813" s="626" t="s">
        <v>61</v>
      </c>
      <c r="AP1813" s="1837"/>
      <c r="AQ1813" s="1837"/>
      <c r="BF1813" s="1837"/>
      <c r="BG1813" s="1837"/>
    </row>
    <row r="1814" spans="12:59">
      <c r="L1814" s="626">
        <v>321.13</v>
      </c>
      <c r="M1814" s="626" t="s">
        <v>88</v>
      </c>
      <c r="AB1814" s="626">
        <v>408.01</v>
      </c>
      <c r="AC1814" s="626" t="s">
        <v>86</v>
      </c>
      <c r="AP1814" s="1837"/>
      <c r="AQ1814" s="1837"/>
      <c r="BF1814" s="1837"/>
      <c r="BG1814" s="1837"/>
    </row>
    <row r="1815" spans="12:59">
      <c r="L1815" s="626">
        <v>322</v>
      </c>
      <c r="M1815" s="626" t="s">
        <v>88</v>
      </c>
      <c r="AB1815" s="626">
        <v>408.02</v>
      </c>
      <c r="AC1815" s="626" t="s">
        <v>86</v>
      </c>
      <c r="AP1815" s="1837"/>
      <c r="AQ1815" s="1837"/>
      <c r="BF1815" s="1837"/>
      <c r="BG1815" s="1837"/>
    </row>
    <row r="1816" spans="12:59">
      <c r="L1816" s="626">
        <v>323</v>
      </c>
      <c r="M1816" s="626" t="s">
        <v>88</v>
      </c>
      <c r="AB1816" s="626">
        <v>408.03</v>
      </c>
      <c r="AC1816" s="626" t="s">
        <v>86</v>
      </c>
      <c r="AP1816" s="1837"/>
      <c r="AQ1816" s="1837"/>
      <c r="BF1816" s="1837"/>
      <c r="BG1816" s="1837"/>
    </row>
    <row r="1817" spans="12:59">
      <c r="L1817" s="626">
        <v>324.01</v>
      </c>
      <c r="M1817" s="626" t="s">
        <v>88</v>
      </c>
      <c r="AB1817" s="626">
        <v>408.04</v>
      </c>
      <c r="AC1817" s="626" t="s">
        <v>86</v>
      </c>
      <c r="AP1817" s="1837"/>
      <c r="AQ1817" s="1837"/>
      <c r="BF1817" s="1837"/>
      <c r="BG1817" s="1837"/>
    </row>
    <row r="1818" spans="12:59">
      <c r="L1818" s="626">
        <v>325</v>
      </c>
      <c r="M1818" s="626" t="s">
        <v>88</v>
      </c>
      <c r="AB1818" s="626">
        <v>409.01</v>
      </c>
      <c r="AC1818" s="626" t="s">
        <v>86</v>
      </c>
      <c r="AP1818" s="1837"/>
      <c r="AQ1818" s="1837"/>
      <c r="BF1818" s="1837"/>
      <c r="BG1818" s="1837"/>
    </row>
    <row r="1819" spans="12:59">
      <c r="L1819" s="626">
        <v>326.02</v>
      </c>
      <c r="M1819" s="626" t="s">
        <v>88</v>
      </c>
      <c r="AB1819" s="626">
        <v>409.05</v>
      </c>
      <c r="AC1819" s="626" t="s">
        <v>61</v>
      </c>
      <c r="AP1819" s="1837"/>
      <c r="AQ1819" s="1837"/>
      <c r="BF1819" s="1837"/>
      <c r="BG1819" s="1837"/>
    </row>
    <row r="1820" spans="12:59">
      <c r="L1820" s="626">
        <v>328.01</v>
      </c>
      <c r="M1820" s="626" t="s">
        <v>88</v>
      </c>
      <c r="AB1820" s="626">
        <v>409.06</v>
      </c>
      <c r="AC1820" s="626" t="s">
        <v>61</v>
      </c>
      <c r="AP1820" s="1837"/>
      <c r="AQ1820" s="1837"/>
      <c r="BF1820" s="1837"/>
      <c r="BG1820" s="1837"/>
    </row>
    <row r="1821" spans="12:59">
      <c r="L1821" s="626">
        <v>328.03</v>
      </c>
      <c r="M1821" s="626" t="s">
        <v>88</v>
      </c>
      <c r="AB1821" s="626">
        <v>409.07</v>
      </c>
      <c r="AC1821" s="626" t="s">
        <v>61</v>
      </c>
      <c r="AP1821" s="1837"/>
      <c r="AQ1821" s="1837"/>
      <c r="BF1821" s="1837"/>
      <c r="BG1821" s="1837"/>
    </row>
    <row r="1822" spans="12:59">
      <c r="L1822" s="626">
        <v>329.02</v>
      </c>
      <c r="M1822" s="626" t="s">
        <v>88</v>
      </c>
      <c r="AB1822" s="626">
        <v>409.08</v>
      </c>
      <c r="AC1822" s="626" t="s">
        <v>61</v>
      </c>
      <c r="AP1822" s="1837"/>
      <c r="AQ1822" s="1837"/>
      <c r="BF1822" s="1837"/>
      <c r="BG1822" s="1837"/>
    </row>
    <row r="1823" spans="12:59">
      <c r="L1823" s="626">
        <v>330.05</v>
      </c>
      <c r="M1823" s="626" t="s">
        <v>88</v>
      </c>
      <c r="AB1823" s="626">
        <v>409.09</v>
      </c>
      <c r="AC1823" s="626" t="s">
        <v>61</v>
      </c>
      <c r="AP1823" s="1837"/>
      <c r="AQ1823" s="1837"/>
      <c r="BF1823" s="1837"/>
      <c r="BG1823" s="1837"/>
    </row>
    <row r="1824" spans="12:59">
      <c r="L1824" s="626">
        <v>201.05</v>
      </c>
      <c r="M1824" s="626" t="s">
        <v>89</v>
      </c>
      <c r="AB1824" s="626">
        <v>409.1</v>
      </c>
      <c r="AC1824" s="626" t="s">
        <v>61</v>
      </c>
      <c r="AP1824" s="1837"/>
      <c r="AQ1824" s="1837"/>
      <c r="BF1824" s="1837"/>
      <c r="BG1824" s="1837"/>
    </row>
    <row r="1825" spans="12:59">
      <c r="L1825" s="626">
        <v>201.06</v>
      </c>
      <c r="M1825" s="626" t="s">
        <v>89</v>
      </c>
      <c r="AB1825" s="626">
        <v>409.11</v>
      </c>
      <c r="AC1825" s="626" t="s">
        <v>61</v>
      </c>
      <c r="AP1825" s="1837"/>
      <c r="AQ1825" s="1837"/>
      <c r="BF1825" s="1837"/>
      <c r="BG1825" s="1837"/>
    </row>
    <row r="1826" spans="12:59">
      <c r="L1826" s="626">
        <v>201.07</v>
      </c>
      <c r="M1826" s="626" t="s">
        <v>89</v>
      </c>
      <c r="AB1826" s="626">
        <v>410.01</v>
      </c>
      <c r="AC1826" s="626" t="s">
        <v>86</v>
      </c>
      <c r="AP1826" s="1837"/>
      <c r="AQ1826" s="1837"/>
      <c r="BF1826" s="1837"/>
      <c r="BG1826" s="1837"/>
    </row>
    <row r="1827" spans="12:59">
      <c r="L1827" s="626">
        <v>201.08</v>
      </c>
      <c r="M1827" s="626" t="s">
        <v>89</v>
      </c>
      <c r="AB1827" s="626">
        <v>410.02</v>
      </c>
      <c r="AC1827" s="626" t="s">
        <v>86</v>
      </c>
      <c r="AP1827" s="1837"/>
      <c r="AQ1827" s="1837"/>
      <c r="BF1827" s="1837"/>
      <c r="BG1827" s="1837"/>
    </row>
    <row r="1828" spans="12:59">
      <c r="L1828" s="626">
        <v>202.01</v>
      </c>
      <c r="M1828" s="626" t="s">
        <v>89</v>
      </c>
      <c r="AB1828" s="626">
        <v>410.04</v>
      </c>
      <c r="AC1828" s="626" t="s">
        <v>61</v>
      </c>
      <c r="AP1828" s="1837"/>
      <c r="AQ1828" s="1837"/>
      <c r="BF1828" s="1837"/>
      <c r="BG1828" s="1837"/>
    </row>
    <row r="1829" spans="12:59">
      <c r="L1829" s="626">
        <v>202.02</v>
      </c>
      <c r="M1829" s="626" t="s">
        <v>89</v>
      </c>
      <c r="AB1829" s="626">
        <v>410.05</v>
      </c>
      <c r="AC1829" s="626" t="s">
        <v>61</v>
      </c>
      <c r="AP1829" s="1837"/>
      <c r="AQ1829" s="1837"/>
      <c r="BF1829" s="1837"/>
      <c r="BG1829" s="1837"/>
    </row>
    <row r="1830" spans="12:59">
      <c r="L1830" s="626">
        <v>202.06</v>
      </c>
      <c r="M1830" s="626" t="s">
        <v>89</v>
      </c>
      <c r="AB1830" s="626">
        <v>410.06</v>
      </c>
      <c r="AC1830" s="626" t="s">
        <v>61</v>
      </c>
      <c r="AP1830" s="1837"/>
      <c r="AQ1830" s="1837"/>
      <c r="BF1830" s="1837"/>
      <c r="BG1830" s="1837"/>
    </row>
    <row r="1831" spans="12:59">
      <c r="L1831" s="626">
        <v>202.07</v>
      </c>
      <c r="M1831" s="626" t="s">
        <v>89</v>
      </c>
      <c r="AB1831" s="626">
        <v>411.04</v>
      </c>
      <c r="AC1831" s="626" t="s">
        <v>61</v>
      </c>
      <c r="AP1831" s="1837"/>
      <c r="AQ1831" s="1837"/>
      <c r="BF1831" s="1837"/>
      <c r="BG1831" s="1837"/>
    </row>
    <row r="1832" spans="12:59">
      <c r="L1832" s="626">
        <v>202.08</v>
      </c>
      <c r="M1832" s="626" t="s">
        <v>89</v>
      </c>
      <c r="AB1832" s="626">
        <v>411.06</v>
      </c>
      <c r="AC1832" s="626" t="s">
        <v>61</v>
      </c>
      <c r="AP1832" s="1837"/>
      <c r="AQ1832" s="1837"/>
      <c r="BF1832" s="1837"/>
      <c r="BG1832" s="1837"/>
    </row>
    <row r="1833" spans="12:59">
      <c r="L1833" s="626">
        <v>202.09</v>
      </c>
      <c r="M1833" s="626" t="s">
        <v>89</v>
      </c>
      <c r="AB1833" s="626">
        <v>412.01</v>
      </c>
      <c r="AC1833" s="626" t="s">
        <v>61</v>
      </c>
      <c r="AP1833" s="1837"/>
      <c r="AQ1833" s="1837"/>
      <c r="BF1833" s="1837"/>
      <c r="BG1833" s="1837"/>
    </row>
    <row r="1834" spans="12:59">
      <c r="L1834" s="626">
        <v>203.01</v>
      </c>
      <c r="M1834" s="626" t="s">
        <v>89</v>
      </c>
      <c r="AB1834" s="626">
        <v>412.03</v>
      </c>
      <c r="AC1834" s="626" t="s">
        <v>61</v>
      </c>
      <c r="AP1834" s="1837"/>
      <c r="AQ1834" s="1837"/>
      <c r="BF1834" s="1837"/>
      <c r="BG1834" s="1837"/>
    </row>
    <row r="1835" spans="12:59">
      <c r="L1835" s="626">
        <v>203.02</v>
      </c>
      <c r="M1835" s="626" t="s">
        <v>89</v>
      </c>
      <c r="AB1835" s="626">
        <v>413.03</v>
      </c>
      <c r="AC1835" s="626" t="s">
        <v>61</v>
      </c>
      <c r="AP1835" s="1837"/>
      <c r="AQ1835" s="1837"/>
      <c r="BF1835" s="1837"/>
      <c r="BG1835" s="1837"/>
    </row>
    <row r="1836" spans="12:59">
      <c r="L1836" s="626">
        <v>204</v>
      </c>
      <c r="M1836" s="626" t="s">
        <v>89</v>
      </c>
      <c r="AB1836" s="626">
        <v>413.05</v>
      </c>
      <c r="AC1836" s="626" t="s">
        <v>61</v>
      </c>
      <c r="AP1836" s="1837"/>
      <c r="AQ1836" s="1837"/>
      <c r="BF1836" s="1837"/>
      <c r="BG1836" s="1837"/>
    </row>
    <row r="1837" spans="12:59">
      <c r="L1837" s="626">
        <v>219</v>
      </c>
      <c r="M1837" s="626" t="s">
        <v>89</v>
      </c>
      <c r="AB1837" s="626">
        <v>414.02</v>
      </c>
      <c r="AC1837" s="626" t="s">
        <v>61</v>
      </c>
      <c r="AP1837" s="1837"/>
      <c r="AQ1837" s="1837"/>
      <c r="BF1837" s="1837"/>
      <c r="BG1837" s="1837"/>
    </row>
    <row r="1838" spans="12:59">
      <c r="L1838" s="626">
        <v>221</v>
      </c>
      <c r="M1838" s="626" t="s">
        <v>89</v>
      </c>
      <c r="AB1838" s="626">
        <v>415</v>
      </c>
      <c r="AC1838" s="626" t="s">
        <v>86</v>
      </c>
      <c r="AP1838" s="1837"/>
      <c r="AQ1838" s="1837"/>
      <c r="BF1838" s="1837"/>
      <c r="BG1838" s="1837"/>
    </row>
    <row r="1839" spans="12:59">
      <c r="L1839" s="626">
        <v>222</v>
      </c>
      <c r="M1839" s="626" t="s">
        <v>89</v>
      </c>
      <c r="AB1839" s="626">
        <v>415.01</v>
      </c>
      <c r="AC1839" s="626" t="s">
        <v>61</v>
      </c>
      <c r="AP1839" s="1837"/>
      <c r="AQ1839" s="1837"/>
      <c r="BF1839" s="1837"/>
      <c r="BG1839" s="1837"/>
    </row>
    <row r="1840" spans="12:59">
      <c r="L1840" s="626">
        <v>223.02</v>
      </c>
      <c r="M1840" s="626" t="s">
        <v>89</v>
      </c>
      <c r="AB1840" s="626">
        <v>415.02</v>
      </c>
      <c r="AC1840" s="626" t="s">
        <v>61</v>
      </c>
      <c r="AP1840" s="1837"/>
      <c r="AQ1840" s="1837"/>
      <c r="BF1840" s="1837"/>
      <c r="BG1840" s="1837"/>
    </row>
    <row r="1841" spans="12:59">
      <c r="L1841" s="626">
        <v>224.01</v>
      </c>
      <c r="M1841" s="626" t="s">
        <v>89</v>
      </c>
      <c r="AB1841" s="626">
        <v>416</v>
      </c>
      <c r="AC1841" s="626" t="s">
        <v>61</v>
      </c>
      <c r="AP1841" s="1837"/>
      <c r="AQ1841" s="1837"/>
      <c r="BF1841" s="1837"/>
      <c r="BG1841" s="1837"/>
    </row>
    <row r="1842" spans="12:59">
      <c r="L1842" s="626">
        <v>224.02</v>
      </c>
      <c r="M1842" s="626" t="s">
        <v>89</v>
      </c>
      <c r="AB1842" s="626">
        <v>418.01</v>
      </c>
      <c r="AC1842" s="626" t="s">
        <v>36</v>
      </c>
      <c r="AP1842" s="1837"/>
      <c r="AQ1842" s="1837"/>
      <c r="BF1842" s="1837"/>
      <c r="BG1842" s="1837"/>
    </row>
    <row r="1843" spans="12:59">
      <c r="L1843" s="626">
        <v>225.01</v>
      </c>
      <c r="M1843" s="626" t="s">
        <v>89</v>
      </c>
      <c r="AB1843" s="626">
        <v>418.02</v>
      </c>
      <c r="AC1843" s="626" t="s">
        <v>36</v>
      </c>
      <c r="AP1843" s="1837"/>
      <c r="AQ1843" s="1837"/>
      <c r="BF1843" s="1837"/>
      <c r="BG1843" s="1837"/>
    </row>
    <row r="1844" spans="12:59">
      <c r="L1844" s="626">
        <v>225.03</v>
      </c>
      <c r="M1844" s="626" t="s">
        <v>89</v>
      </c>
      <c r="AB1844" s="626">
        <v>419</v>
      </c>
      <c r="AC1844" s="626" t="s">
        <v>36</v>
      </c>
      <c r="AP1844" s="1837"/>
      <c r="AQ1844" s="1837"/>
      <c r="BF1844" s="1837"/>
      <c r="BG1844" s="1837"/>
    </row>
    <row r="1845" spans="12:59">
      <c r="L1845" s="626">
        <v>226.01</v>
      </c>
      <c r="M1845" s="626" t="s">
        <v>89</v>
      </c>
      <c r="AB1845" s="626">
        <v>420</v>
      </c>
      <c r="AC1845" s="626" t="s">
        <v>36</v>
      </c>
      <c r="AP1845" s="1837"/>
      <c r="AQ1845" s="1837"/>
      <c r="BF1845" s="1837"/>
      <c r="BG1845" s="1837"/>
    </row>
    <row r="1846" spans="12:59">
      <c r="L1846" s="626">
        <v>226.02</v>
      </c>
      <c r="M1846" s="626" t="s">
        <v>89</v>
      </c>
      <c r="AB1846" s="626">
        <v>421</v>
      </c>
      <c r="AC1846" s="626" t="s">
        <v>36</v>
      </c>
      <c r="AP1846" s="1837"/>
      <c r="AQ1846" s="1837"/>
      <c r="BF1846" s="1837"/>
      <c r="BG1846" s="1837"/>
    </row>
    <row r="1847" spans="12:59">
      <c r="L1847" s="626">
        <v>227</v>
      </c>
      <c r="M1847" s="626" t="s">
        <v>89</v>
      </c>
      <c r="AB1847" s="626">
        <v>421</v>
      </c>
      <c r="AC1847" s="626" t="s">
        <v>86</v>
      </c>
      <c r="AP1847" s="1837"/>
      <c r="AQ1847" s="1837"/>
      <c r="BF1847" s="1837"/>
      <c r="BG1847" s="1837"/>
    </row>
    <row r="1848" spans="12:59">
      <c r="L1848" s="626">
        <v>228.01</v>
      </c>
      <c r="M1848" s="626" t="s">
        <v>89</v>
      </c>
      <c r="AB1848" s="626">
        <v>422</v>
      </c>
      <c r="AC1848" s="626" t="s">
        <v>36</v>
      </c>
      <c r="AP1848" s="1837"/>
      <c r="AQ1848" s="1837"/>
      <c r="BF1848" s="1837"/>
      <c r="BG1848" s="1837"/>
    </row>
    <row r="1849" spans="12:59">
      <c r="L1849" s="626">
        <v>228.02</v>
      </c>
      <c r="M1849" s="626" t="s">
        <v>89</v>
      </c>
      <c r="AB1849" s="626">
        <v>423.01</v>
      </c>
      <c r="AC1849" s="626" t="s">
        <v>36</v>
      </c>
      <c r="AP1849" s="1837"/>
      <c r="AQ1849" s="1837"/>
      <c r="BF1849" s="1837"/>
      <c r="BG1849" s="1837"/>
    </row>
    <row r="1850" spans="12:59">
      <c r="L1850" s="626">
        <v>229.01</v>
      </c>
      <c r="M1850" s="626" t="s">
        <v>89</v>
      </c>
      <c r="AB1850" s="626">
        <v>424</v>
      </c>
      <c r="AC1850" s="626" t="s">
        <v>36</v>
      </c>
      <c r="AP1850" s="1837"/>
      <c r="AQ1850" s="1837"/>
      <c r="BF1850" s="1837"/>
      <c r="BG1850" s="1837"/>
    </row>
    <row r="1851" spans="12:59">
      <c r="L1851" s="626">
        <v>232</v>
      </c>
      <c r="M1851" s="626" t="s">
        <v>89</v>
      </c>
      <c r="AB1851" s="626">
        <v>424</v>
      </c>
      <c r="AC1851" s="626" t="s">
        <v>86</v>
      </c>
      <c r="AP1851" s="1837"/>
      <c r="AQ1851" s="1837"/>
      <c r="BF1851" s="1837"/>
      <c r="BG1851" s="1837"/>
    </row>
    <row r="1852" spans="12:59">
      <c r="L1852" s="626">
        <v>233</v>
      </c>
      <c r="M1852" s="626" t="s">
        <v>89</v>
      </c>
      <c r="AB1852" s="626">
        <v>425</v>
      </c>
      <c r="AC1852" s="626" t="s">
        <v>36</v>
      </c>
      <c r="AP1852" s="1837"/>
      <c r="AQ1852" s="1837"/>
      <c r="BF1852" s="1837"/>
      <c r="BG1852" s="1837"/>
    </row>
    <row r="1853" spans="12:59">
      <c r="L1853" s="626">
        <v>235</v>
      </c>
      <c r="M1853" s="626" t="s">
        <v>89</v>
      </c>
      <c r="AB1853" s="626">
        <v>426</v>
      </c>
      <c r="AC1853" s="626" t="s">
        <v>36</v>
      </c>
      <c r="AP1853" s="1837"/>
      <c r="AQ1853" s="1837"/>
      <c r="BF1853" s="1837"/>
      <c r="BG1853" s="1837"/>
    </row>
    <row r="1854" spans="12:59">
      <c r="L1854" s="626">
        <v>236</v>
      </c>
      <c r="M1854" s="626" t="s">
        <v>89</v>
      </c>
      <c r="AB1854" s="626">
        <v>426.01</v>
      </c>
      <c r="AC1854" s="626" t="s">
        <v>86</v>
      </c>
      <c r="AP1854" s="1837"/>
      <c r="AQ1854" s="1837"/>
      <c r="BF1854" s="1837"/>
      <c r="BG1854" s="1837"/>
    </row>
    <row r="1855" spans="12:59">
      <c r="L1855" s="626">
        <v>237</v>
      </c>
      <c r="M1855" s="626" t="s">
        <v>89</v>
      </c>
      <c r="AB1855" s="626">
        <v>426.02</v>
      </c>
      <c r="AC1855" s="626" t="s">
        <v>86</v>
      </c>
      <c r="AP1855" s="1837"/>
      <c r="AQ1855" s="1837"/>
      <c r="BF1855" s="1837"/>
      <c r="BG1855" s="1837"/>
    </row>
    <row r="1856" spans="12:59">
      <c r="L1856" s="626">
        <v>238</v>
      </c>
      <c r="M1856" s="626" t="s">
        <v>89</v>
      </c>
      <c r="AB1856" s="626">
        <v>428</v>
      </c>
      <c r="AC1856" s="626" t="s">
        <v>86</v>
      </c>
      <c r="AP1856" s="1837"/>
      <c r="AQ1856" s="1837"/>
      <c r="BF1856" s="1837"/>
      <c r="BG1856" s="1837"/>
    </row>
    <row r="1857" spans="12:59">
      <c r="L1857" s="626">
        <v>239</v>
      </c>
      <c r="M1857" s="626" t="s">
        <v>89</v>
      </c>
      <c r="AB1857" s="626">
        <v>429</v>
      </c>
      <c r="AC1857" s="626" t="s">
        <v>86</v>
      </c>
      <c r="AP1857" s="1837"/>
      <c r="AQ1857" s="1837"/>
      <c r="BF1857" s="1837"/>
      <c r="BG1857" s="1837"/>
    </row>
    <row r="1858" spans="12:59">
      <c r="L1858" s="626">
        <v>240.01</v>
      </c>
      <c r="M1858" s="626" t="s">
        <v>89</v>
      </c>
      <c r="AB1858" s="626">
        <v>430.01</v>
      </c>
      <c r="AC1858" s="626" t="s">
        <v>36</v>
      </c>
      <c r="AP1858" s="1837"/>
      <c r="AQ1858" s="1837"/>
      <c r="BF1858" s="1837"/>
      <c r="BG1858" s="1837"/>
    </row>
    <row r="1859" spans="12:59">
      <c r="L1859" s="626">
        <v>240.02</v>
      </c>
      <c r="M1859" s="626" t="s">
        <v>89</v>
      </c>
      <c r="AB1859" s="626">
        <v>431</v>
      </c>
      <c r="AC1859" s="626" t="s">
        <v>36</v>
      </c>
      <c r="AP1859" s="1837"/>
      <c r="AQ1859" s="1837"/>
      <c r="BF1859" s="1837"/>
      <c r="BG1859" s="1837"/>
    </row>
    <row r="1860" spans="12:59">
      <c r="L1860" s="626">
        <v>240.04</v>
      </c>
      <c r="M1860" s="626" t="s">
        <v>89</v>
      </c>
      <c r="AB1860" s="626">
        <v>431</v>
      </c>
      <c r="AC1860" s="626" t="s">
        <v>86</v>
      </c>
      <c r="AP1860" s="1837"/>
      <c r="AQ1860" s="1837"/>
      <c r="BF1860" s="1837"/>
      <c r="BG1860" s="1837"/>
    </row>
    <row r="1861" spans="12:59">
      <c r="L1861" s="626">
        <v>240.05</v>
      </c>
      <c r="M1861" s="626" t="s">
        <v>89</v>
      </c>
      <c r="AB1861" s="626">
        <v>432.02</v>
      </c>
      <c r="AC1861" s="626" t="s">
        <v>86</v>
      </c>
      <c r="AP1861" s="1837"/>
      <c r="AQ1861" s="1837"/>
      <c r="BF1861" s="1837"/>
      <c r="BG1861" s="1837"/>
    </row>
    <row r="1862" spans="12:59">
      <c r="L1862" s="626">
        <v>241</v>
      </c>
      <c r="M1862" s="626" t="s">
        <v>89</v>
      </c>
      <c r="AB1862" s="626">
        <v>432.04</v>
      </c>
      <c r="AC1862" s="626" t="s">
        <v>86</v>
      </c>
      <c r="AP1862" s="1837"/>
      <c r="AQ1862" s="1837"/>
      <c r="BF1862" s="1837"/>
      <c r="BG1862" s="1837"/>
    </row>
    <row r="1863" spans="12:59">
      <c r="L1863" s="626">
        <v>243.01</v>
      </c>
      <c r="M1863" s="626" t="s">
        <v>89</v>
      </c>
      <c r="AB1863" s="626">
        <v>433.01</v>
      </c>
      <c r="AC1863" s="626" t="s">
        <v>36</v>
      </c>
      <c r="AP1863" s="1837"/>
      <c r="AQ1863" s="1837"/>
      <c r="BF1863" s="1837"/>
      <c r="BG1863" s="1837"/>
    </row>
    <row r="1864" spans="12:59">
      <c r="L1864" s="626">
        <v>243.02</v>
      </c>
      <c r="M1864" s="626" t="s">
        <v>89</v>
      </c>
      <c r="AB1864" s="626">
        <v>433.01</v>
      </c>
      <c r="AC1864" s="626" t="s">
        <v>86</v>
      </c>
      <c r="AP1864" s="1837"/>
      <c r="AQ1864" s="1837"/>
      <c r="BF1864" s="1837"/>
      <c r="BG1864" s="1837"/>
    </row>
    <row r="1865" spans="12:59">
      <c r="L1865" s="626">
        <v>244.06</v>
      </c>
      <c r="M1865" s="626" t="s">
        <v>89</v>
      </c>
      <c r="AB1865" s="626">
        <v>433.02</v>
      </c>
      <c r="AC1865" s="626" t="s">
        <v>86</v>
      </c>
      <c r="AP1865" s="1837"/>
      <c r="AQ1865" s="1837"/>
      <c r="BF1865" s="1837"/>
      <c r="BG1865" s="1837"/>
    </row>
    <row r="1866" spans="12:59">
      <c r="L1866" s="626">
        <v>244.09</v>
      </c>
      <c r="M1866" s="626" t="s">
        <v>89</v>
      </c>
      <c r="AB1866" s="626">
        <v>434</v>
      </c>
      <c r="AC1866" s="626" t="s">
        <v>86</v>
      </c>
      <c r="AP1866" s="1837"/>
      <c r="AQ1866" s="1837"/>
      <c r="BF1866" s="1837"/>
      <c r="BG1866" s="1837"/>
    </row>
    <row r="1867" spans="12:59">
      <c r="L1867" s="626">
        <v>244.11</v>
      </c>
      <c r="M1867" s="626" t="s">
        <v>89</v>
      </c>
      <c r="AB1867" s="626">
        <v>436</v>
      </c>
      <c r="AC1867" s="626" t="s">
        <v>86</v>
      </c>
      <c r="AP1867" s="1837"/>
      <c r="AQ1867" s="1837"/>
      <c r="BF1867" s="1837"/>
      <c r="BG1867" s="1837"/>
    </row>
    <row r="1868" spans="12:59">
      <c r="L1868" s="626">
        <v>244.12</v>
      </c>
      <c r="M1868" s="626" t="s">
        <v>89</v>
      </c>
      <c r="AB1868" s="626">
        <v>437</v>
      </c>
      <c r="AC1868" s="626" t="s">
        <v>86</v>
      </c>
      <c r="AP1868" s="1837"/>
      <c r="AQ1868" s="1837"/>
      <c r="BF1868" s="1837"/>
      <c r="BG1868" s="1837"/>
    </row>
    <row r="1869" spans="12:59">
      <c r="L1869" s="626">
        <v>245.05</v>
      </c>
      <c r="M1869" s="626" t="s">
        <v>89</v>
      </c>
      <c r="AB1869" s="626">
        <v>438</v>
      </c>
      <c r="AC1869" s="626" t="s">
        <v>86</v>
      </c>
      <c r="AP1869" s="1837"/>
      <c r="AQ1869" s="1837"/>
      <c r="BF1869" s="1837"/>
      <c r="BG1869" s="1837"/>
    </row>
    <row r="1870" spans="12:59">
      <c r="L1870" s="626">
        <v>245.07</v>
      </c>
      <c r="M1870" s="626" t="s">
        <v>89</v>
      </c>
      <c r="AB1870" s="626">
        <v>501.01</v>
      </c>
      <c r="AC1870" s="626" t="s">
        <v>82</v>
      </c>
      <c r="AP1870" s="1837"/>
      <c r="AQ1870" s="1837"/>
      <c r="BF1870" s="1837"/>
      <c r="BG1870" s="1837"/>
    </row>
    <row r="1871" spans="12:59">
      <c r="L1871" s="626">
        <v>245.08</v>
      </c>
      <c r="M1871" s="626" t="s">
        <v>89</v>
      </c>
      <c r="AB1871" s="626">
        <v>501.03</v>
      </c>
      <c r="AC1871" s="626" t="s">
        <v>70</v>
      </c>
      <c r="AP1871" s="1837"/>
      <c r="AQ1871" s="1837"/>
      <c r="BF1871" s="1837"/>
      <c r="BG1871" s="1837"/>
    </row>
    <row r="1872" spans="12:59">
      <c r="L1872" s="626">
        <v>245.09</v>
      </c>
      <c r="M1872" s="626" t="s">
        <v>89</v>
      </c>
      <c r="AB1872" s="626">
        <v>501.05</v>
      </c>
      <c r="AC1872" s="626" t="s">
        <v>70</v>
      </c>
      <c r="AP1872" s="1837"/>
      <c r="AQ1872" s="1837"/>
      <c r="BF1872" s="1837"/>
      <c r="BG1872" s="1837"/>
    </row>
    <row r="1873" spans="12:59">
      <c r="L1873" s="626">
        <v>245.11</v>
      </c>
      <c r="M1873" s="626" t="s">
        <v>89</v>
      </c>
      <c r="AB1873" s="626">
        <v>501.06</v>
      </c>
      <c r="AC1873" s="626" t="s">
        <v>70</v>
      </c>
      <c r="AP1873" s="1837"/>
      <c r="AQ1873" s="1837"/>
      <c r="BF1873" s="1837"/>
      <c r="BG1873" s="1837"/>
    </row>
    <row r="1874" spans="12:59">
      <c r="L1874" s="626">
        <v>248.01</v>
      </c>
      <c r="M1874" s="626" t="s">
        <v>89</v>
      </c>
      <c r="AB1874" s="626">
        <v>502</v>
      </c>
      <c r="AC1874" s="626" t="s">
        <v>65</v>
      </c>
      <c r="AP1874" s="1837"/>
      <c r="AQ1874" s="1837"/>
      <c r="BF1874" s="1837"/>
      <c r="BG1874" s="1837"/>
    </row>
    <row r="1875" spans="12:59">
      <c r="L1875" s="626">
        <v>248.05</v>
      </c>
      <c r="M1875" s="626" t="s">
        <v>89</v>
      </c>
      <c r="AB1875" s="626">
        <v>502.01</v>
      </c>
      <c r="AC1875" s="626" t="s">
        <v>82</v>
      </c>
      <c r="AP1875" s="1837"/>
      <c r="AQ1875" s="1837"/>
      <c r="BF1875" s="1837"/>
      <c r="BG1875" s="1837"/>
    </row>
    <row r="1876" spans="12:59">
      <c r="L1876" s="626">
        <v>249.04</v>
      </c>
      <c r="M1876" s="626" t="s">
        <v>89</v>
      </c>
      <c r="AB1876" s="626">
        <v>502.02</v>
      </c>
      <c r="AC1876" s="626" t="s">
        <v>82</v>
      </c>
      <c r="AP1876" s="1837"/>
      <c r="AQ1876" s="1837"/>
      <c r="BF1876" s="1837"/>
      <c r="BG1876" s="1837"/>
    </row>
    <row r="1877" spans="12:59">
      <c r="L1877" s="626">
        <v>249.05</v>
      </c>
      <c r="M1877" s="626" t="s">
        <v>89</v>
      </c>
      <c r="AB1877" s="626">
        <v>502.03</v>
      </c>
      <c r="AC1877" s="626" t="s">
        <v>70</v>
      </c>
      <c r="AP1877" s="1837"/>
      <c r="AQ1877" s="1837"/>
      <c r="BF1877" s="1837"/>
      <c r="BG1877" s="1837"/>
    </row>
    <row r="1878" spans="12:59">
      <c r="L1878" s="626">
        <v>250.1</v>
      </c>
      <c r="M1878" s="626" t="s">
        <v>89</v>
      </c>
      <c r="AB1878" s="626">
        <v>502.03</v>
      </c>
      <c r="AC1878" s="626" t="s">
        <v>82</v>
      </c>
      <c r="AP1878" s="1837"/>
      <c r="AQ1878" s="1837"/>
      <c r="BF1878" s="1837"/>
      <c r="BG1878" s="1837"/>
    </row>
    <row r="1879" spans="12:59">
      <c r="L1879" s="626">
        <v>250.11</v>
      </c>
      <c r="M1879" s="626" t="s">
        <v>89</v>
      </c>
      <c r="AB1879" s="626">
        <v>502.04</v>
      </c>
      <c r="AC1879" s="626" t="s">
        <v>36</v>
      </c>
      <c r="AP1879" s="1837"/>
      <c r="AQ1879" s="1837"/>
      <c r="BF1879" s="1837"/>
      <c r="BG1879" s="1837"/>
    </row>
    <row r="1880" spans="12:59">
      <c r="L1880" s="626">
        <v>250.12</v>
      </c>
      <c r="M1880" s="626" t="s">
        <v>89</v>
      </c>
      <c r="AB1880" s="626">
        <v>502.04</v>
      </c>
      <c r="AC1880" s="626" t="s">
        <v>70</v>
      </c>
      <c r="AP1880" s="1837"/>
      <c r="AQ1880" s="1837"/>
      <c r="BF1880" s="1837"/>
      <c r="BG1880" s="1837"/>
    </row>
    <row r="1881" spans="12:59">
      <c r="L1881" s="626">
        <v>250.13</v>
      </c>
      <c r="M1881" s="626" t="s">
        <v>89</v>
      </c>
      <c r="AB1881" s="626">
        <v>502.05</v>
      </c>
      <c r="AC1881" s="626" t="s">
        <v>36</v>
      </c>
      <c r="AP1881" s="1837"/>
      <c r="AQ1881" s="1837"/>
      <c r="BF1881" s="1837"/>
      <c r="BG1881" s="1837"/>
    </row>
    <row r="1882" spans="12:59">
      <c r="L1882" s="626">
        <v>250.14</v>
      </c>
      <c r="M1882" s="626" t="s">
        <v>89</v>
      </c>
      <c r="AB1882" s="626">
        <v>502.06</v>
      </c>
      <c r="AC1882" s="626" t="s">
        <v>36</v>
      </c>
      <c r="AP1882" s="1837"/>
      <c r="AQ1882" s="1837"/>
      <c r="BF1882" s="1837"/>
      <c r="BG1882" s="1837"/>
    </row>
    <row r="1883" spans="12:59">
      <c r="L1883" s="626">
        <v>250.16</v>
      </c>
      <c r="M1883" s="626" t="s">
        <v>89</v>
      </c>
      <c r="AB1883" s="626">
        <v>502.06</v>
      </c>
      <c r="AC1883" s="626" t="s">
        <v>70</v>
      </c>
      <c r="AP1883" s="1837"/>
      <c r="AQ1883" s="1837"/>
      <c r="BF1883" s="1837"/>
      <c r="BG1883" s="1837"/>
    </row>
    <row r="1884" spans="12:59">
      <c r="L1884" s="626">
        <v>251.07</v>
      </c>
      <c r="M1884" s="626" t="s">
        <v>89</v>
      </c>
      <c r="AB1884" s="626">
        <v>502.07</v>
      </c>
      <c r="AC1884" s="626" t="s">
        <v>70</v>
      </c>
      <c r="AP1884" s="1837"/>
      <c r="AQ1884" s="1837"/>
      <c r="BF1884" s="1837"/>
      <c r="BG1884" s="1837"/>
    </row>
    <row r="1885" spans="12:59">
      <c r="L1885" s="626">
        <v>251.08</v>
      </c>
      <c r="M1885" s="626" t="s">
        <v>89</v>
      </c>
      <c r="AB1885" s="626">
        <v>502.08</v>
      </c>
      <c r="AC1885" s="626" t="s">
        <v>70</v>
      </c>
      <c r="AP1885" s="1837"/>
      <c r="AQ1885" s="1837"/>
      <c r="BF1885" s="1837"/>
      <c r="BG1885" s="1837"/>
    </row>
    <row r="1886" spans="12:59">
      <c r="L1886" s="626">
        <v>251.1</v>
      </c>
      <c r="M1886" s="626" t="s">
        <v>89</v>
      </c>
      <c r="AB1886" s="626">
        <v>502.09</v>
      </c>
      <c r="AC1886" s="626" t="s">
        <v>70</v>
      </c>
      <c r="AP1886" s="1837"/>
      <c r="AQ1886" s="1837"/>
      <c r="BF1886" s="1837"/>
      <c r="BG1886" s="1837"/>
    </row>
    <row r="1887" spans="12:59">
      <c r="L1887" s="626">
        <v>251.12</v>
      </c>
      <c r="M1887" s="626" t="s">
        <v>89</v>
      </c>
      <c r="AB1887" s="626">
        <v>503.01</v>
      </c>
      <c r="AC1887" s="626" t="s">
        <v>65</v>
      </c>
      <c r="AP1887" s="1837"/>
      <c r="AQ1887" s="1837"/>
      <c r="BF1887" s="1837"/>
      <c r="BG1887" s="1837"/>
    </row>
    <row r="1888" spans="12:59">
      <c r="L1888" s="626">
        <v>251.13</v>
      </c>
      <c r="M1888" s="626" t="s">
        <v>89</v>
      </c>
      <c r="AB1888" s="626">
        <v>503.03</v>
      </c>
      <c r="AC1888" s="626" t="s">
        <v>82</v>
      </c>
      <c r="AP1888" s="1837"/>
      <c r="AQ1888" s="1837"/>
      <c r="BF1888" s="1837"/>
      <c r="BG1888" s="1837"/>
    </row>
    <row r="1889" spans="12:59">
      <c r="L1889" s="626">
        <v>251.16</v>
      </c>
      <c r="M1889" s="626" t="s">
        <v>89</v>
      </c>
      <c r="AB1889" s="626">
        <v>503.05</v>
      </c>
      <c r="AC1889" s="626" t="s">
        <v>70</v>
      </c>
      <c r="AP1889" s="1837"/>
      <c r="AQ1889" s="1837"/>
      <c r="BF1889" s="1837"/>
      <c r="BG1889" s="1837"/>
    </row>
    <row r="1890" spans="12:59">
      <c r="L1890" s="626">
        <v>251.19</v>
      </c>
      <c r="M1890" s="626" t="s">
        <v>89</v>
      </c>
      <c r="AB1890" s="626">
        <v>503.06</v>
      </c>
      <c r="AC1890" s="626" t="s">
        <v>70</v>
      </c>
      <c r="AP1890" s="1837"/>
      <c r="AQ1890" s="1837"/>
      <c r="BF1890" s="1837"/>
      <c r="BG1890" s="1837"/>
    </row>
    <row r="1891" spans="12:59">
      <c r="L1891" s="626">
        <v>251.2</v>
      </c>
      <c r="M1891" s="626" t="s">
        <v>89</v>
      </c>
      <c r="AB1891" s="626">
        <v>503.07</v>
      </c>
      <c r="AC1891" s="626" t="s">
        <v>70</v>
      </c>
      <c r="AP1891" s="1837"/>
      <c r="AQ1891" s="1837"/>
      <c r="BF1891" s="1837"/>
      <c r="BG1891" s="1837"/>
    </row>
    <row r="1892" spans="12:59">
      <c r="L1892" s="626">
        <v>251.21</v>
      </c>
      <c r="M1892" s="626" t="s">
        <v>89</v>
      </c>
      <c r="AB1892" s="626">
        <v>503.08</v>
      </c>
      <c r="AC1892" s="626" t="s">
        <v>70</v>
      </c>
      <c r="AP1892" s="1837"/>
      <c r="AQ1892" s="1837"/>
      <c r="BF1892" s="1837"/>
      <c r="BG1892" s="1837"/>
    </row>
    <row r="1893" spans="12:59">
      <c r="L1893" s="626">
        <v>251.22</v>
      </c>
      <c r="M1893" s="626" t="s">
        <v>89</v>
      </c>
      <c r="AB1893" s="626">
        <v>503.1</v>
      </c>
      <c r="AC1893" s="626" t="s">
        <v>70</v>
      </c>
      <c r="AP1893" s="1837"/>
      <c r="AQ1893" s="1837"/>
      <c r="BF1893" s="1837"/>
      <c r="BG1893" s="1837"/>
    </row>
    <row r="1894" spans="12:59">
      <c r="L1894" s="626">
        <v>251.23</v>
      </c>
      <c r="M1894" s="626" t="s">
        <v>89</v>
      </c>
      <c r="AB1894" s="626">
        <v>503.11</v>
      </c>
      <c r="AC1894" s="626" t="s">
        <v>70</v>
      </c>
      <c r="AP1894" s="1837"/>
      <c r="AQ1894" s="1837"/>
      <c r="BF1894" s="1837"/>
      <c r="BG1894" s="1837"/>
    </row>
    <row r="1895" spans="12:59">
      <c r="L1895" s="626">
        <v>252.03</v>
      </c>
      <c r="M1895" s="626" t="s">
        <v>89</v>
      </c>
      <c r="AB1895" s="626">
        <v>503.13</v>
      </c>
      <c r="AC1895" s="626" t="s">
        <v>70</v>
      </c>
      <c r="AP1895" s="1837"/>
      <c r="AQ1895" s="1837"/>
      <c r="BF1895" s="1837"/>
      <c r="BG1895" s="1837"/>
    </row>
    <row r="1896" spans="12:59">
      <c r="L1896" s="626">
        <v>252.05</v>
      </c>
      <c r="M1896" s="626" t="s">
        <v>89</v>
      </c>
      <c r="AB1896" s="626">
        <v>503.14</v>
      </c>
      <c r="AC1896" s="626" t="s">
        <v>70</v>
      </c>
      <c r="AP1896" s="1837"/>
      <c r="AQ1896" s="1837"/>
      <c r="BF1896" s="1837"/>
      <c r="BG1896" s="1837"/>
    </row>
    <row r="1897" spans="12:59">
      <c r="L1897" s="626">
        <v>252.09</v>
      </c>
      <c r="M1897" s="626" t="s">
        <v>89</v>
      </c>
      <c r="AB1897" s="626">
        <v>504</v>
      </c>
      <c r="AC1897" s="626" t="s">
        <v>70</v>
      </c>
      <c r="AP1897" s="1837"/>
      <c r="AQ1897" s="1837"/>
      <c r="BF1897" s="1837"/>
      <c r="BG1897" s="1837"/>
    </row>
    <row r="1898" spans="12:59">
      <c r="L1898" s="626">
        <v>253.06</v>
      </c>
      <c r="M1898" s="626" t="s">
        <v>89</v>
      </c>
      <c r="AB1898" s="626">
        <v>504.01</v>
      </c>
      <c r="AC1898" s="626" t="s">
        <v>36</v>
      </c>
      <c r="AP1898" s="1837"/>
      <c r="AQ1898" s="1837"/>
      <c r="BF1898" s="1837"/>
      <c r="BG1898" s="1837"/>
    </row>
    <row r="1899" spans="12:59">
      <c r="L1899" s="626">
        <v>254.01</v>
      </c>
      <c r="M1899" s="626" t="s">
        <v>89</v>
      </c>
      <c r="AB1899" s="626">
        <v>504.02</v>
      </c>
      <c r="AC1899" s="626" t="s">
        <v>65</v>
      </c>
      <c r="AP1899" s="1837"/>
      <c r="AQ1899" s="1837"/>
      <c r="BF1899" s="1837"/>
      <c r="BG1899" s="1837"/>
    </row>
    <row r="1900" spans="12:59">
      <c r="L1900" s="626">
        <v>254.05</v>
      </c>
      <c r="M1900" s="626" t="s">
        <v>89</v>
      </c>
      <c r="AB1900" s="626">
        <v>505</v>
      </c>
      <c r="AC1900" s="626" t="s">
        <v>70</v>
      </c>
      <c r="AP1900" s="1837"/>
      <c r="AQ1900" s="1837"/>
      <c r="BF1900" s="1837"/>
      <c r="BG1900" s="1837"/>
    </row>
    <row r="1901" spans="12:59">
      <c r="L1901" s="626">
        <v>254.07</v>
      </c>
      <c r="M1901" s="626" t="s">
        <v>89</v>
      </c>
      <c r="AB1901" s="626">
        <v>505.01</v>
      </c>
      <c r="AC1901" s="626" t="s">
        <v>65</v>
      </c>
      <c r="AP1901" s="1837"/>
      <c r="AQ1901" s="1837"/>
      <c r="BF1901" s="1837"/>
      <c r="BG1901" s="1837"/>
    </row>
    <row r="1902" spans="12:59">
      <c r="L1902" s="626">
        <v>254.11</v>
      </c>
      <c r="M1902" s="626" t="s">
        <v>89</v>
      </c>
      <c r="AB1902" s="626">
        <v>505.02</v>
      </c>
      <c r="AC1902" s="626" t="s">
        <v>82</v>
      </c>
      <c r="AP1902" s="1837"/>
      <c r="AQ1902" s="1837"/>
      <c r="BF1902" s="1837"/>
      <c r="BG1902" s="1837"/>
    </row>
    <row r="1903" spans="12:59">
      <c r="L1903" s="626">
        <v>254.12</v>
      </c>
      <c r="M1903" s="626" t="s">
        <v>89</v>
      </c>
      <c r="AB1903" s="626">
        <v>505.03</v>
      </c>
      <c r="AC1903" s="626" t="s">
        <v>65</v>
      </c>
      <c r="AP1903" s="1837"/>
      <c r="AQ1903" s="1837"/>
      <c r="BF1903" s="1837"/>
      <c r="BG1903" s="1837"/>
    </row>
    <row r="1904" spans="12:59">
      <c r="L1904" s="626">
        <v>255.01</v>
      </c>
      <c r="M1904" s="626" t="s">
        <v>89</v>
      </c>
      <c r="AB1904" s="626">
        <v>505.04</v>
      </c>
      <c r="AC1904" s="626" t="s">
        <v>65</v>
      </c>
      <c r="AP1904" s="1837"/>
      <c r="AQ1904" s="1837"/>
      <c r="BF1904" s="1837"/>
      <c r="BG1904" s="1837"/>
    </row>
    <row r="1905" spans="12:59">
      <c r="L1905" s="626">
        <v>255.06</v>
      </c>
      <c r="M1905" s="626" t="s">
        <v>89</v>
      </c>
      <c r="AB1905" s="626">
        <v>505.04</v>
      </c>
      <c r="AC1905" s="626" t="s">
        <v>82</v>
      </c>
      <c r="AP1905" s="1837"/>
      <c r="AQ1905" s="1837"/>
      <c r="BF1905" s="1837"/>
      <c r="BG1905" s="1837"/>
    </row>
    <row r="1906" spans="12:59">
      <c r="L1906" s="626">
        <v>257</v>
      </c>
      <c r="M1906" s="626" t="s">
        <v>89</v>
      </c>
      <c r="AB1906" s="626">
        <v>505.05</v>
      </c>
      <c r="AC1906" s="626" t="s">
        <v>65</v>
      </c>
      <c r="AP1906" s="1837"/>
      <c r="AQ1906" s="1837"/>
      <c r="BF1906" s="1837"/>
      <c r="BG1906" s="1837"/>
    </row>
    <row r="1907" spans="12:59">
      <c r="L1907" s="626">
        <v>260.01</v>
      </c>
      <c r="M1907" s="626" t="s">
        <v>89</v>
      </c>
      <c r="AB1907" s="626">
        <v>506.01</v>
      </c>
      <c r="AC1907" s="626" t="s">
        <v>36</v>
      </c>
      <c r="AP1907" s="1837"/>
      <c r="AQ1907" s="1837"/>
      <c r="BF1907" s="1837"/>
      <c r="BG1907" s="1837"/>
    </row>
    <row r="1908" spans="12:59">
      <c r="L1908" s="626">
        <v>260.02</v>
      </c>
      <c r="M1908" s="626" t="s">
        <v>89</v>
      </c>
      <c r="AB1908" s="626">
        <v>506.01</v>
      </c>
      <c r="AC1908" s="626" t="s">
        <v>70</v>
      </c>
      <c r="AP1908" s="1837"/>
      <c r="AQ1908" s="1837"/>
      <c r="BF1908" s="1837"/>
      <c r="BG1908" s="1837"/>
    </row>
    <row r="1909" spans="12:59">
      <c r="L1909" s="626">
        <v>266.01</v>
      </c>
      <c r="M1909" s="626" t="s">
        <v>89</v>
      </c>
      <c r="AB1909" s="626">
        <v>506.02</v>
      </c>
      <c r="AC1909" s="626" t="s">
        <v>36</v>
      </c>
      <c r="AP1909" s="1837"/>
      <c r="AQ1909" s="1837"/>
      <c r="BF1909" s="1837"/>
      <c r="BG1909" s="1837"/>
    </row>
    <row r="1910" spans="12:59">
      <c r="L1910" s="626">
        <v>267.02</v>
      </c>
      <c r="M1910" s="626" t="s">
        <v>89</v>
      </c>
      <c r="AB1910" s="626">
        <v>506.02</v>
      </c>
      <c r="AC1910" s="626" t="s">
        <v>65</v>
      </c>
      <c r="AP1910" s="1837"/>
      <c r="AQ1910" s="1837"/>
      <c r="BF1910" s="1837"/>
      <c r="BG1910" s="1837"/>
    </row>
    <row r="1911" spans="12:59">
      <c r="L1911" s="626">
        <v>268.04000000000002</v>
      </c>
      <c r="M1911" s="626" t="s">
        <v>89</v>
      </c>
      <c r="AB1911" s="626">
        <v>506.02</v>
      </c>
      <c r="AC1911" s="626" t="s">
        <v>70</v>
      </c>
      <c r="AP1911" s="1837"/>
      <c r="AQ1911" s="1837"/>
      <c r="BF1911" s="1837"/>
      <c r="BG1911" s="1837"/>
    </row>
    <row r="1912" spans="12:59">
      <c r="L1912" s="626">
        <v>268.08999999999997</v>
      </c>
      <c r="M1912" s="626" t="s">
        <v>89</v>
      </c>
      <c r="AB1912" s="626">
        <v>506.04</v>
      </c>
      <c r="AC1912" s="626" t="s">
        <v>65</v>
      </c>
      <c r="AP1912" s="1837"/>
      <c r="AQ1912" s="1837"/>
      <c r="BF1912" s="1837"/>
      <c r="BG1912" s="1837"/>
    </row>
    <row r="1913" spans="12:59">
      <c r="L1913" s="626">
        <v>268.11</v>
      </c>
      <c r="M1913" s="626" t="s">
        <v>89</v>
      </c>
      <c r="AB1913" s="626">
        <v>506.05</v>
      </c>
      <c r="AC1913" s="626" t="s">
        <v>65</v>
      </c>
      <c r="AP1913" s="1837"/>
      <c r="AQ1913" s="1837"/>
      <c r="BF1913" s="1837"/>
      <c r="BG1913" s="1837"/>
    </row>
    <row r="1914" spans="12:59">
      <c r="L1914" s="626">
        <v>268.12</v>
      </c>
      <c r="M1914" s="626" t="s">
        <v>89</v>
      </c>
      <c r="AB1914" s="626">
        <v>507.02</v>
      </c>
      <c r="AC1914" s="626" t="s">
        <v>65</v>
      </c>
      <c r="AP1914" s="1837"/>
      <c r="AQ1914" s="1837"/>
      <c r="BF1914" s="1837"/>
      <c r="BG1914" s="1837"/>
    </row>
    <row r="1915" spans="12:59">
      <c r="L1915" s="626">
        <v>268.13</v>
      </c>
      <c r="M1915" s="626" t="s">
        <v>89</v>
      </c>
      <c r="AB1915" s="626">
        <v>507.03</v>
      </c>
      <c r="AC1915" s="626" t="s">
        <v>65</v>
      </c>
      <c r="AP1915" s="1837"/>
      <c r="AQ1915" s="1837"/>
      <c r="BF1915" s="1837"/>
      <c r="BG1915" s="1837"/>
    </row>
    <row r="1916" spans="12:59">
      <c r="L1916" s="626">
        <v>268.14999999999998</v>
      </c>
      <c r="M1916" s="626" t="s">
        <v>89</v>
      </c>
      <c r="AB1916" s="626">
        <v>507.05</v>
      </c>
      <c r="AC1916" s="626" t="s">
        <v>65</v>
      </c>
      <c r="AP1916" s="1837"/>
      <c r="AQ1916" s="1837"/>
      <c r="BF1916" s="1837"/>
      <c r="BG1916" s="1837"/>
    </row>
    <row r="1917" spans="12:59">
      <c r="L1917" s="626">
        <v>268.16000000000003</v>
      </c>
      <c r="M1917" s="626" t="s">
        <v>89</v>
      </c>
      <c r="AB1917" s="626">
        <v>508.02</v>
      </c>
      <c r="AC1917" s="626" t="s">
        <v>65</v>
      </c>
      <c r="AP1917" s="1837"/>
      <c r="AQ1917" s="1837"/>
      <c r="BF1917" s="1837"/>
      <c r="BG1917" s="1837"/>
    </row>
    <row r="1918" spans="12:59">
      <c r="L1918" s="626">
        <v>268.17</v>
      </c>
      <c r="M1918" s="626" t="s">
        <v>89</v>
      </c>
      <c r="AB1918" s="626">
        <v>508.04</v>
      </c>
      <c r="AC1918" s="626" t="s">
        <v>65</v>
      </c>
      <c r="AP1918" s="1837"/>
      <c r="AQ1918" s="1837"/>
      <c r="BF1918" s="1837"/>
      <c r="BG1918" s="1837"/>
    </row>
    <row r="1919" spans="12:59">
      <c r="L1919" s="626">
        <v>268.20999999999998</v>
      </c>
      <c r="M1919" s="626" t="s">
        <v>89</v>
      </c>
      <c r="AB1919" s="626">
        <v>508.08</v>
      </c>
      <c r="AC1919" s="626" t="s">
        <v>65</v>
      </c>
      <c r="AP1919" s="1837"/>
      <c r="AQ1919" s="1837"/>
      <c r="BF1919" s="1837"/>
      <c r="BG1919" s="1837"/>
    </row>
    <row r="1920" spans="12:59">
      <c r="L1920" s="626">
        <v>269.07</v>
      </c>
      <c r="M1920" s="626" t="s">
        <v>89</v>
      </c>
      <c r="AB1920" s="626">
        <v>509</v>
      </c>
      <c r="AC1920" s="626" t="s">
        <v>36</v>
      </c>
      <c r="AP1920" s="1837"/>
      <c r="AQ1920" s="1837"/>
      <c r="BF1920" s="1837"/>
      <c r="BG1920" s="1837"/>
    </row>
    <row r="1921" spans="12:59">
      <c r="L1921" s="626">
        <v>269.08</v>
      </c>
      <c r="M1921" s="626" t="s">
        <v>89</v>
      </c>
      <c r="AB1921" s="626">
        <v>509.02</v>
      </c>
      <c r="AC1921" s="626" t="s">
        <v>65</v>
      </c>
      <c r="AP1921" s="1837"/>
      <c r="AQ1921" s="1837"/>
      <c r="BF1921" s="1837"/>
      <c r="BG1921" s="1837"/>
    </row>
    <row r="1922" spans="12:59">
      <c r="L1922" s="626">
        <v>269.10000000000002</v>
      </c>
      <c r="M1922" s="626" t="s">
        <v>89</v>
      </c>
      <c r="AB1922" s="626">
        <v>510.01</v>
      </c>
      <c r="AC1922" s="626" t="s">
        <v>36</v>
      </c>
      <c r="AP1922" s="1837"/>
      <c r="AQ1922" s="1837"/>
      <c r="BF1922" s="1837"/>
      <c r="BG1922" s="1837"/>
    </row>
    <row r="1923" spans="12:59">
      <c r="L1923" s="626">
        <v>269.11</v>
      </c>
      <c r="M1923" s="626" t="s">
        <v>89</v>
      </c>
      <c r="AB1923" s="626">
        <v>510.02</v>
      </c>
      <c r="AC1923" s="626" t="s">
        <v>36</v>
      </c>
      <c r="AP1923" s="1837"/>
      <c r="AQ1923" s="1837"/>
      <c r="BF1923" s="1837"/>
      <c r="BG1923" s="1837"/>
    </row>
    <row r="1924" spans="12:59">
      <c r="L1924" s="626">
        <v>270</v>
      </c>
      <c r="M1924" s="626" t="s">
        <v>89</v>
      </c>
      <c r="AB1924" s="626">
        <v>601.02</v>
      </c>
      <c r="AC1924" s="626" t="s">
        <v>70</v>
      </c>
      <c r="AP1924" s="1837"/>
      <c r="AQ1924" s="1837"/>
      <c r="BF1924" s="1837"/>
      <c r="BG1924" s="1837"/>
    </row>
    <row r="1925" spans="12:59">
      <c r="L1925" s="626">
        <v>271.05</v>
      </c>
      <c r="M1925" s="626" t="s">
        <v>89</v>
      </c>
      <c r="AB1925" s="626">
        <v>601.03</v>
      </c>
      <c r="AC1925" s="626" t="s">
        <v>52</v>
      </c>
      <c r="AP1925" s="1837"/>
      <c r="AQ1925" s="1837"/>
      <c r="BF1925" s="1837"/>
      <c r="BG1925" s="1837"/>
    </row>
    <row r="1926" spans="12:59">
      <c r="L1926" s="626">
        <v>271.06</v>
      </c>
      <c r="M1926" s="626" t="s">
        <v>89</v>
      </c>
      <c r="AB1926" s="626">
        <v>601.04999999999995</v>
      </c>
      <c r="AC1926" s="626" t="s">
        <v>52</v>
      </c>
      <c r="AP1926" s="1837"/>
      <c r="AQ1926" s="1837"/>
      <c r="BF1926" s="1837"/>
      <c r="BG1926" s="1837"/>
    </row>
    <row r="1927" spans="12:59">
      <c r="L1927" s="626">
        <v>272.02</v>
      </c>
      <c r="M1927" s="626" t="s">
        <v>89</v>
      </c>
      <c r="AB1927" s="626">
        <v>601.05999999999995</v>
      </c>
      <c r="AC1927" s="626" t="s">
        <v>52</v>
      </c>
      <c r="AP1927" s="1837"/>
      <c r="AQ1927" s="1837"/>
      <c r="BF1927" s="1837"/>
      <c r="BG1927" s="1837"/>
    </row>
    <row r="1928" spans="12:59">
      <c r="L1928" s="626">
        <v>272.04000000000002</v>
      </c>
      <c r="M1928" s="626" t="s">
        <v>89</v>
      </c>
      <c r="AB1928" s="626">
        <v>601.11</v>
      </c>
      <c r="AC1928" s="626" t="s">
        <v>36</v>
      </c>
      <c r="AP1928" s="1837"/>
      <c r="AQ1928" s="1837"/>
      <c r="BF1928" s="1837"/>
      <c r="BG1928" s="1837"/>
    </row>
    <row r="1929" spans="12:59">
      <c r="L1929" s="626">
        <v>272.05</v>
      </c>
      <c r="M1929" s="626" t="s">
        <v>89</v>
      </c>
      <c r="AB1929" s="626">
        <v>601.14</v>
      </c>
      <c r="AC1929" s="626" t="s">
        <v>36</v>
      </c>
      <c r="AP1929" s="1837"/>
      <c r="AQ1929" s="1837"/>
      <c r="BF1929" s="1837"/>
      <c r="BG1929" s="1837"/>
    </row>
    <row r="1930" spans="12:59">
      <c r="L1930" s="626">
        <v>272.06</v>
      </c>
      <c r="M1930" s="626" t="s">
        <v>89</v>
      </c>
      <c r="AB1930" s="626">
        <v>601.15</v>
      </c>
      <c r="AC1930" s="626" t="s">
        <v>36</v>
      </c>
      <c r="AP1930" s="1837"/>
      <c r="AQ1930" s="1837"/>
      <c r="BF1930" s="1837"/>
      <c r="BG1930" s="1837"/>
    </row>
    <row r="1931" spans="12:59">
      <c r="L1931" s="626">
        <v>272.07</v>
      </c>
      <c r="M1931" s="626" t="s">
        <v>89</v>
      </c>
      <c r="AB1931" s="626">
        <v>601.16</v>
      </c>
      <c r="AC1931" s="626" t="s">
        <v>36</v>
      </c>
      <c r="AP1931" s="1837"/>
      <c r="AQ1931" s="1837"/>
      <c r="BF1931" s="1837"/>
      <c r="BG1931" s="1837"/>
    </row>
    <row r="1932" spans="12:59">
      <c r="L1932" s="626">
        <v>272.08</v>
      </c>
      <c r="M1932" s="626" t="s">
        <v>89</v>
      </c>
      <c r="AB1932" s="626">
        <v>601.19000000000005</v>
      </c>
      <c r="AC1932" s="626" t="s">
        <v>36</v>
      </c>
      <c r="AP1932" s="1837"/>
      <c r="AQ1932" s="1837"/>
      <c r="BF1932" s="1837"/>
      <c r="BG1932" s="1837"/>
    </row>
    <row r="1933" spans="12:59">
      <c r="L1933" s="626">
        <v>272.08999999999997</v>
      </c>
      <c r="M1933" s="626" t="s">
        <v>89</v>
      </c>
      <c r="AB1933" s="626">
        <v>601.20000000000005</v>
      </c>
      <c r="AC1933" s="626" t="s">
        <v>36</v>
      </c>
      <c r="AP1933" s="1837"/>
      <c r="AQ1933" s="1837"/>
      <c r="BF1933" s="1837"/>
      <c r="BG1933" s="1837"/>
    </row>
    <row r="1934" spans="12:59">
      <c r="L1934" s="626">
        <v>272.10000000000002</v>
      </c>
      <c r="M1934" s="626" t="s">
        <v>89</v>
      </c>
      <c r="AB1934" s="626">
        <v>601.21</v>
      </c>
      <c r="AC1934" s="626" t="s">
        <v>36</v>
      </c>
      <c r="AP1934" s="1837"/>
      <c r="AQ1934" s="1837"/>
      <c r="BF1934" s="1837"/>
      <c r="BG1934" s="1837"/>
    </row>
    <row r="1935" spans="12:59">
      <c r="L1935" s="626">
        <v>273.08999999999997</v>
      </c>
      <c r="M1935" s="626" t="s">
        <v>89</v>
      </c>
      <c r="AB1935" s="626">
        <v>601.22</v>
      </c>
      <c r="AC1935" s="626" t="s">
        <v>36</v>
      </c>
      <c r="AP1935" s="1837"/>
      <c r="AQ1935" s="1837"/>
      <c r="BF1935" s="1837"/>
      <c r="BG1935" s="1837"/>
    </row>
    <row r="1936" spans="12:59">
      <c r="L1936" s="626">
        <v>273.10000000000002</v>
      </c>
      <c r="M1936" s="626" t="s">
        <v>89</v>
      </c>
      <c r="AB1936" s="626">
        <v>601.25</v>
      </c>
      <c r="AC1936" s="626" t="s">
        <v>36</v>
      </c>
      <c r="AP1936" s="1837"/>
      <c r="AQ1936" s="1837"/>
      <c r="BF1936" s="1837"/>
      <c r="BG1936" s="1837"/>
    </row>
    <row r="1937" spans="12:59">
      <c r="L1937" s="626">
        <v>273.14</v>
      </c>
      <c r="M1937" s="626" t="s">
        <v>89</v>
      </c>
      <c r="AB1937" s="626">
        <v>601.26</v>
      </c>
      <c r="AC1937" s="626" t="s">
        <v>36</v>
      </c>
      <c r="AP1937" s="1837"/>
      <c r="AQ1937" s="1837"/>
      <c r="BF1937" s="1837"/>
      <c r="BG1937" s="1837"/>
    </row>
    <row r="1938" spans="12:59">
      <c r="L1938" s="626">
        <v>273.14999999999998</v>
      </c>
      <c r="M1938" s="626" t="s">
        <v>89</v>
      </c>
      <c r="AB1938" s="626">
        <v>602</v>
      </c>
      <c r="AC1938" s="626" t="s">
        <v>35</v>
      </c>
      <c r="AP1938" s="1837"/>
      <c r="AQ1938" s="1837"/>
      <c r="BF1938" s="1837"/>
      <c r="BG1938" s="1837"/>
    </row>
    <row r="1939" spans="12:59">
      <c r="L1939" s="626">
        <v>273.16000000000003</v>
      </c>
      <c r="M1939" s="626" t="s">
        <v>89</v>
      </c>
      <c r="AB1939" s="626">
        <v>602.01</v>
      </c>
      <c r="AC1939" s="626" t="s">
        <v>70</v>
      </c>
      <c r="AP1939" s="1837"/>
      <c r="AQ1939" s="1837"/>
      <c r="BF1939" s="1837"/>
      <c r="BG1939" s="1837"/>
    </row>
    <row r="1940" spans="12:59">
      <c r="L1940" s="626">
        <v>273.17</v>
      </c>
      <c r="M1940" s="626" t="s">
        <v>89</v>
      </c>
      <c r="AB1940" s="626">
        <v>602.02</v>
      </c>
      <c r="AC1940" s="626" t="s">
        <v>70</v>
      </c>
      <c r="AP1940" s="1837"/>
      <c r="AQ1940" s="1837"/>
      <c r="BF1940" s="1837"/>
      <c r="BG1940" s="1837"/>
    </row>
    <row r="1941" spans="12:59">
      <c r="L1941" s="626">
        <v>273.18</v>
      </c>
      <c r="M1941" s="626" t="s">
        <v>89</v>
      </c>
      <c r="AB1941" s="626">
        <v>602.03</v>
      </c>
      <c r="AC1941" s="626" t="s">
        <v>70</v>
      </c>
      <c r="AP1941" s="1837"/>
      <c r="AQ1941" s="1837"/>
      <c r="BF1941" s="1837"/>
      <c r="BG1941" s="1837"/>
    </row>
    <row r="1942" spans="12:59">
      <c r="L1942" s="626">
        <v>273.19</v>
      </c>
      <c r="M1942" s="626" t="s">
        <v>89</v>
      </c>
      <c r="AB1942" s="626">
        <v>602.04</v>
      </c>
      <c r="AC1942" s="626" t="s">
        <v>52</v>
      </c>
      <c r="AP1942" s="1837"/>
      <c r="AQ1942" s="1837"/>
      <c r="BF1942" s="1837"/>
      <c r="BG1942" s="1837"/>
    </row>
    <row r="1943" spans="12:59">
      <c r="L1943" s="626">
        <v>273.2</v>
      </c>
      <c r="M1943" s="626" t="s">
        <v>89</v>
      </c>
      <c r="AB1943" s="626">
        <v>602.04999999999995</v>
      </c>
      <c r="AC1943" s="626" t="s">
        <v>52</v>
      </c>
      <c r="AP1943" s="1837"/>
      <c r="AQ1943" s="1837"/>
      <c r="BF1943" s="1837"/>
      <c r="BG1943" s="1837"/>
    </row>
    <row r="1944" spans="12:59">
      <c r="L1944" s="626">
        <v>273.20999999999998</v>
      </c>
      <c r="M1944" s="626" t="s">
        <v>89</v>
      </c>
      <c r="AB1944" s="626">
        <v>602.07000000000005</v>
      </c>
      <c r="AC1944" s="626" t="s">
        <v>52</v>
      </c>
      <c r="AP1944" s="1837"/>
      <c r="AQ1944" s="1837"/>
      <c r="BF1944" s="1837"/>
      <c r="BG1944" s="1837"/>
    </row>
    <row r="1945" spans="12:59">
      <c r="L1945" s="626">
        <v>273.22000000000003</v>
      </c>
      <c r="M1945" s="626" t="s">
        <v>89</v>
      </c>
      <c r="AB1945" s="626">
        <v>602.08000000000004</v>
      </c>
      <c r="AC1945" s="626" t="s">
        <v>52</v>
      </c>
      <c r="AP1945" s="1837"/>
      <c r="AQ1945" s="1837"/>
      <c r="BF1945" s="1837"/>
      <c r="BG1945" s="1837"/>
    </row>
    <row r="1946" spans="12:59">
      <c r="L1946" s="626">
        <v>273.23</v>
      </c>
      <c r="M1946" s="626" t="s">
        <v>89</v>
      </c>
      <c r="AB1946" s="626">
        <v>602.1</v>
      </c>
      <c r="AC1946" s="626" t="s">
        <v>36</v>
      </c>
      <c r="AP1946" s="1837"/>
      <c r="AQ1946" s="1837"/>
      <c r="BF1946" s="1837"/>
      <c r="BG1946" s="1837"/>
    </row>
    <row r="1947" spans="12:59">
      <c r="L1947" s="626">
        <v>273.24</v>
      </c>
      <c r="M1947" s="626" t="s">
        <v>89</v>
      </c>
      <c r="AB1947" s="626">
        <v>602.1</v>
      </c>
      <c r="AC1947" s="626" t="s">
        <v>52</v>
      </c>
      <c r="AP1947" s="1837"/>
      <c r="AQ1947" s="1837"/>
      <c r="BF1947" s="1837"/>
      <c r="BG1947" s="1837"/>
    </row>
    <row r="1948" spans="12:59">
      <c r="L1948" s="626">
        <v>273.25</v>
      </c>
      <c r="M1948" s="626" t="s">
        <v>89</v>
      </c>
      <c r="AB1948" s="626">
        <v>602.12</v>
      </c>
      <c r="AC1948" s="626" t="s">
        <v>36</v>
      </c>
      <c r="AP1948" s="1837"/>
      <c r="AQ1948" s="1837"/>
      <c r="BF1948" s="1837"/>
      <c r="BG1948" s="1837"/>
    </row>
    <row r="1949" spans="12:59">
      <c r="L1949" s="626">
        <v>273.26</v>
      </c>
      <c r="M1949" s="626" t="s">
        <v>89</v>
      </c>
      <c r="AB1949" s="626">
        <v>602.14</v>
      </c>
      <c r="AC1949" s="626" t="s">
        <v>52</v>
      </c>
      <c r="AP1949" s="1837"/>
      <c r="AQ1949" s="1837"/>
      <c r="BF1949" s="1837"/>
      <c r="BG1949" s="1837"/>
    </row>
    <row r="1950" spans="12:59">
      <c r="L1950" s="626">
        <v>273.27</v>
      </c>
      <c r="M1950" s="626" t="s">
        <v>89</v>
      </c>
      <c r="AB1950" s="626">
        <v>603</v>
      </c>
      <c r="AC1950" s="626" t="s">
        <v>70</v>
      </c>
      <c r="AP1950" s="1837"/>
      <c r="AQ1950" s="1837"/>
      <c r="BF1950" s="1837"/>
      <c r="BG1950" s="1837"/>
    </row>
    <row r="1951" spans="12:59">
      <c r="L1951" s="626">
        <v>274.02999999999997</v>
      </c>
      <c r="M1951" s="626" t="s">
        <v>89</v>
      </c>
      <c r="AB1951" s="626">
        <v>603.01</v>
      </c>
      <c r="AC1951" s="626" t="s">
        <v>52</v>
      </c>
      <c r="AP1951" s="1837"/>
      <c r="AQ1951" s="1837"/>
      <c r="BF1951" s="1837"/>
      <c r="BG1951" s="1837"/>
    </row>
    <row r="1952" spans="12:59">
      <c r="L1952" s="626">
        <v>275.01</v>
      </c>
      <c r="M1952" s="626" t="s">
        <v>89</v>
      </c>
      <c r="AB1952" s="626">
        <v>603.02</v>
      </c>
      <c r="AC1952" s="626" t="s">
        <v>52</v>
      </c>
      <c r="AP1952" s="1837"/>
      <c r="AQ1952" s="1837"/>
      <c r="BF1952" s="1837"/>
      <c r="BG1952" s="1837"/>
    </row>
    <row r="1953" spans="12:59">
      <c r="L1953" s="626">
        <v>276.02999999999997</v>
      </c>
      <c r="M1953" s="626" t="s">
        <v>89</v>
      </c>
      <c r="AB1953" s="626">
        <v>603.03</v>
      </c>
      <c r="AC1953" s="626" t="s">
        <v>52</v>
      </c>
      <c r="AP1953" s="1837"/>
      <c r="AQ1953" s="1837"/>
      <c r="BF1953" s="1837"/>
      <c r="BG1953" s="1837"/>
    </row>
    <row r="1954" spans="12:59">
      <c r="L1954" s="626">
        <v>276.04000000000002</v>
      </c>
      <c r="M1954" s="626" t="s">
        <v>89</v>
      </c>
      <c r="AB1954" s="626">
        <v>603.04</v>
      </c>
      <c r="AC1954" s="626" t="s">
        <v>52</v>
      </c>
      <c r="AP1954" s="1837"/>
      <c r="AQ1954" s="1837"/>
      <c r="BF1954" s="1837"/>
      <c r="BG1954" s="1837"/>
    </row>
    <row r="1955" spans="12:59">
      <c r="L1955" s="626">
        <v>276.05</v>
      </c>
      <c r="M1955" s="626" t="s">
        <v>89</v>
      </c>
      <c r="AB1955" s="626">
        <v>603.05999999999995</v>
      </c>
      <c r="AC1955" s="626" t="s">
        <v>36</v>
      </c>
      <c r="AP1955" s="1837"/>
      <c r="AQ1955" s="1837"/>
      <c r="BF1955" s="1837"/>
      <c r="BG1955" s="1837"/>
    </row>
    <row r="1956" spans="12:59">
      <c r="L1956" s="626">
        <v>276.06</v>
      </c>
      <c r="M1956" s="626" t="s">
        <v>89</v>
      </c>
      <c r="AB1956" s="626">
        <v>605.01</v>
      </c>
      <c r="AC1956" s="626" t="s">
        <v>36</v>
      </c>
      <c r="AP1956" s="1837"/>
      <c r="AQ1956" s="1837"/>
      <c r="BF1956" s="1837"/>
      <c r="BG1956" s="1837"/>
    </row>
    <row r="1957" spans="12:59">
      <c r="L1957" s="626">
        <v>277.01</v>
      </c>
      <c r="M1957" s="626" t="s">
        <v>89</v>
      </c>
      <c r="AB1957" s="626">
        <v>605.03</v>
      </c>
      <c r="AC1957" s="626" t="s">
        <v>36</v>
      </c>
      <c r="AP1957" s="1837"/>
      <c r="AQ1957" s="1837"/>
      <c r="BF1957" s="1837"/>
      <c r="BG1957" s="1837"/>
    </row>
    <row r="1958" spans="12:59">
      <c r="L1958" s="626">
        <v>277.02999999999997</v>
      </c>
      <c r="M1958" s="626" t="s">
        <v>89</v>
      </c>
      <c r="AB1958" s="626">
        <v>605.04</v>
      </c>
      <c r="AC1958" s="626" t="s">
        <v>36</v>
      </c>
      <c r="AP1958" s="1837"/>
      <c r="AQ1958" s="1837"/>
      <c r="BF1958" s="1837"/>
      <c r="BG1958" s="1837"/>
    </row>
    <row r="1959" spans="12:59">
      <c r="L1959" s="626">
        <v>277.04000000000002</v>
      </c>
      <c r="M1959" s="626" t="s">
        <v>89</v>
      </c>
      <c r="AB1959" s="626">
        <v>606.03</v>
      </c>
      <c r="AC1959" s="626" t="s">
        <v>36</v>
      </c>
      <c r="AP1959" s="1837"/>
      <c r="AQ1959" s="1837"/>
      <c r="BF1959" s="1837"/>
      <c r="BG1959" s="1837"/>
    </row>
    <row r="1960" spans="12:59">
      <c r="L1960" s="626">
        <v>278.01</v>
      </c>
      <c r="M1960" s="626" t="s">
        <v>89</v>
      </c>
      <c r="AB1960" s="626">
        <v>606.04999999999995</v>
      </c>
      <c r="AC1960" s="626" t="s">
        <v>36</v>
      </c>
      <c r="AP1960" s="1837"/>
      <c r="AQ1960" s="1837"/>
      <c r="BF1960" s="1837"/>
      <c r="BG1960" s="1837"/>
    </row>
    <row r="1961" spans="12:59">
      <c r="L1961" s="626">
        <v>278.02</v>
      </c>
      <c r="M1961" s="626" t="s">
        <v>89</v>
      </c>
      <c r="AB1961" s="626">
        <v>606.07000000000005</v>
      </c>
      <c r="AC1961" s="626" t="s">
        <v>36</v>
      </c>
      <c r="AP1961" s="1837"/>
      <c r="AQ1961" s="1837"/>
      <c r="BF1961" s="1837"/>
      <c r="BG1961" s="1837"/>
    </row>
    <row r="1962" spans="12:59">
      <c r="L1962" s="626">
        <v>279.01</v>
      </c>
      <c r="M1962" s="626" t="s">
        <v>89</v>
      </c>
      <c r="AB1962" s="626">
        <v>606.08000000000004</v>
      </c>
      <c r="AC1962" s="626" t="s">
        <v>36</v>
      </c>
      <c r="AP1962" s="1837"/>
      <c r="AQ1962" s="1837"/>
      <c r="BF1962" s="1837"/>
      <c r="BG1962" s="1837"/>
    </row>
    <row r="1963" spans="12:59">
      <c r="L1963" s="626">
        <v>279.02999999999997</v>
      </c>
      <c r="M1963" s="626" t="s">
        <v>89</v>
      </c>
      <c r="AB1963" s="626">
        <v>606.09</v>
      </c>
      <c r="AC1963" s="626" t="s">
        <v>36</v>
      </c>
      <c r="AP1963" s="1837"/>
      <c r="AQ1963" s="1837"/>
      <c r="BF1963" s="1837"/>
      <c r="BG1963" s="1837"/>
    </row>
    <row r="1964" spans="12:59">
      <c r="L1964" s="626">
        <v>279.04000000000002</v>
      </c>
      <c r="M1964" s="626" t="s">
        <v>89</v>
      </c>
      <c r="AB1964" s="626">
        <v>607</v>
      </c>
      <c r="AC1964" s="626" t="s">
        <v>36</v>
      </c>
      <c r="AP1964" s="1837"/>
      <c r="AQ1964" s="1837"/>
      <c r="BF1964" s="1837"/>
      <c r="BG1964" s="1837"/>
    </row>
    <row r="1965" spans="12:59">
      <c r="L1965" s="626">
        <v>280.02</v>
      </c>
      <c r="M1965" s="626" t="s">
        <v>89</v>
      </c>
      <c r="AB1965" s="626">
        <v>609</v>
      </c>
      <c r="AC1965" s="626" t="s">
        <v>36</v>
      </c>
      <c r="AP1965" s="1837"/>
      <c r="AQ1965" s="1837"/>
      <c r="BF1965" s="1837"/>
      <c r="BG1965" s="1837"/>
    </row>
    <row r="1966" spans="12:59">
      <c r="L1966" s="626">
        <v>280.02999999999997</v>
      </c>
      <c r="M1966" s="626" t="s">
        <v>89</v>
      </c>
      <c r="AB1966" s="626">
        <v>610.01</v>
      </c>
      <c r="AC1966" s="626" t="s">
        <v>36</v>
      </c>
      <c r="AP1966" s="1837"/>
      <c r="AQ1966" s="1837"/>
      <c r="BF1966" s="1837"/>
      <c r="BG1966" s="1837"/>
    </row>
    <row r="1967" spans="12:59">
      <c r="L1967" s="626">
        <v>280.04000000000002</v>
      </c>
      <c r="M1967" s="626" t="s">
        <v>89</v>
      </c>
      <c r="AB1967" s="626">
        <v>610.02</v>
      </c>
      <c r="AC1967" s="626" t="s">
        <v>36</v>
      </c>
      <c r="AP1967" s="1837"/>
      <c r="AQ1967" s="1837"/>
      <c r="BF1967" s="1837"/>
      <c r="BG1967" s="1837"/>
    </row>
    <row r="1968" spans="12:59">
      <c r="L1968" s="626">
        <v>281.02</v>
      </c>
      <c r="M1968" s="626" t="s">
        <v>89</v>
      </c>
      <c r="AB1968" s="626">
        <v>611</v>
      </c>
      <c r="AC1968" s="626" t="s">
        <v>35</v>
      </c>
      <c r="AP1968" s="1837"/>
      <c r="AQ1968" s="1837"/>
      <c r="BF1968" s="1837"/>
      <c r="BG1968" s="1837"/>
    </row>
    <row r="1969" spans="12:59">
      <c r="L1969" s="626">
        <v>282</v>
      </c>
      <c r="M1969" s="626" t="s">
        <v>89</v>
      </c>
      <c r="AB1969" s="626">
        <v>612.01</v>
      </c>
      <c r="AC1969" s="626" t="s">
        <v>35</v>
      </c>
      <c r="AP1969" s="1837"/>
      <c r="AQ1969" s="1837"/>
      <c r="BF1969" s="1837"/>
      <c r="BG1969" s="1837"/>
    </row>
    <row r="1970" spans="12:59">
      <c r="L1970" s="626">
        <v>284.01</v>
      </c>
      <c r="M1970" s="626" t="s">
        <v>89</v>
      </c>
      <c r="AB1970" s="626">
        <v>612.02</v>
      </c>
      <c r="AC1970" s="626" t="s">
        <v>35</v>
      </c>
      <c r="AP1970" s="1837"/>
      <c r="AQ1970" s="1837"/>
      <c r="BF1970" s="1837"/>
      <c r="BG1970" s="1837"/>
    </row>
    <row r="1971" spans="12:59">
      <c r="L1971" s="626">
        <v>104.02</v>
      </c>
      <c r="M1971" s="626" t="s">
        <v>91</v>
      </c>
      <c r="AB1971" s="626">
        <v>621.03</v>
      </c>
      <c r="AC1971" s="626" t="s">
        <v>35</v>
      </c>
      <c r="AP1971" s="1837"/>
      <c r="AQ1971" s="1837"/>
      <c r="BF1971" s="1837"/>
      <c r="BG1971" s="1837"/>
    </row>
    <row r="1972" spans="12:59">
      <c r="L1972" s="626">
        <v>105.01</v>
      </c>
      <c r="M1972" s="626" t="s">
        <v>91</v>
      </c>
      <c r="AB1972" s="626">
        <v>621.08000000000004</v>
      </c>
      <c r="AC1972" s="626" t="s">
        <v>35</v>
      </c>
      <c r="AP1972" s="1837"/>
      <c r="AQ1972" s="1837"/>
      <c r="BF1972" s="1837"/>
      <c r="BG1972" s="1837"/>
    </row>
    <row r="1973" spans="12:59">
      <c r="L1973" s="626">
        <v>105.02</v>
      </c>
      <c r="M1973" s="626" t="s">
        <v>91</v>
      </c>
      <c r="AB1973" s="626">
        <v>621.09</v>
      </c>
      <c r="AC1973" s="626" t="s">
        <v>35</v>
      </c>
      <c r="AP1973" s="1837"/>
      <c r="AQ1973" s="1837"/>
      <c r="BF1973" s="1837"/>
      <c r="BG1973" s="1837"/>
    </row>
    <row r="1974" spans="12:59">
      <c r="L1974" s="626">
        <v>106.01</v>
      </c>
      <c r="M1974" s="626" t="s">
        <v>91</v>
      </c>
      <c r="AB1974" s="626">
        <v>628</v>
      </c>
      <c r="AC1974" s="626" t="s">
        <v>35</v>
      </c>
      <c r="AP1974" s="1837"/>
      <c r="AQ1974" s="1837"/>
      <c r="BF1974" s="1837"/>
      <c r="BG1974" s="1837"/>
    </row>
    <row r="1975" spans="12:59">
      <c r="L1975" s="626">
        <v>106.03</v>
      </c>
      <c r="M1975" s="626" t="s">
        <v>91</v>
      </c>
      <c r="AB1975" s="626">
        <v>630</v>
      </c>
      <c r="AC1975" s="626" t="s">
        <v>35</v>
      </c>
      <c r="AP1975" s="1837"/>
      <c r="AQ1975" s="1837"/>
      <c r="BF1975" s="1837"/>
      <c r="BG1975" s="1837"/>
    </row>
    <row r="1976" spans="12:59">
      <c r="L1976" s="626">
        <v>106.04</v>
      </c>
      <c r="M1976" s="626" t="s">
        <v>91</v>
      </c>
      <c r="AB1976" s="626">
        <v>631.02</v>
      </c>
      <c r="AC1976" s="626" t="s">
        <v>35</v>
      </c>
      <c r="AP1976" s="1837"/>
      <c r="AQ1976" s="1837"/>
      <c r="BF1976" s="1837"/>
      <c r="BG1976" s="1837"/>
    </row>
    <row r="1977" spans="12:59">
      <c r="L1977" s="626">
        <v>107.01</v>
      </c>
      <c r="M1977" s="626" t="s">
        <v>91</v>
      </c>
      <c r="AB1977" s="626">
        <v>631.04</v>
      </c>
      <c r="AC1977" s="626" t="s">
        <v>35</v>
      </c>
      <c r="AP1977" s="1837"/>
      <c r="AQ1977" s="1837"/>
      <c r="BF1977" s="1837"/>
      <c r="BG1977" s="1837"/>
    </row>
    <row r="1978" spans="12:59">
      <c r="L1978" s="626">
        <v>107.02</v>
      </c>
      <c r="M1978" s="626" t="s">
        <v>91</v>
      </c>
      <c r="AB1978" s="626">
        <v>631.04999999999995</v>
      </c>
      <c r="AC1978" s="626" t="s">
        <v>35</v>
      </c>
      <c r="AP1978" s="1837"/>
      <c r="AQ1978" s="1837"/>
      <c r="BF1978" s="1837"/>
      <c r="BG1978" s="1837"/>
    </row>
    <row r="1979" spans="12:59">
      <c r="L1979" s="626">
        <v>115.02</v>
      </c>
      <c r="M1979" s="626" t="s">
        <v>91</v>
      </c>
      <c r="AB1979" s="626">
        <v>631.05999999999995</v>
      </c>
      <c r="AC1979" s="626" t="s">
        <v>35</v>
      </c>
      <c r="AP1979" s="1837"/>
      <c r="AQ1979" s="1837"/>
      <c r="BF1979" s="1837"/>
      <c r="BG1979" s="1837"/>
    </row>
    <row r="1980" spans="12:59">
      <c r="L1980" s="626">
        <v>118.21</v>
      </c>
      <c r="M1980" s="626" t="s">
        <v>91</v>
      </c>
      <c r="AB1980" s="626">
        <v>631.07000000000005</v>
      </c>
      <c r="AC1980" s="626" t="s">
        <v>35</v>
      </c>
      <c r="AP1980" s="1837"/>
      <c r="AQ1980" s="1837"/>
      <c r="BF1980" s="1837"/>
      <c r="BG1980" s="1837"/>
    </row>
    <row r="1981" spans="12:59">
      <c r="L1981" s="626">
        <v>118.22</v>
      </c>
      <c r="M1981" s="626" t="s">
        <v>91</v>
      </c>
      <c r="AB1981" s="626">
        <v>641.02</v>
      </c>
      <c r="AC1981" s="626" t="s">
        <v>35</v>
      </c>
      <c r="AP1981" s="1837"/>
      <c r="AQ1981" s="1837"/>
      <c r="BF1981" s="1837"/>
      <c r="BG1981" s="1837"/>
    </row>
    <row r="1982" spans="12:59">
      <c r="L1982" s="626">
        <v>118.32</v>
      </c>
      <c r="M1982" s="626" t="s">
        <v>91</v>
      </c>
      <c r="AB1982" s="626">
        <v>641.23</v>
      </c>
      <c r="AC1982" s="626" t="s">
        <v>35</v>
      </c>
      <c r="AP1982" s="1837"/>
      <c r="AQ1982" s="1837"/>
      <c r="BF1982" s="1837"/>
      <c r="BG1982" s="1837"/>
    </row>
    <row r="1983" spans="12:59">
      <c r="L1983" s="626">
        <v>118.33</v>
      </c>
      <c r="M1983" s="626" t="s">
        <v>91</v>
      </c>
      <c r="AB1983" s="626">
        <v>641.25</v>
      </c>
      <c r="AC1983" s="626" t="s">
        <v>35</v>
      </c>
      <c r="AP1983" s="1837"/>
      <c r="AQ1983" s="1837"/>
      <c r="BF1983" s="1837"/>
      <c r="BG1983" s="1837"/>
    </row>
    <row r="1984" spans="12:59">
      <c r="L1984" s="626">
        <v>118.34</v>
      </c>
      <c r="M1984" s="626" t="s">
        <v>91</v>
      </c>
      <c r="AB1984" s="626">
        <v>641.26</v>
      </c>
      <c r="AC1984" s="626" t="s">
        <v>35</v>
      </c>
      <c r="AP1984" s="1837"/>
      <c r="AQ1984" s="1837"/>
      <c r="BF1984" s="1837"/>
      <c r="BG1984" s="1837"/>
    </row>
    <row r="1985" spans="12:59">
      <c r="L1985" s="626">
        <v>118.35</v>
      </c>
      <c r="M1985" s="626" t="s">
        <v>91</v>
      </c>
      <c r="AB1985" s="626">
        <v>641.27</v>
      </c>
      <c r="AC1985" s="626" t="s">
        <v>35</v>
      </c>
      <c r="AP1985" s="1837"/>
      <c r="AQ1985" s="1837"/>
      <c r="BF1985" s="1837"/>
      <c r="BG1985" s="1837"/>
    </row>
    <row r="1986" spans="12:59">
      <c r="L1986" s="626">
        <v>118.36</v>
      </c>
      <c r="M1986" s="626" t="s">
        <v>91</v>
      </c>
      <c r="AB1986" s="626">
        <v>641.28</v>
      </c>
      <c r="AC1986" s="626" t="s">
        <v>35</v>
      </c>
      <c r="AP1986" s="1837"/>
      <c r="AQ1986" s="1837"/>
      <c r="BF1986" s="1837"/>
      <c r="BG1986" s="1837"/>
    </row>
    <row r="1987" spans="12:59">
      <c r="L1987" s="626">
        <v>119.02</v>
      </c>
      <c r="M1987" s="626" t="s">
        <v>91</v>
      </c>
      <c r="AB1987" s="626">
        <v>644</v>
      </c>
      <c r="AC1987" s="626" t="s">
        <v>35</v>
      </c>
      <c r="AP1987" s="1837"/>
      <c r="AQ1987" s="1837"/>
      <c r="BF1987" s="1837"/>
      <c r="BG1987" s="1837"/>
    </row>
    <row r="1988" spans="12:59">
      <c r="L1988" s="626">
        <v>119.08</v>
      </c>
      <c r="M1988" s="626" t="s">
        <v>91</v>
      </c>
      <c r="AB1988" s="626">
        <v>646.01</v>
      </c>
      <c r="AC1988" s="626" t="s">
        <v>35</v>
      </c>
      <c r="AP1988" s="1837"/>
      <c r="AQ1988" s="1837"/>
      <c r="BF1988" s="1837"/>
      <c r="BG1988" s="1837"/>
    </row>
    <row r="1989" spans="12:59">
      <c r="L1989" s="626">
        <v>119.09</v>
      </c>
      <c r="M1989" s="626" t="s">
        <v>91</v>
      </c>
      <c r="AB1989" s="626">
        <v>648</v>
      </c>
      <c r="AC1989" s="626" t="s">
        <v>35</v>
      </c>
      <c r="AP1989" s="1837"/>
      <c r="AQ1989" s="1837"/>
      <c r="BF1989" s="1837"/>
      <c r="BG1989" s="1837"/>
    </row>
    <row r="1990" spans="12:59">
      <c r="L1990" s="626">
        <v>119.1</v>
      </c>
      <c r="M1990" s="626" t="s">
        <v>91</v>
      </c>
      <c r="AB1990" s="626">
        <v>649.01</v>
      </c>
      <c r="AC1990" s="626" t="s">
        <v>35</v>
      </c>
      <c r="AP1990" s="1837"/>
      <c r="AQ1990" s="1837"/>
      <c r="BF1990" s="1837"/>
      <c r="BG1990" s="1837"/>
    </row>
    <row r="1991" spans="12:59">
      <c r="L1991" s="626">
        <v>119.11</v>
      </c>
      <c r="M1991" s="626" t="s">
        <v>91</v>
      </c>
      <c r="AB1991" s="626">
        <v>650.01</v>
      </c>
      <c r="AC1991" s="626" t="s">
        <v>35</v>
      </c>
      <c r="AP1991" s="1837"/>
      <c r="AQ1991" s="1837"/>
      <c r="BF1991" s="1837"/>
      <c r="BG1991" s="1837"/>
    </row>
    <row r="1992" spans="12:59">
      <c r="L1992" s="626">
        <v>119.12</v>
      </c>
      <c r="M1992" s="626" t="s">
        <v>91</v>
      </c>
      <c r="AB1992" s="626">
        <v>650.21</v>
      </c>
      <c r="AC1992" s="626" t="s">
        <v>35</v>
      </c>
      <c r="AP1992" s="1837"/>
      <c r="AQ1992" s="1837"/>
      <c r="BF1992" s="1837"/>
      <c r="BG1992" s="1837"/>
    </row>
    <row r="1993" spans="12:59">
      <c r="L1993" s="626">
        <v>119.13</v>
      </c>
      <c r="M1993" s="626" t="s">
        <v>91</v>
      </c>
      <c r="AB1993" s="626">
        <v>652.30999999999995</v>
      </c>
      <c r="AC1993" s="626" t="s">
        <v>35</v>
      </c>
      <c r="AP1993" s="1837"/>
      <c r="AQ1993" s="1837"/>
      <c r="BF1993" s="1837"/>
      <c r="BG1993" s="1837"/>
    </row>
    <row r="1994" spans="12:59">
      <c r="L1994" s="626">
        <v>120.04</v>
      </c>
      <c r="M1994" s="626" t="s">
        <v>91</v>
      </c>
      <c r="AB1994" s="626">
        <v>661.01</v>
      </c>
      <c r="AC1994" s="626" t="s">
        <v>35</v>
      </c>
      <c r="AP1994" s="1837"/>
      <c r="AQ1994" s="1837"/>
      <c r="BF1994" s="1837"/>
      <c r="BG1994" s="1837"/>
    </row>
    <row r="1995" spans="12:59">
      <c r="L1995" s="626">
        <v>121.11</v>
      </c>
      <c r="M1995" s="626" t="s">
        <v>91</v>
      </c>
      <c r="AB1995" s="626">
        <v>661.03</v>
      </c>
      <c r="AC1995" s="626" t="s">
        <v>35</v>
      </c>
      <c r="AP1995" s="1837"/>
      <c r="AQ1995" s="1837"/>
      <c r="BF1995" s="1837"/>
      <c r="BG1995" s="1837"/>
    </row>
    <row r="1996" spans="12:59">
      <c r="L1996" s="626">
        <v>121.13</v>
      </c>
      <c r="M1996" s="626" t="s">
        <v>91</v>
      </c>
      <c r="AB1996" s="626">
        <v>661.04</v>
      </c>
      <c r="AC1996" s="626" t="s">
        <v>35</v>
      </c>
      <c r="AP1996" s="1837"/>
      <c r="AQ1996" s="1837"/>
      <c r="BF1996" s="1837"/>
      <c r="BG1996" s="1837"/>
    </row>
    <row r="1997" spans="12:59">
      <c r="L1997" s="626">
        <v>121.26</v>
      </c>
      <c r="M1997" s="626" t="s">
        <v>91</v>
      </c>
      <c r="AB1997" s="626">
        <v>662</v>
      </c>
      <c r="AC1997" s="626" t="s">
        <v>35</v>
      </c>
      <c r="AP1997" s="1837"/>
      <c r="AQ1997" s="1837"/>
      <c r="BF1997" s="1837"/>
      <c r="BG1997" s="1837"/>
    </row>
    <row r="1998" spans="12:59">
      <c r="L1998" s="626">
        <v>121.27</v>
      </c>
      <c r="M1998" s="626" t="s">
        <v>91</v>
      </c>
      <c r="AB1998" s="626">
        <v>663.01</v>
      </c>
      <c r="AC1998" s="626" t="s">
        <v>35</v>
      </c>
      <c r="AP1998" s="1837"/>
      <c r="AQ1998" s="1837"/>
      <c r="BF1998" s="1837"/>
      <c r="BG1998" s="1837"/>
    </row>
    <row r="1999" spans="12:59">
      <c r="L1999" s="626">
        <v>121.28</v>
      </c>
      <c r="M1999" s="626" t="s">
        <v>91</v>
      </c>
      <c r="AB1999" s="626">
        <v>663.02</v>
      </c>
      <c r="AC1999" s="626" t="s">
        <v>35</v>
      </c>
      <c r="AP1999" s="1837"/>
      <c r="AQ1999" s="1837"/>
      <c r="BF1999" s="1837"/>
      <c r="BG1999" s="1837"/>
    </row>
    <row r="2000" spans="12:59">
      <c r="L2000" s="626">
        <v>121.29</v>
      </c>
      <c r="M2000" s="626" t="s">
        <v>91</v>
      </c>
      <c r="AB2000" s="626">
        <v>664</v>
      </c>
      <c r="AC2000" s="626" t="s">
        <v>35</v>
      </c>
      <c r="AP2000" s="1837"/>
      <c r="AQ2000" s="1837"/>
      <c r="BF2000" s="1837"/>
      <c r="BG2000" s="1837"/>
    </row>
    <row r="2001" spans="12:59">
      <c r="L2001" s="626">
        <v>122.04</v>
      </c>
      <c r="M2001" s="626" t="s">
        <v>91</v>
      </c>
      <c r="AB2001" s="626">
        <v>665</v>
      </c>
      <c r="AC2001" s="626" t="s">
        <v>35</v>
      </c>
      <c r="AP2001" s="1837"/>
      <c r="AQ2001" s="1837"/>
      <c r="BF2001" s="1837"/>
      <c r="BG2001" s="1837"/>
    </row>
    <row r="2002" spans="12:59">
      <c r="L2002" s="626">
        <v>122.05</v>
      </c>
      <c r="M2002" s="626" t="s">
        <v>91</v>
      </c>
      <c r="AB2002" s="626">
        <v>666</v>
      </c>
      <c r="AC2002" s="626" t="s">
        <v>35</v>
      </c>
      <c r="AP2002" s="1837"/>
      <c r="AQ2002" s="1837"/>
      <c r="BF2002" s="1837"/>
      <c r="BG2002" s="1837"/>
    </row>
    <row r="2003" spans="12:59">
      <c r="L2003" s="626">
        <v>122.06</v>
      </c>
      <c r="M2003" s="626" t="s">
        <v>91</v>
      </c>
      <c r="AB2003" s="626">
        <v>667</v>
      </c>
      <c r="AC2003" s="626" t="s">
        <v>35</v>
      </c>
      <c r="AP2003" s="1837"/>
      <c r="AQ2003" s="1837"/>
      <c r="BF2003" s="1837"/>
      <c r="BG2003" s="1837"/>
    </row>
    <row r="2004" spans="12:59">
      <c r="L2004" s="626">
        <v>123.03</v>
      </c>
      <c r="M2004" s="626" t="s">
        <v>91</v>
      </c>
      <c r="AB2004" s="626">
        <v>668</v>
      </c>
      <c r="AC2004" s="626" t="s">
        <v>35</v>
      </c>
      <c r="AP2004" s="1837"/>
      <c r="AQ2004" s="1837"/>
      <c r="BF2004" s="1837"/>
      <c r="BG2004" s="1837"/>
    </row>
    <row r="2005" spans="12:59">
      <c r="L2005" s="626">
        <v>123.04</v>
      </c>
      <c r="M2005" s="626" t="s">
        <v>91</v>
      </c>
      <c r="AB2005" s="626">
        <v>669</v>
      </c>
      <c r="AC2005" s="626" t="s">
        <v>35</v>
      </c>
      <c r="AP2005" s="1837"/>
      <c r="AQ2005" s="1837"/>
      <c r="BF2005" s="1837"/>
      <c r="BG2005" s="1837"/>
    </row>
    <row r="2006" spans="12:59">
      <c r="L2006" s="626">
        <v>123.06</v>
      </c>
      <c r="M2006" s="626" t="s">
        <v>91</v>
      </c>
      <c r="AB2006" s="626">
        <v>671</v>
      </c>
      <c r="AC2006" s="626" t="s">
        <v>35</v>
      </c>
      <c r="AP2006" s="1837"/>
      <c r="AQ2006" s="1837"/>
      <c r="BF2006" s="1837"/>
      <c r="BG2006" s="1837"/>
    </row>
    <row r="2007" spans="12:59">
      <c r="L2007" s="626">
        <v>123.09</v>
      </c>
      <c r="M2007" s="626" t="s">
        <v>91</v>
      </c>
      <c r="AB2007" s="626">
        <v>681.02</v>
      </c>
      <c r="AC2007" s="626" t="s">
        <v>35</v>
      </c>
      <c r="AP2007" s="1837"/>
      <c r="AQ2007" s="1837"/>
      <c r="BF2007" s="1837"/>
      <c r="BG2007" s="1837"/>
    </row>
    <row r="2008" spans="12:59">
      <c r="L2008" s="626">
        <v>124.03</v>
      </c>
      <c r="M2008" s="626" t="s">
        <v>91</v>
      </c>
      <c r="AB2008" s="626">
        <v>682</v>
      </c>
      <c r="AC2008" s="626" t="s">
        <v>35</v>
      </c>
      <c r="AP2008" s="1837"/>
      <c r="AQ2008" s="1837"/>
      <c r="BF2008" s="1837"/>
      <c r="BG2008" s="1837"/>
    </row>
    <row r="2009" spans="12:59">
      <c r="L2009" s="626">
        <v>124.04</v>
      </c>
      <c r="M2009" s="626" t="s">
        <v>91</v>
      </c>
      <c r="AB2009" s="626">
        <v>683</v>
      </c>
      <c r="AC2009" s="626" t="s">
        <v>35</v>
      </c>
      <c r="AP2009" s="1837"/>
      <c r="AQ2009" s="1837"/>
      <c r="BF2009" s="1837"/>
      <c r="BG2009" s="1837"/>
    </row>
    <row r="2010" spans="12:59">
      <c r="L2010" s="626">
        <v>124.05</v>
      </c>
      <c r="M2010" s="626" t="s">
        <v>91</v>
      </c>
      <c r="AB2010" s="626">
        <v>684</v>
      </c>
      <c r="AC2010" s="626" t="s">
        <v>35</v>
      </c>
      <c r="AP2010" s="1837"/>
      <c r="AQ2010" s="1837"/>
      <c r="BF2010" s="1837"/>
      <c r="BG2010" s="1837"/>
    </row>
    <row r="2011" spans="12:59">
      <c r="L2011" s="626">
        <v>124.06</v>
      </c>
      <c r="M2011" s="626" t="s">
        <v>91</v>
      </c>
      <c r="AB2011" s="626">
        <v>685.01</v>
      </c>
      <c r="AC2011" s="626" t="s">
        <v>35</v>
      </c>
      <c r="AP2011" s="1837"/>
      <c r="AQ2011" s="1837"/>
      <c r="BF2011" s="1837"/>
      <c r="BG2011" s="1837"/>
    </row>
    <row r="2012" spans="12:59">
      <c r="L2012" s="626">
        <v>124.07</v>
      </c>
      <c r="M2012" s="626" t="s">
        <v>91</v>
      </c>
      <c r="AB2012" s="626">
        <v>685.02</v>
      </c>
      <c r="AC2012" s="626" t="s">
        <v>35</v>
      </c>
      <c r="AP2012" s="1837"/>
      <c r="AQ2012" s="1837"/>
      <c r="BF2012" s="1837"/>
      <c r="BG2012" s="1837"/>
    </row>
    <row r="2013" spans="12:59">
      <c r="L2013" s="626">
        <v>124.08</v>
      </c>
      <c r="M2013" s="626" t="s">
        <v>91</v>
      </c>
      <c r="AB2013" s="626">
        <v>686.01</v>
      </c>
      <c r="AC2013" s="626" t="s">
        <v>35</v>
      </c>
      <c r="AP2013" s="1837"/>
      <c r="AQ2013" s="1837"/>
      <c r="BF2013" s="1837"/>
      <c r="BG2013" s="1837"/>
    </row>
    <row r="2014" spans="12:59">
      <c r="L2014" s="626">
        <v>124.09</v>
      </c>
      <c r="M2014" s="626" t="s">
        <v>91</v>
      </c>
      <c r="AB2014" s="626">
        <v>686.02</v>
      </c>
      <c r="AC2014" s="626" t="s">
        <v>35</v>
      </c>
      <c r="AP2014" s="1837"/>
      <c r="AQ2014" s="1837"/>
      <c r="BF2014" s="1837"/>
      <c r="BG2014" s="1837"/>
    </row>
    <row r="2015" spans="12:59">
      <c r="L2015" s="626">
        <v>124.1</v>
      </c>
      <c r="M2015" s="626" t="s">
        <v>91</v>
      </c>
      <c r="AB2015" s="626">
        <v>691</v>
      </c>
      <c r="AC2015" s="626" t="s">
        <v>35</v>
      </c>
      <c r="AP2015" s="1837"/>
      <c r="AQ2015" s="1837"/>
      <c r="BF2015" s="1837"/>
      <c r="BG2015" s="1837"/>
    </row>
    <row r="2016" spans="12:59">
      <c r="L2016" s="626">
        <v>124.11</v>
      </c>
      <c r="M2016" s="626" t="s">
        <v>91</v>
      </c>
      <c r="AB2016" s="626">
        <v>692</v>
      </c>
      <c r="AC2016" s="626" t="s">
        <v>35</v>
      </c>
      <c r="AP2016" s="1837"/>
      <c r="AQ2016" s="1837"/>
      <c r="BF2016" s="1837"/>
      <c r="BG2016" s="1837"/>
    </row>
    <row r="2017" spans="12:59">
      <c r="L2017" s="626">
        <v>125.02</v>
      </c>
      <c r="M2017" s="626" t="s">
        <v>91</v>
      </c>
      <c r="AB2017" s="626">
        <v>693</v>
      </c>
      <c r="AC2017" s="626" t="s">
        <v>35</v>
      </c>
      <c r="AP2017" s="1837"/>
      <c r="AQ2017" s="1837"/>
      <c r="BF2017" s="1837"/>
      <c r="BG2017" s="1837"/>
    </row>
    <row r="2018" spans="12:59">
      <c r="L2018" s="626">
        <v>125.03</v>
      </c>
      <c r="M2018" s="626" t="s">
        <v>91</v>
      </c>
      <c r="AB2018" s="626">
        <v>694</v>
      </c>
      <c r="AC2018" s="626" t="s">
        <v>35</v>
      </c>
      <c r="AP2018" s="1837"/>
      <c r="AQ2018" s="1837"/>
      <c r="BF2018" s="1837"/>
      <c r="BG2018" s="1837"/>
    </row>
    <row r="2019" spans="12:59">
      <c r="L2019" s="626">
        <v>125.04</v>
      </c>
      <c r="M2019" s="626" t="s">
        <v>91</v>
      </c>
      <c r="AB2019" s="626">
        <v>698.01</v>
      </c>
      <c r="AC2019" s="626" t="s">
        <v>35</v>
      </c>
      <c r="AP2019" s="1837"/>
      <c r="AQ2019" s="1837"/>
      <c r="BF2019" s="1837"/>
      <c r="BG2019" s="1837"/>
    </row>
    <row r="2020" spans="12:59">
      <c r="L2020" s="626">
        <v>125.06</v>
      </c>
      <c r="M2020" s="626" t="s">
        <v>91</v>
      </c>
      <c r="AB2020" s="626">
        <v>699.01</v>
      </c>
      <c r="AC2020" s="626" t="s">
        <v>35</v>
      </c>
      <c r="AP2020" s="1837"/>
      <c r="AQ2020" s="1837"/>
      <c r="BF2020" s="1837"/>
      <c r="BG2020" s="1837"/>
    </row>
    <row r="2021" spans="12:59">
      <c r="L2021" s="626">
        <v>125.07</v>
      </c>
      <c r="M2021" s="626" t="s">
        <v>91</v>
      </c>
      <c r="AB2021" s="626">
        <v>701.01</v>
      </c>
      <c r="AC2021" s="626" t="s">
        <v>70</v>
      </c>
      <c r="AP2021" s="1837"/>
      <c r="AQ2021" s="1837"/>
      <c r="BF2021" s="1837"/>
      <c r="BG2021" s="1837"/>
    </row>
    <row r="2022" spans="12:59">
      <c r="L2022" s="626">
        <v>128.02000000000001</v>
      </c>
      <c r="M2022" s="626" t="s">
        <v>91</v>
      </c>
      <c r="AB2022" s="626">
        <v>701.02</v>
      </c>
      <c r="AC2022" s="626" t="s">
        <v>70</v>
      </c>
      <c r="AP2022" s="1837"/>
      <c r="AQ2022" s="1837"/>
      <c r="BF2022" s="1837"/>
      <c r="BG2022" s="1837"/>
    </row>
    <row r="2023" spans="12:59">
      <c r="L2023" s="626">
        <v>128.03</v>
      </c>
      <c r="M2023" s="626" t="s">
        <v>91</v>
      </c>
      <c r="AB2023" s="626">
        <v>702</v>
      </c>
      <c r="AC2023" s="626" t="s">
        <v>70</v>
      </c>
      <c r="AP2023" s="1837"/>
      <c r="AQ2023" s="1837"/>
      <c r="BF2023" s="1837"/>
      <c r="BG2023" s="1837"/>
    </row>
    <row r="2024" spans="12:59">
      <c r="L2024" s="626">
        <v>129</v>
      </c>
      <c r="M2024" s="626" t="s">
        <v>91</v>
      </c>
      <c r="AB2024" s="626">
        <v>702.05</v>
      </c>
      <c r="AC2024" s="626" t="s">
        <v>36</v>
      </c>
      <c r="AP2024" s="1837"/>
      <c r="AQ2024" s="1837"/>
      <c r="BF2024" s="1837"/>
      <c r="BG2024" s="1837"/>
    </row>
    <row r="2025" spans="12:59">
      <c r="L2025" s="626">
        <v>130.01</v>
      </c>
      <c r="M2025" s="626" t="s">
        <v>91</v>
      </c>
      <c r="AB2025" s="626">
        <v>702.07</v>
      </c>
      <c r="AC2025" s="626" t="s">
        <v>36</v>
      </c>
      <c r="AP2025" s="1837"/>
      <c r="AQ2025" s="1837"/>
      <c r="BF2025" s="1837"/>
      <c r="BG2025" s="1837"/>
    </row>
    <row r="2026" spans="12:59">
      <c r="L2026" s="626">
        <v>131.01</v>
      </c>
      <c r="M2026" s="626" t="s">
        <v>91</v>
      </c>
      <c r="AB2026" s="626">
        <v>702.08</v>
      </c>
      <c r="AC2026" s="626" t="s">
        <v>36</v>
      </c>
      <c r="AP2026" s="1837"/>
      <c r="AQ2026" s="1837"/>
      <c r="BF2026" s="1837"/>
      <c r="BG2026" s="1837"/>
    </row>
    <row r="2027" spans="12:59">
      <c r="L2027" s="626">
        <v>135</v>
      </c>
      <c r="M2027" s="626" t="s">
        <v>91</v>
      </c>
      <c r="AB2027" s="626">
        <v>702.09</v>
      </c>
      <c r="AC2027" s="626" t="s">
        <v>36</v>
      </c>
      <c r="AP2027" s="1837"/>
      <c r="AQ2027" s="1837"/>
      <c r="BF2027" s="1837"/>
      <c r="BG2027" s="1837"/>
    </row>
    <row r="2028" spans="12:59">
      <c r="L2028" s="626">
        <v>137.02000000000001</v>
      </c>
      <c r="M2028" s="626" t="s">
        <v>91</v>
      </c>
      <c r="AB2028" s="626">
        <v>702.11</v>
      </c>
      <c r="AC2028" s="626" t="s">
        <v>36</v>
      </c>
      <c r="AP2028" s="1837"/>
      <c r="AQ2028" s="1837"/>
      <c r="BF2028" s="1837"/>
      <c r="BG2028" s="1837"/>
    </row>
    <row r="2029" spans="12:59">
      <c r="L2029" s="626">
        <v>139.02000000000001</v>
      </c>
      <c r="M2029" s="626" t="s">
        <v>91</v>
      </c>
      <c r="AB2029" s="626">
        <v>703.04</v>
      </c>
      <c r="AC2029" s="626" t="s">
        <v>36</v>
      </c>
      <c r="AP2029" s="1837"/>
      <c r="AQ2029" s="1837"/>
      <c r="BF2029" s="1837"/>
      <c r="BG2029" s="1837"/>
    </row>
    <row r="2030" spans="12:59">
      <c r="L2030" s="626">
        <v>140.01</v>
      </c>
      <c r="M2030" s="626" t="s">
        <v>91</v>
      </c>
      <c r="AB2030" s="626">
        <v>703.06</v>
      </c>
      <c r="AC2030" s="626" t="s">
        <v>36</v>
      </c>
      <c r="AP2030" s="1837"/>
      <c r="AQ2030" s="1837"/>
      <c r="BF2030" s="1837"/>
      <c r="BG2030" s="1837"/>
    </row>
    <row r="2031" spans="12:59">
      <c r="L2031" s="626">
        <v>140.03</v>
      </c>
      <c r="M2031" s="626" t="s">
        <v>91</v>
      </c>
      <c r="AB2031" s="626">
        <v>703.1</v>
      </c>
      <c r="AC2031" s="626" t="s">
        <v>36</v>
      </c>
      <c r="AP2031" s="1837"/>
      <c r="AQ2031" s="1837"/>
      <c r="BF2031" s="1837"/>
      <c r="BG2031" s="1837"/>
    </row>
    <row r="2032" spans="12:59">
      <c r="L2032" s="626">
        <v>140.05000000000001</v>
      </c>
      <c r="M2032" s="626" t="s">
        <v>91</v>
      </c>
      <c r="AB2032" s="626">
        <v>703.11</v>
      </c>
      <c r="AC2032" s="626" t="s">
        <v>36</v>
      </c>
      <c r="AP2032" s="1837"/>
      <c r="AQ2032" s="1837"/>
      <c r="BF2032" s="1837"/>
      <c r="BG2032" s="1837"/>
    </row>
    <row r="2033" spans="12:59">
      <c r="L2033" s="626">
        <v>140.06</v>
      </c>
      <c r="M2033" s="626" t="s">
        <v>91</v>
      </c>
      <c r="AB2033" s="626">
        <v>703.12</v>
      </c>
      <c r="AC2033" s="626" t="s">
        <v>36</v>
      </c>
      <c r="AP2033" s="1837"/>
      <c r="AQ2033" s="1837"/>
      <c r="BF2033" s="1837"/>
      <c r="BG2033" s="1837"/>
    </row>
    <row r="2034" spans="12:59">
      <c r="L2034" s="626">
        <v>141.03</v>
      </c>
      <c r="M2034" s="626" t="s">
        <v>91</v>
      </c>
      <c r="AB2034" s="626">
        <v>703.13</v>
      </c>
      <c r="AC2034" s="626" t="s">
        <v>36</v>
      </c>
      <c r="AP2034" s="1837"/>
      <c r="AQ2034" s="1837"/>
      <c r="BF2034" s="1837"/>
      <c r="BG2034" s="1837"/>
    </row>
    <row r="2035" spans="12:59">
      <c r="L2035" s="626">
        <v>141.04</v>
      </c>
      <c r="M2035" s="626" t="s">
        <v>91</v>
      </c>
      <c r="AB2035" s="626">
        <v>703.14</v>
      </c>
      <c r="AC2035" s="626" t="s">
        <v>36</v>
      </c>
      <c r="AP2035" s="1837"/>
      <c r="AQ2035" s="1837"/>
      <c r="BF2035" s="1837"/>
      <c r="BG2035" s="1837"/>
    </row>
    <row r="2036" spans="12:59">
      <c r="L2036" s="626">
        <v>141.05000000000001</v>
      </c>
      <c r="M2036" s="626" t="s">
        <v>91</v>
      </c>
      <c r="AB2036" s="626">
        <v>703.15</v>
      </c>
      <c r="AC2036" s="626" t="s">
        <v>36</v>
      </c>
      <c r="AP2036" s="1837"/>
      <c r="AQ2036" s="1837"/>
      <c r="BF2036" s="1837"/>
      <c r="BG2036" s="1837"/>
    </row>
    <row r="2037" spans="12:59">
      <c r="L2037" s="626">
        <v>141.21</v>
      </c>
      <c r="M2037" s="626" t="s">
        <v>91</v>
      </c>
      <c r="AB2037" s="626">
        <v>703.16</v>
      </c>
      <c r="AC2037" s="626" t="s">
        <v>36</v>
      </c>
      <c r="AP2037" s="1837"/>
      <c r="AQ2037" s="1837"/>
      <c r="BF2037" s="1837"/>
      <c r="BG2037" s="1837"/>
    </row>
    <row r="2038" spans="12:59">
      <c r="L2038" s="626">
        <v>141.22999999999999</v>
      </c>
      <c r="M2038" s="626" t="s">
        <v>91</v>
      </c>
      <c r="AB2038" s="626">
        <v>703.17</v>
      </c>
      <c r="AC2038" s="626" t="s">
        <v>36</v>
      </c>
      <c r="AP2038" s="1837"/>
      <c r="AQ2038" s="1837"/>
      <c r="BF2038" s="1837"/>
      <c r="BG2038" s="1837"/>
    </row>
    <row r="2039" spans="12:59">
      <c r="L2039" s="626">
        <v>142.02000000000001</v>
      </c>
      <c r="M2039" s="626" t="s">
        <v>91</v>
      </c>
      <c r="AB2039" s="626">
        <v>703.18</v>
      </c>
      <c r="AC2039" s="626" t="s">
        <v>36</v>
      </c>
      <c r="AP2039" s="1837"/>
      <c r="AQ2039" s="1837"/>
      <c r="BF2039" s="1837"/>
      <c r="BG2039" s="1837"/>
    </row>
    <row r="2040" spans="12:59">
      <c r="L2040" s="626">
        <v>142.03</v>
      </c>
      <c r="M2040" s="626" t="s">
        <v>91</v>
      </c>
      <c r="AB2040" s="626">
        <v>703.19</v>
      </c>
      <c r="AC2040" s="626" t="s">
        <v>36</v>
      </c>
      <c r="AP2040" s="1837"/>
      <c r="AQ2040" s="1837"/>
      <c r="BF2040" s="1837"/>
      <c r="BG2040" s="1837"/>
    </row>
    <row r="2041" spans="12:59">
      <c r="L2041" s="626">
        <v>143.02000000000001</v>
      </c>
      <c r="M2041" s="626" t="s">
        <v>91</v>
      </c>
      <c r="AB2041" s="626">
        <v>703.2</v>
      </c>
      <c r="AC2041" s="626" t="s">
        <v>36</v>
      </c>
      <c r="AP2041" s="1837"/>
      <c r="AQ2041" s="1837"/>
      <c r="BF2041" s="1837"/>
      <c r="BG2041" s="1837"/>
    </row>
    <row r="2042" spans="12:59">
      <c r="L2042" s="626">
        <v>144</v>
      </c>
      <c r="M2042" s="626" t="s">
        <v>91</v>
      </c>
      <c r="AB2042" s="626">
        <v>703.21</v>
      </c>
      <c r="AC2042" s="626" t="s">
        <v>36</v>
      </c>
      <c r="AP2042" s="1837"/>
      <c r="AQ2042" s="1837"/>
      <c r="BF2042" s="1837"/>
      <c r="BG2042" s="1837"/>
    </row>
    <row r="2043" spans="12:59">
      <c r="L2043" s="626">
        <v>145.01</v>
      </c>
      <c r="M2043" s="626" t="s">
        <v>91</v>
      </c>
      <c r="AB2043" s="626">
        <v>703.22</v>
      </c>
      <c r="AC2043" s="626" t="s">
        <v>36</v>
      </c>
      <c r="AP2043" s="1837"/>
      <c r="AQ2043" s="1837"/>
      <c r="BF2043" s="1837"/>
      <c r="BG2043" s="1837"/>
    </row>
    <row r="2044" spans="12:59">
      <c r="L2044" s="626">
        <v>147.01</v>
      </c>
      <c r="M2044" s="626" t="s">
        <v>91</v>
      </c>
      <c r="AB2044" s="626">
        <v>704.01</v>
      </c>
      <c r="AC2044" s="626" t="s">
        <v>36</v>
      </c>
      <c r="AP2044" s="1837"/>
      <c r="AQ2044" s="1837"/>
      <c r="BF2044" s="1837"/>
      <c r="BG2044" s="1837"/>
    </row>
    <row r="2045" spans="12:59">
      <c r="L2045" s="626">
        <v>147.02000000000001</v>
      </c>
      <c r="M2045" s="626" t="s">
        <v>91</v>
      </c>
      <c r="AB2045" s="626">
        <v>704.02</v>
      </c>
      <c r="AC2045" s="626" t="s">
        <v>36</v>
      </c>
      <c r="AP2045" s="1837"/>
      <c r="AQ2045" s="1837"/>
      <c r="BF2045" s="1837"/>
      <c r="BG2045" s="1837"/>
    </row>
    <row r="2046" spans="12:59">
      <c r="L2046" s="626">
        <v>148.02000000000001</v>
      </c>
      <c r="M2046" s="626" t="s">
        <v>91</v>
      </c>
      <c r="AB2046" s="626">
        <v>704.03</v>
      </c>
      <c r="AC2046" s="626" t="s">
        <v>36</v>
      </c>
      <c r="AP2046" s="1837"/>
      <c r="AQ2046" s="1837"/>
      <c r="BF2046" s="1837"/>
      <c r="BG2046" s="1837"/>
    </row>
    <row r="2047" spans="12:59">
      <c r="L2047" s="626">
        <v>148.03</v>
      </c>
      <c r="M2047" s="626" t="s">
        <v>91</v>
      </c>
      <c r="AB2047" s="626">
        <v>704.04</v>
      </c>
      <c r="AC2047" s="626" t="s">
        <v>36</v>
      </c>
      <c r="AP2047" s="1837"/>
      <c r="AQ2047" s="1837"/>
      <c r="BF2047" s="1837"/>
      <c r="BG2047" s="1837"/>
    </row>
    <row r="2048" spans="12:59">
      <c r="L2048" s="626">
        <v>148.04</v>
      </c>
      <c r="M2048" s="626" t="s">
        <v>91</v>
      </c>
      <c r="AB2048" s="626">
        <v>704.05</v>
      </c>
      <c r="AC2048" s="626" t="s">
        <v>36</v>
      </c>
      <c r="AP2048" s="1837"/>
      <c r="AQ2048" s="1837"/>
      <c r="BF2048" s="1837"/>
      <c r="BG2048" s="1837"/>
    </row>
    <row r="2049" spans="12:59">
      <c r="L2049" s="626">
        <v>149.01</v>
      </c>
      <c r="M2049" s="626" t="s">
        <v>91</v>
      </c>
      <c r="AB2049" s="626">
        <v>705.01</v>
      </c>
      <c r="AC2049" s="626" t="s">
        <v>36</v>
      </c>
      <c r="AP2049" s="1837"/>
      <c r="AQ2049" s="1837"/>
      <c r="BF2049" s="1837"/>
      <c r="BG2049" s="1837"/>
    </row>
    <row r="2050" spans="12:59">
      <c r="L2050" s="626">
        <v>151.01</v>
      </c>
      <c r="M2050" s="626" t="s">
        <v>91</v>
      </c>
      <c r="AB2050" s="626">
        <v>706.02</v>
      </c>
      <c r="AC2050" s="626" t="s">
        <v>36</v>
      </c>
      <c r="AP2050" s="1837"/>
      <c r="AQ2050" s="1837"/>
      <c r="BF2050" s="1837"/>
      <c r="BG2050" s="1837"/>
    </row>
    <row r="2051" spans="12:59">
      <c r="L2051" s="626">
        <v>151.02000000000001</v>
      </c>
      <c r="M2051" s="626" t="s">
        <v>91</v>
      </c>
      <c r="AB2051" s="626">
        <v>712</v>
      </c>
      <c r="AC2051" s="626" t="s">
        <v>35</v>
      </c>
      <c r="AP2051" s="1837"/>
      <c r="AQ2051" s="1837"/>
      <c r="BF2051" s="1837"/>
      <c r="BG2051" s="1837"/>
    </row>
    <row r="2052" spans="12:59">
      <c r="L2052" s="626">
        <v>154.04</v>
      </c>
      <c r="M2052" s="626" t="s">
        <v>91</v>
      </c>
      <c r="AB2052" s="626">
        <v>713.01</v>
      </c>
      <c r="AC2052" s="626" t="s">
        <v>35</v>
      </c>
      <c r="AP2052" s="1837"/>
      <c r="AQ2052" s="1837"/>
      <c r="BF2052" s="1837"/>
      <c r="BG2052" s="1837"/>
    </row>
    <row r="2053" spans="12:59">
      <c r="L2053" s="626">
        <v>159</v>
      </c>
      <c r="M2053" s="626" t="s">
        <v>91</v>
      </c>
      <c r="AB2053" s="626">
        <v>713.34</v>
      </c>
      <c r="AC2053" s="626" t="s">
        <v>35</v>
      </c>
      <c r="AP2053" s="1837"/>
      <c r="AQ2053" s="1837"/>
      <c r="BF2053" s="1837"/>
      <c r="BG2053" s="1837"/>
    </row>
    <row r="2054" spans="12:59">
      <c r="L2054" s="626">
        <v>9501</v>
      </c>
      <c r="M2054" s="626" t="s">
        <v>92</v>
      </c>
      <c r="AB2054" s="626">
        <v>713.35</v>
      </c>
      <c r="AC2054" s="626" t="s">
        <v>35</v>
      </c>
      <c r="AP2054" s="1837"/>
      <c r="AQ2054" s="1837"/>
      <c r="BF2054" s="1837"/>
      <c r="BG2054" s="1837"/>
    </row>
    <row r="2055" spans="12:59">
      <c r="L2055" s="626">
        <v>9502.02</v>
      </c>
      <c r="M2055" s="626" t="s">
        <v>92</v>
      </c>
      <c r="AB2055" s="626">
        <v>713.38</v>
      </c>
      <c r="AC2055" s="626" t="s">
        <v>35</v>
      </c>
      <c r="AP2055" s="1837"/>
      <c r="AQ2055" s="1837"/>
      <c r="BF2055" s="1837"/>
      <c r="BG2055" s="1837"/>
    </row>
    <row r="2056" spans="12:59">
      <c r="L2056" s="626">
        <v>9503</v>
      </c>
      <c r="M2056" s="626" t="s">
        <v>92</v>
      </c>
      <c r="AB2056" s="626">
        <v>713.39</v>
      </c>
      <c r="AC2056" s="626" t="s">
        <v>35</v>
      </c>
      <c r="AP2056" s="1837"/>
      <c r="AQ2056" s="1837"/>
      <c r="BF2056" s="1837"/>
      <c r="BG2056" s="1837"/>
    </row>
    <row r="2057" spans="12:59">
      <c r="L2057" s="626">
        <v>9504</v>
      </c>
      <c r="M2057" s="626" t="s">
        <v>92</v>
      </c>
      <c r="AB2057" s="626">
        <v>713.4</v>
      </c>
      <c r="AC2057" s="626" t="s">
        <v>35</v>
      </c>
      <c r="AP2057" s="1837"/>
      <c r="AQ2057" s="1837"/>
      <c r="BF2057" s="1837"/>
      <c r="BG2057" s="1837"/>
    </row>
    <row r="2058" spans="12:59">
      <c r="L2058" s="626">
        <v>9506</v>
      </c>
      <c r="M2058" s="626" t="s">
        <v>92</v>
      </c>
      <c r="AB2058" s="626">
        <v>715</v>
      </c>
      <c r="AC2058" s="626" t="s">
        <v>35</v>
      </c>
      <c r="AP2058" s="1837"/>
      <c r="AQ2058" s="1837"/>
      <c r="BF2058" s="1837"/>
      <c r="BG2058" s="1837"/>
    </row>
    <row r="2059" spans="12:59">
      <c r="L2059" s="626">
        <v>9509</v>
      </c>
      <c r="M2059" s="626" t="s">
        <v>92</v>
      </c>
      <c r="AB2059" s="626">
        <v>801</v>
      </c>
      <c r="AC2059" s="626" t="s">
        <v>102</v>
      </c>
      <c r="AP2059" s="1837"/>
      <c r="AQ2059" s="1837"/>
      <c r="BF2059" s="1837"/>
      <c r="BG2059" s="1837"/>
    </row>
    <row r="2060" spans="12:59">
      <c r="L2060" s="626">
        <v>9510</v>
      </c>
      <c r="M2060" s="626" t="s">
        <v>92</v>
      </c>
      <c r="AB2060" s="626">
        <v>801.03</v>
      </c>
      <c r="AC2060" s="626" t="s">
        <v>36</v>
      </c>
      <c r="AP2060" s="1837"/>
      <c r="AQ2060" s="1837"/>
      <c r="BF2060" s="1837"/>
      <c r="BG2060" s="1837"/>
    </row>
    <row r="2061" spans="12:59">
      <c r="L2061" s="626">
        <v>9511</v>
      </c>
      <c r="M2061" s="626" t="s">
        <v>92</v>
      </c>
      <c r="AB2061" s="626">
        <v>802.01</v>
      </c>
      <c r="AC2061" s="626" t="s">
        <v>102</v>
      </c>
      <c r="AP2061" s="1837"/>
      <c r="AQ2061" s="1837"/>
      <c r="BF2061" s="1837"/>
      <c r="BG2061" s="1837"/>
    </row>
    <row r="2062" spans="12:59">
      <c r="L2062" s="626">
        <v>9513</v>
      </c>
      <c r="M2062" s="626" t="s">
        <v>92</v>
      </c>
      <c r="AB2062" s="626">
        <v>802.02</v>
      </c>
      <c r="AC2062" s="626" t="s">
        <v>70</v>
      </c>
      <c r="AP2062" s="1837"/>
      <c r="AQ2062" s="1837"/>
      <c r="BF2062" s="1837"/>
      <c r="BG2062" s="1837"/>
    </row>
    <row r="2063" spans="12:59">
      <c r="L2063" s="626">
        <v>103</v>
      </c>
      <c r="M2063" s="626" t="s">
        <v>2032</v>
      </c>
      <c r="AB2063" s="626">
        <v>802.03</v>
      </c>
      <c r="AC2063" s="626" t="s">
        <v>70</v>
      </c>
      <c r="AP2063" s="1837"/>
      <c r="AQ2063" s="1837"/>
      <c r="BF2063" s="1837"/>
      <c r="BG2063" s="1837"/>
    </row>
    <row r="2064" spans="12:59">
      <c r="L2064" s="626">
        <v>105.04</v>
      </c>
      <c r="M2064" s="626" t="s">
        <v>2032</v>
      </c>
      <c r="AB2064" s="626">
        <v>802.04</v>
      </c>
      <c r="AC2064" s="626" t="s">
        <v>70</v>
      </c>
      <c r="AP2064" s="1837"/>
      <c r="AQ2064" s="1837"/>
      <c r="BF2064" s="1837"/>
      <c r="BG2064" s="1837"/>
    </row>
    <row r="2065" spans="12:59">
      <c r="L2065" s="626">
        <v>107.02</v>
      </c>
      <c r="M2065" s="626" t="s">
        <v>2032</v>
      </c>
      <c r="AB2065" s="626">
        <v>803</v>
      </c>
      <c r="AC2065" s="626" t="s">
        <v>70</v>
      </c>
      <c r="AP2065" s="1837"/>
      <c r="AQ2065" s="1837"/>
      <c r="BF2065" s="1837"/>
      <c r="BG2065" s="1837"/>
    </row>
    <row r="2066" spans="12:59">
      <c r="L2066" s="626">
        <v>107.04</v>
      </c>
      <c r="M2066" s="626" t="s">
        <v>2032</v>
      </c>
      <c r="AB2066" s="626">
        <v>803</v>
      </c>
      <c r="AC2066" s="626" t="s">
        <v>102</v>
      </c>
      <c r="AP2066" s="1837"/>
      <c r="AQ2066" s="1837"/>
      <c r="BF2066" s="1837"/>
      <c r="BG2066" s="1837"/>
    </row>
    <row r="2067" spans="12:59">
      <c r="L2067" s="626">
        <v>107.07</v>
      </c>
      <c r="M2067" s="626" t="s">
        <v>2032</v>
      </c>
      <c r="AB2067" s="626">
        <v>804</v>
      </c>
      <c r="AC2067" s="626" t="s">
        <v>102</v>
      </c>
      <c r="AP2067" s="1837"/>
      <c r="AQ2067" s="1837"/>
      <c r="BF2067" s="1837"/>
      <c r="BG2067" s="1837"/>
    </row>
    <row r="2068" spans="12:59">
      <c r="L2068" s="626">
        <v>108.02</v>
      </c>
      <c r="M2068" s="626" t="s">
        <v>2032</v>
      </c>
      <c r="AB2068" s="626">
        <v>804.06</v>
      </c>
      <c r="AC2068" s="626" t="s">
        <v>36</v>
      </c>
      <c r="AP2068" s="1837"/>
      <c r="AQ2068" s="1837"/>
      <c r="BF2068" s="1837"/>
      <c r="BG2068" s="1837"/>
    </row>
    <row r="2069" spans="12:59">
      <c r="L2069" s="626">
        <v>108.11</v>
      </c>
      <c r="M2069" s="626" t="s">
        <v>2032</v>
      </c>
      <c r="AB2069" s="626">
        <v>805</v>
      </c>
      <c r="AC2069" s="626" t="s">
        <v>102</v>
      </c>
      <c r="AP2069" s="1837"/>
      <c r="AQ2069" s="1837"/>
      <c r="BF2069" s="1837"/>
      <c r="BG2069" s="1837"/>
    </row>
    <row r="2070" spans="12:59">
      <c r="L2070" s="626">
        <v>108.12</v>
      </c>
      <c r="M2070" s="626" t="s">
        <v>2032</v>
      </c>
      <c r="AB2070" s="626">
        <v>806</v>
      </c>
      <c r="AC2070" s="626" t="s">
        <v>102</v>
      </c>
      <c r="AP2070" s="1837"/>
      <c r="AQ2070" s="1837"/>
      <c r="BF2070" s="1837"/>
      <c r="BG2070" s="1837"/>
    </row>
    <row r="2071" spans="12:59">
      <c r="L2071" s="626">
        <v>108.13</v>
      </c>
      <c r="M2071" s="626" t="s">
        <v>2032</v>
      </c>
      <c r="AB2071" s="626">
        <v>807</v>
      </c>
      <c r="AC2071" s="626" t="s">
        <v>102</v>
      </c>
      <c r="AP2071" s="1837"/>
      <c r="AQ2071" s="1837"/>
      <c r="BF2071" s="1837"/>
      <c r="BG2071" s="1837"/>
    </row>
    <row r="2072" spans="12:59">
      <c r="L2072" s="626">
        <v>108.14</v>
      </c>
      <c r="M2072" s="626" t="s">
        <v>2032</v>
      </c>
      <c r="AB2072" s="626">
        <v>808.03</v>
      </c>
      <c r="AC2072" s="626" t="s">
        <v>102</v>
      </c>
      <c r="AP2072" s="1837"/>
      <c r="AQ2072" s="1837"/>
      <c r="BF2072" s="1837"/>
      <c r="BG2072" s="1837"/>
    </row>
    <row r="2073" spans="12:59">
      <c r="L2073" s="626">
        <v>108.17</v>
      </c>
      <c r="M2073" s="626" t="s">
        <v>2032</v>
      </c>
      <c r="AB2073" s="626">
        <v>808.06</v>
      </c>
      <c r="AC2073" s="626" t="s">
        <v>102</v>
      </c>
      <c r="AP2073" s="1837"/>
      <c r="AQ2073" s="1837"/>
      <c r="BF2073" s="1837"/>
      <c r="BG2073" s="1837"/>
    </row>
    <row r="2074" spans="12:59">
      <c r="L2074" s="626">
        <v>108.19</v>
      </c>
      <c r="M2074" s="626" t="s">
        <v>2032</v>
      </c>
      <c r="AB2074" s="626">
        <v>808.07</v>
      </c>
      <c r="AC2074" s="626" t="s">
        <v>102</v>
      </c>
      <c r="AP2074" s="1837"/>
      <c r="AQ2074" s="1837"/>
      <c r="BF2074" s="1837"/>
      <c r="BG2074" s="1837"/>
    </row>
    <row r="2075" spans="12:59">
      <c r="L2075" s="626">
        <v>109</v>
      </c>
      <c r="M2075" s="626" t="s">
        <v>2032</v>
      </c>
      <c r="AB2075" s="626">
        <v>811.02</v>
      </c>
      <c r="AC2075" s="626" t="s">
        <v>102</v>
      </c>
      <c r="AP2075" s="1837"/>
      <c r="AQ2075" s="1837"/>
      <c r="BF2075" s="1837"/>
      <c r="BG2075" s="1837"/>
    </row>
    <row r="2076" spans="12:59">
      <c r="L2076" s="626">
        <v>4.04</v>
      </c>
      <c r="M2076" s="626" t="s">
        <v>96</v>
      </c>
      <c r="AB2076" s="626">
        <v>812</v>
      </c>
      <c r="AC2076" s="626" t="s">
        <v>102</v>
      </c>
      <c r="AP2076" s="1837"/>
      <c r="AQ2076" s="1837"/>
      <c r="BF2076" s="1837"/>
      <c r="BG2076" s="1837"/>
    </row>
    <row r="2077" spans="12:59">
      <c r="L2077" s="626">
        <v>4.05</v>
      </c>
      <c r="M2077" s="626" t="s">
        <v>96</v>
      </c>
      <c r="AB2077" s="626">
        <v>813</v>
      </c>
      <c r="AC2077" s="626" t="s">
        <v>102</v>
      </c>
      <c r="AP2077" s="1837"/>
      <c r="AQ2077" s="1837"/>
      <c r="BF2077" s="1837"/>
      <c r="BG2077" s="1837"/>
    </row>
    <row r="2078" spans="12:59">
      <c r="L2078" s="626">
        <v>5.01</v>
      </c>
      <c r="M2078" s="626" t="s">
        <v>96</v>
      </c>
      <c r="AB2078" s="626">
        <v>824.05</v>
      </c>
      <c r="AC2078" s="626" t="s">
        <v>102</v>
      </c>
      <c r="AP2078" s="1837"/>
      <c r="AQ2078" s="1837"/>
      <c r="BF2078" s="1837"/>
      <c r="BG2078" s="1837"/>
    </row>
    <row r="2079" spans="12:59">
      <c r="L2079" s="626">
        <v>5.0199999999999996</v>
      </c>
      <c r="M2079" s="626" t="s">
        <v>96</v>
      </c>
      <c r="AB2079" s="626">
        <v>824.06</v>
      </c>
      <c r="AC2079" s="626" t="s">
        <v>102</v>
      </c>
      <c r="AP2079" s="1837"/>
      <c r="AQ2079" s="1837"/>
      <c r="BF2079" s="1837"/>
      <c r="BG2079" s="1837"/>
    </row>
    <row r="2080" spans="12:59">
      <c r="L2080" s="626">
        <v>6.01</v>
      </c>
      <c r="M2080" s="626" t="s">
        <v>96</v>
      </c>
      <c r="AB2080" s="626">
        <v>824.1</v>
      </c>
      <c r="AC2080" s="626" t="s">
        <v>102</v>
      </c>
      <c r="AP2080" s="1837"/>
      <c r="AQ2080" s="1837"/>
      <c r="BF2080" s="1837"/>
      <c r="BG2080" s="1837"/>
    </row>
    <row r="2081" spans="12:59">
      <c r="L2081" s="626">
        <v>6.02</v>
      </c>
      <c r="M2081" s="626" t="s">
        <v>96</v>
      </c>
      <c r="AB2081" s="626">
        <v>824.11</v>
      </c>
      <c r="AC2081" s="626" t="s">
        <v>102</v>
      </c>
      <c r="AP2081" s="1837"/>
      <c r="AQ2081" s="1837"/>
      <c r="BF2081" s="1837"/>
      <c r="BG2081" s="1837"/>
    </row>
    <row r="2082" spans="12:59">
      <c r="L2082" s="626">
        <v>7</v>
      </c>
      <c r="M2082" s="626" t="s">
        <v>96</v>
      </c>
      <c r="AB2082" s="626">
        <v>824.12</v>
      </c>
      <c r="AC2082" s="626" t="s">
        <v>102</v>
      </c>
      <c r="AP2082" s="1837"/>
      <c r="AQ2082" s="1837"/>
      <c r="BF2082" s="1837"/>
      <c r="BG2082" s="1837"/>
    </row>
    <row r="2083" spans="12:59">
      <c r="L2083" s="626">
        <v>8.01</v>
      </c>
      <c r="M2083" s="626" t="s">
        <v>96</v>
      </c>
      <c r="AB2083" s="626">
        <v>824.13</v>
      </c>
      <c r="AC2083" s="626" t="s">
        <v>102</v>
      </c>
      <c r="AP2083" s="1837"/>
      <c r="AQ2083" s="1837"/>
      <c r="BF2083" s="1837"/>
      <c r="BG2083" s="1837"/>
    </row>
    <row r="2084" spans="12:59">
      <c r="L2084" s="626">
        <v>8.02</v>
      </c>
      <c r="M2084" s="626" t="s">
        <v>96</v>
      </c>
      <c r="AB2084" s="626">
        <v>825.08</v>
      </c>
      <c r="AC2084" s="626" t="s">
        <v>102</v>
      </c>
      <c r="AP2084" s="1837"/>
      <c r="AQ2084" s="1837"/>
      <c r="BF2084" s="1837"/>
      <c r="BG2084" s="1837"/>
    </row>
    <row r="2085" spans="12:59">
      <c r="L2085" s="626">
        <v>9</v>
      </c>
      <c r="M2085" s="626" t="s">
        <v>96</v>
      </c>
      <c r="AB2085" s="626">
        <v>825.09</v>
      </c>
      <c r="AC2085" s="626" t="s">
        <v>102</v>
      </c>
      <c r="AP2085" s="1837"/>
      <c r="AQ2085" s="1837"/>
      <c r="BF2085" s="1837"/>
      <c r="BG2085" s="1837"/>
    </row>
    <row r="2086" spans="12:59">
      <c r="L2086" s="626">
        <v>12.01</v>
      </c>
      <c r="M2086" s="626" t="s">
        <v>96</v>
      </c>
      <c r="AB2086" s="626">
        <v>826.04</v>
      </c>
      <c r="AC2086" s="626" t="s">
        <v>102</v>
      </c>
      <c r="AP2086" s="1837"/>
      <c r="AQ2086" s="1837"/>
      <c r="BF2086" s="1837"/>
      <c r="BG2086" s="1837"/>
    </row>
    <row r="2087" spans="12:59">
      <c r="L2087" s="626">
        <v>12.03</v>
      </c>
      <c r="M2087" s="626" t="s">
        <v>96</v>
      </c>
      <c r="AB2087" s="626">
        <v>826.05</v>
      </c>
      <c r="AC2087" s="626" t="s">
        <v>102</v>
      </c>
      <c r="AP2087" s="1837"/>
      <c r="AQ2087" s="1837"/>
      <c r="BF2087" s="1837"/>
      <c r="BG2087" s="1837"/>
    </row>
    <row r="2088" spans="12:59">
      <c r="L2088" s="626">
        <v>12.04</v>
      </c>
      <c r="M2088" s="626" t="s">
        <v>96</v>
      </c>
      <c r="AB2088" s="626">
        <v>826.06</v>
      </c>
      <c r="AC2088" s="626" t="s">
        <v>102</v>
      </c>
      <c r="AP2088" s="1837"/>
      <c r="AQ2088" s="1837"/>
      <c r="BF2088" s="1837"/>
      <c r="BG2088" s="1837"/>
    </row>
    <row r="2089" spans="12:59">
      <c r="L2089" s="626">
        <v>13.01</v>
      </c>
      <c r="M2089" s="626" t="s">
        <v>96</v>
      </c>
      <c r="AB2089" s="626">
        <v>826.07</v>
      </c>
      <c r="AC2089" s="626" t="s">
        <v>102</v>
      </c>
      <c r="AP2089" s="1837"/>
      <c r="AQ2089" s="1837"/>
      <c r="BF2089" s="1837"/>
      <c r="BG2089" s="1837"/>
    </row>
    <row r="2090" spans="12:59">
      <c r="L2090" s="626">
        <v>13.02</v>
      </c>
      <c r="M2090" s="626" t="s">
        <v>96</v>
      </c>
      <c r="AB2090" s="626">
        <v>827.01</v>
      </c>
      <c r="AC2090" s="626" t="s">
        <v>102</v>
      </c>
      <c r="AP2090" s="1837"/>
      <c r="AQ2090" s="1837"/>
      <c r="BF2090" s="1837"/>
      <c r="BG2090" s="1837"/>
    </row>
    <row r="2091" spans="12:59">
      <c r="L2091" s="626">
        <v>13.03</v>
      </c>
      <c r="M2091" s="626" t="s">
        <v>96</v>
      </c>
      <c r="AB2091" s="626">
        <v>827.03</v>
      </c>
      <c r="AC2091" s="626" t="s">
        <v>102</v>
      </c>
      <c r="AP2091" s="1837"/>
      <c r="AQ2091" s="1837"/>
      <c r="BF2091" s="1837"/>
      <c r="BG2091" s="1837"/>
    </row>
    <row r="2092" spans="12:59">
      <c r="L2092" s="626">
        <v>13.04</v>
      </c>
      <c r="M2092" s="626" t="s">
        <v>96</v>
      </c>
      <c r="AB2092" s="626">
        <v>827.04</v>
      </c>
      <c r="AC2092" s="626" t="s">
        <v>102</v>
      </c>
      <c r="AP2092" s="1837"/>
      <c r="AQ2092" s="1837"/>
      <c r="BF2092" s="1837"/>
      <c r="BG2092" s="1837"/>
    </row>
    <row r="2093" spans="12:59">
      <c r="L2093" s="626">
        <v>14.01</v>
      </c>
      <c r="M2093" s="626" t="s">
        <v>96</v>
      </c>
      <c r="AB2093" s="626">
        <v>827.05</v>
      </c>
      <c r="AC2093" s="626" t="s">
        <v>102</v>
      </c>
      <c r="AP2093" s="1837"/>
      <c r="AQ2093" s="1837"/>
      <c r="BF2093" s="1837"/>
      <c r="BG2093" s="1837"/>
    </row>
    <row r="2094" spans="12:59">
      <c r="L2094" s="626">
        <v>14.02</v>
      </c>
      <c r="M2094" s="626" t="s">
        <v>96</v>
      </c>
      <c r="AB2094" s="626">
        <v>828.01</v>
      </c>
      <c r="AC2094" s="626" t="s">
        <v>102</v>
      </c>
      <c r="AP2094" s="1837"/>
      <c r="AQ2094" s="1837"/>
      <c r="BF2094" s="1837"/>
      <c r="BG2094" s="1837"/>
    </row>
    <row r="2095" spans="12:59">
      <c r="L2095" s="626">
        <v>14.03</v>
      </c>
      <c r="M2095" s="626" t="s">
        <v>96</v>
      </c>
      <c r="AB2095" s="626">
        <v>828.02</v>
      </c>
      <c r="AC2095" s="626" t="s">
        <v>102</v>
      </c>
      <c r="AP2095" s="1837"/>
      <c r="AQ2095" s="1837"/>
      <c r="BF2095" s="1837"/>
      <c r="BG2095" s="1837"/>
    </row>
    <row r="2096" spans="12:59">
      <c r="L2096" s="626">
        <v>15.03</v>
      </c>
      <c r="M2096" s="626" t="s">
        <v>96</v>
      </c>
      <c r="AB2096" s="626">
        <v>829.02</v>
      </c>
      <c r="AC2096" s="626" t="s">
        <v>102</v>
      </c>
      <c r="AP2096" s="1837"/>
      <c r="AQ2096" s="1837"/>
      <c r="BF2096" s="1837"/>
      <c r="BG2096" s="1837"/>
    </row>
    <row r="2097" spans="12:59">
      <c r="L2097" s="626">
        <v>15.05</v>
      </c>
      <c r="M2097" s="626" t="s">
        <v>96</v>
      </c>
      <c r="AB2097" s="626">
        <v>829.04</v>
      </c>
      <c r="AC2097" s="626" t="s">
        <v>102</v>
      </c>
      <c r="AP2097" s="1837"/>
      <c r="AQ2097" s="1837"/>
      <c r="BF2097" s="1837"/>
      <c r="BG2097" s="1837"/>
    </row>
    <row r="2098" spans="12:59">
      <c r="L2098" s="626">
        <v>15.06</v>
      </c>
      <c r="M2098" s="626" t="s">
        <v>96</v>
      </c>
      <c r="AB2098" s="626">
        <v>830.05</v>
      </c>
      <c r="AC2098" s="626" t="s">
        <v>102</v>
      </c>
      <c r="AP2098" s="1837"/>
      <c r="AQ2098" s="1837"/>
      <c r="BF2098" s="1837"/>
      <c r="BG2098" s="1837"/>
    </row>
    <row r="2099" spans="12:59">
      <c r="L2099" s="626">
        <v>15.07</v>
      </c>
      <c r="M2099" s="626" t="s">
        <v>96</v>
      </c>
      <c r="AB2099" s="626">
        <v>830.06</v>
      </c>
      <c r="AC2099" s="626" t="s">
        <v>102</v>
      </c>
      <c r="AP2099" s="1837"/>
      <c r="AQ2099" s="1837"/>
      <c r="BF2099" s="1837"/>
      <c r="BG2099" s="1837"/>
    </row>
    <row r="2100" spans="12:59">
      <c r="L2100" s="626">
        <v>17.02</v>
      </c>
      <c r="M2100" s="626" t="s">
        <v>96</v>
      </c>
      <c r="AB2100" s="626">
        <v>830.07</v>
      </c>
      <c r="AC2100" s="626" t="s">
        <v>102</v>
      </c>
      <c r="AP2100" s="1837"/>
      <c r="AQ2100" s="1837"/>
      <c r="BF2100" s="1837"/>
      <c r="BG2100" s="1837"/>
    </row>
    <row r="2101" spans="12:59">
      <c r="L2101" s="626">
        <v>17.04</v>
      </c>
      <c r="M2101" s="626" t="s">
        <v>96</v>
      </c>
      <c r="AB2101" s="626">
        <v>830.09</v>
      </c>
      <c r="AC2101" s="626" t="s">
        <v>102</v>
      </c>
      <c r="AP2101" s="1837"/>
      <c r="AQ2101" s="1837"/>
      <c r="BF2101" s="1837"/>
      <c r="BG2101" s="1837"/>
    </row>
    <row r="2102" spans="12:59">
      <c r="L2102" s="626">
        <v>18.010000000000002</v>
      </c>
      <c r="M2102" s="626" t="s">
        <v>96</v>
      </c>
      <c r="AB2102" s="626">
        <v>832.03</v>
      </c>
      <c r="AC2102" s="626" t="s">
        <v>102</v>
      </c>
      <c r="AP2102" s="1837"/>
      <c r="AQ2102" s="1837"/>
      <c r="BF2102" s="1837"/>
      <c r="BG2102" s="1837"/>
    </row>
    <row r="2103" spans="12:59">
      <c r="L2103" s="626">
        <v>18.05</v>
      </c>
      <c r="M2103" s="626" t="s">
        <v>96</v>
      </c>
      <c r="AB2103" s="626">
        <v>832.05</v>
      </c>
      <c r="AC2103" s="626" t="s">
        <v>102</v>
      </c>
      <c r="AP2103" s="1837"/>
      <c r="AQ2103" s="1837"/>
      <c r="BF2103" s="1837"/>
      <c r="BG2103" s="1837"/>
    </row>
    <row r="2104" spans="12:59">
      <c r="L2104" s="626">
        <v>19.03</v>
      </c>
      <c r="M2104" s="626" t="s">
        <v>96</v>
      </c>
      <c r="AB2104" s="626">
        <v>832.07</v>
      </c>
      <c r="AC2104" s="626" t="s">
        <v>102</v>
      </c>
      <c r="AP2104" s="1837"/>
      <c r="AQ2104" s="1837"/>
      <c r="BF2104" s="1837"/>
      <c r="BG2104" s="1837"/>
    </row>
    <row r="2105" spans="12:59">
      <c r="L2105" s="626">
        <v>19.04</v>
      </c>
      <c r="M2105" s="626" t="s">
        <v>96</v>
      </c>
      <c r="AB2105" s="626">
        <v>832.08</v>
      </c>
      <c r="AC2105" s="626" t="s">
        <v>102</v>
      </c>
      <c r="AP2105" s="1837"/>
      <c r="AQ2105" s="1837"/>
      <c r="BF2105" s="1837"/>
      <c r="BG2105" s="1837"/>
    </row>
    <row r="2106" spans="12:59">
      <c r="L2106" s="626">
        <v>19.05</v>
      </c>
      <c r="M2106" s="626" t="s">
        <v>96</v>
      </c>
      <c r="AB2106" s="626">
        <v>832.09</v>
      </c>
      <c r="AC2106" s="626" t="s">
        <v>102</v>
      </c>
      <c r="AP2106" s="1837"/>
      <c r="AQ2106" s="1837"/>
      <c r="BF2106" s="1837"/>
      <c r="BG2106" s="1837"/>
    </row>
    <row r="2107" spans="12:59">
      <c r="L2107" s="626">
        <v>19.07</v>
      </c>
      <c r="M2107" s="626" t="s">
        <v>96</v>
      </c>
      <c r="AB2107" s="626">
        <v>901</v>
      </c>
      <c r="AC2107" s="626" t="s">
        <v>70</v>
      </c>
      <c r="AP2107" s="1837"/>
      <c r="AQ2107" s="1837"/>
      <c r="BF2107" s="1837"/>
      <c r="BG2107" s="1837"/>
    </row>
    <row r="2108" spans="12:59">
      <c r="L2108" s="626">
        <v>19.079999999999998</v>
      </c>
      <c r="M2108" s="626" t="s">
        <v>96</v>
      </c>
      <c r="AB2108" s="626">
        <v>901.01</v>
      </c>
      <c r="AC2108" s="626" t="s">
        <v>36</v>
      </c>
      <c r="AP2108" s="1837"/>
      <c r="AQ2108" s="1837"/>
      <c r="BF2108" s="1837"/>
      <c r="BG2108" s="1837"/>
    </row>
    <row r="2109" spans="12:59">
      <c r="L2109" s="626">
        <v>20.04</v>
      </c>
      <c r="M2109" s="626" t="s">
        <v>96</v>
      </c>
      <c r="AB2109" s="626">
        <v>901.01</v>
      </c>
      <c r="AC2109" s="626" t="s">
        <v>102</v>
      </c>
      <c r="AP2109" s="1837"/>
      <c r="AQ2109" s="1837"/>
      <c r="BF2109" s="1837"/>
      <c r="BG2109" s="1837"/>
    </row>
    <row r="2110" spans="12:59">
      <c r="L2110" s="626">
        <v>20.05</v>
      </c>
      <c r="M2110" s="626" t="s">
        <v>96</v>
      </c>
      <c r="AB2110" s="626">
        <v>901.02</v>
      </c>
      <c r="AC2110" s="626" t="s">
        <v>36</v>
      </c>
      <c r="AP2110" s="1837"/>
      <c r="AQ2110" s="1837"/>
      <c r="BF2110" s="1837"/>
      <c r="BG2110" s="1837"/>
    </row>
    <row r="2111" spans="12:59">
      <c r="L2111" s="626">
        <v>20.07</v>
      </c>
      <c r="M2111" s="626" t="s">
        <v>96</v>
      </c>
      <c r="AB2111" s="626">
        <v>902</v>
      </c>
      <c r="AC2111" s="626" t="s">
        <v>36</v>
      </c>
      <c r="AP2111" s="1837"/>
      <c r="AQ2111" s="1837"/>
      <c r="BF2111" s="1837"/>
      <c r="BG2111" s="1837"/>
    </row>
    <row r="2112" spans="12:59">
      <c r="L2112" s="626">
        <v>20.079999999999998</v>
      </c>
      <c r="M2112" s="626" t="s">
        <v>96</v>
      </c>
      <c r="AB2112" s="626">
        <v>902.02</v>
      </c>
      <c r="AC2112" s="626" t="s">
        <v>102</v>
      </c>
      <c r="AP2112" s="1837"/>
      <c r="AQ2112" s="1837"/>
      <c r="BF2112" s="1837"/>
      <c r="BG2112" s="1837"/>
    </row>
    <row r="2113" spans="12:59">
      <c r="L2113" s="626">
        <v>20.09</v>
      </c>
      <c r="M2113" s="626" t="s">
        <v>96</v>
      </c>
      <c r="AB2113" s="626">
        <v>902.03</v>
      </c>
      <c r="AC2113" s="626" t="s">
        <v>102</v>
      </c>
      <c r="AP2113" s="1837"/>
      <c r="AQ2113" s="1837"/>
      <c r="BF2113" s="1837"/>
      <c r="BG2113" s="1837"/>
    </row>
    <row r="2114" spans="12:59">
      <c r="L2114" s="626">
        <v>20.100000000000001</v>
      </c>
      <c r="M2114" s="626" t="s">
        <v>96</v>
      </c>
      <c r="AB2114" s="626">
        <v>902.04</v>
      </c>
      <c r="AC2114" s="626" t="s">
        <v>102</v>
      </c>
      <c r="AP2114" s="1837"/>
      <c r="AQ2114" s="1837"/>
      <c r="BF2114" s="1837"/>
      <c r="BG2114" s="1837"/>
    </row>
    <row r="2115" spans="12:59">
      <c r="L2115" s="626">
        <v>21</v>
      </c>
      <c r="M2115" s="626" t="s">
        <v>96</v>
      </c>
      <c r="AB2115" s="626">
        <v>903.04</v>
      </c>
      <c r="AC2115" s="626" t="s">
        <v>102</v>
      </c>
      <c r="AP2115" s="1837"/>
      <c r="AQ2115" s="1837"/>
      <c r="BF2115" s="1837"/>
      <c r="BG2115" s="1837"/>
    </row>
    <row r="2116" spans="12:59">
      <c r="L2116" s="626">
        <v>22.02</v>
      </c>
      <c r="M2116" s="626" t="s">
        <v>96</v>
      </c>
      <c r="AB2116" s="626">
        <v>903.05</v>
      </c>
      <c r="AC2116" s="626" t="s">
        <v>102</v>
      </c>
      <c r="AP2116" s="1837"/>
      <c r="AQ2116" s="1837"/>
      <c r="BF2116" s="1837"/>
      <c r="BG2116" s="1837"/>
    </row>
    <row r="2117" spans="12:59">
      <c r="L2117" s="626">
        <v>23.03</v>
      </c>
      <c r="M2117" s="626" t="s">
        <v>96</v>
      </c>
      <c r="AB2117" s="626">
        <v>903.06</v>
      </c>
      <c r="AC2117" s="626" t="s">
        <v>102</v>
      </c>
      <c r="AP2117" s="1837"/>
      <c r="AQ2117" s="1837"/>
      <c r="BF2117" s="1837"/>
      <c r="BG2117" s="1837"/>
    </row>
    <row r="2118" spans="12:59">
      <c r="L2118" s="626">
        <v>23.04</v>
      </c>
      <c r="M2118" s="626" t="s">
        <v>96</v>
      </c>
      <c r="AB2118" s="626">
        <v>904</v>
      </c>
      <c r="AC2118" s="626" t="s">
        <v>102</v>
      </c>
      <c r="AP2118" s="1837"/>
      <c r="AQ2118" s="1837"/>
      <c r="BF2118" s="1837"/>
      <c r="BG2118" s="1837"/>
    </row>
    <row r="2119" spans="12:59">
      <c r="L2119" s="626">
        <v>23.05</v>
      </c>
      <c r="M2119" s="626" t="s">
        <v>96</v>
      </c>
      <c r="AB2119" s="626">
        <v>905.02</v>
      </c>
      <c r="AC2119" s="626" t="s">
        <v>36</v>
      </c>
      <c r="AP2119" s="1837"/>
      <c r="AQ2119" s="1837"/>
      <c r="BF2119" s="1837"/>
      <c r="BG2119" s="1837"/>
    </row>
    <row r="2120" spans="12:59">
      <c r="L2120" s="626">
        <v>24.01</v>
      </c>
      <c r="M2120" s="626" t="s">
        <v>96</v>
      </c>
      <c r="AB2120" s="626">
        <v>905.03</v>
      </c>
      <c r="AC2120" s="626" t="s">
        <v>36</v>
      </c>
      <c r="AP2120" s="1837"/>
      <c r="AQ2120" s="1837"/>
      <c r="BF2120" s="1837"/>
      <c r="BG2120" s="1837"/>
    </row>
    <row r="2121" spans="12:59">
      <c r="L2121" s="626">
        <v>25.05</v>
      </c>
      <c r="M2121" s="626" t="s">
        <v>96</v>
      </c>
      <c r="AB2121" s="626">
        <v>906.01</v>
      </c>
      <c r="AC2121" s="626" t="s">
        <v>36</v>
      </c>
      <c r="AP2121" s="1837"/>
      <c r="AQ2121" s="1837"/>
      <c r="BF2121" s="1837"/>
      <c r="BG2121" s="1837"/>
    </row>
    <row r="2122" spans="12:59">
      <c r="L2122" s="626">
        <v>25.07</v>
      </c>
      <c r="M2122" s="626" t="s">
        <v>96</v>
      </c>
      <c r="AB2122" s="626">
        <v>907.01</v>
      </c>
      <c r="AC2122" s="626" t="s">
        <v>102</v>
      </c>
      <c r="AP2122" s="1837"/>
      <c r="AQ2122" s="1837"/>
      <c r="BF2122" s="1837"/>
      <c r="BG2122" s="1837"/>
    </row>
    <row r="2123" spans="12:59">
      <c r="L2123" s="626">
        <v>25.11</v>
      </c>
      <c r="M2123" s="626" t="s">
        <v>96</v>
      </c>
      <c r="AB2123" s="626">
        <v>908.01</v>
      </c>
      <c r="AC2123" s="626" t="s">
        <v>36</v>
      </c>
      <c r="AP2123" s="1837"/>
      <c r="AQ2123" s="1837"/>
      <c r="BF2123" s="1837"/>
      <c r="BG2123" s="1837"/>
    </row>
    <row r="2124" spans="12:59">
      <c r="L2124" s="626">
        <v>26.01</v>
      </c>
      <c r="M2124" s="626" t="s">
        <v>96</v>
      </c>
      <c r="AB2124" s="626">
        <v>908.02</v>
      </c>
      <c r="AC2124" s="626" t="s">
        <v>36</v>
      </c>
      <c r="AP2124" s="1837"/>
      <c r="AQ2124" s="1837"/>
      <c r="BF2124" s="1837"/>
      <c r="BG2124" s="1837"/>
    </row>
    <row r="2125" spans="12:59">
      <c r="L2125" s="626">
        <v>27.11</v>
      </c>
      <c r="M2125" s="626" t="s">
        <v>96</v>
      </c>
      <c r="AB2125" s="626">
        <v>908.03</v>
      </c>
      <c r="AC2125" s="626" t="s">
        <v>102</v>
      </c>
      <c r="AP2125" s="1837"/>
      <c r="AQ2125" s="1837"/>
      <c r="BF2125" s="1837"/>
      <c r="BG2125" s="1837"/>
    </row>
    <row r="2126" spans="12:59">
      <c r="L2126" s="626">
        <v>27.12</v>
      </c>
      <c r="M2126" s="626" t="s">
        <v>96</v>
      </c>
      <c r="AB2126" s="626">
        <v>908.05</v>
      </c>
      <c r="AC2126" s="626" t="s">
        <v>102</v>
      </c>
      <c r="AP2126" s="1837"/>
      <c r="AQ2126" s="1837"/>
      <c r="BF2126" s="1837"/>
      <c r="BG2126" s="1837"/>
    </row>
    <row r="2127" spans="12:59">
      <c r="L2127" s="626">
        <v>27.13</v>
      </c>
      <c r="M2127" s="626" t="s">
        <v>96</v>
      </c>
      <c r="AB2127" s="626">
        <v>909</v>
      </c>
      <c r="AC2127" s="626" t="s">
        <v>36</v>
      </c>
      <c r="AP2127" s="1837"/>
      <c r="AQ2127" s="1837"/>
      <c r="BF2127" s="1837"/>
      <c r="BG2127" s="1837"/>
    </row>
    <row r="2128" spans="12:59">
      <c r="L2128" s="626">
        <v>27.14</v>
      </c>
      <c r="M2128" s="626" t="s">
        <v>96</v>
      </c>
      <c r="AB2128" s="626">
        <v>909.02</v>
      </c>
      <c r="AC2128" s="626" t="s">
        <v>102</v>
      </c>
      <c r="AP2128" s="1837"/>
      <c r="AQ2128" s="1837"/>
      <c r="BF2128" s="1837"/>
      <c r="BG2128" s="1837"/>
    </row>
    <row r="2129" spans="12:59">
      <c r="L2129" s="626">
        <v>27.16</v>
      </c>
      <c r="M2129" s="626" t="s">
        <v>96</v>
      </c>
      <c r="AB2129" s="626">
        <v>909.03</v>
      </c>
      <c r="AC2129" s="626" t="s">
        <v>102</v>
      </c>
      <c r="AP2129" s="1837"/>
      <c r="AQ2129" s="1837"/>
      <c r="BF2129" s="1837"/>
      <c r="BG2129" s="1837"/>
    </row>
    <row r="2130" spans="12:59">
      <c r="L2130" s="626">
        <v>27.18</v>
      </c>
      <c r="M2130" s="626" t="s">
        <v>96</v>
      </c>
      <c r="AB2130" s="626">
        <v>909.04</v>
      </c>
      <c r="AC2130" s="626" t="s">
        <v>102</v>
      </c>
      <c r="AP2130" s="1837"/>
      <c r="AQ2130" s="1837"/>
      <c r="BF2130" s="1837"/>
      <c r="BG2130" s="1837"/>
    </row>
    <row r="2131" spans="12:59">
      <c r="L2131" s="626">
        <v>27.19</v>
      </c>
      <c r="M2131" s="626" t="s">
        <v>96</v>
      </c>
      <c r="AB2131" s="626">
        <v>910</v>
      </c>
      <c r="AC2131" s="626" t="s">
        <v>36</v>
      </c>
      <c r="AP2131" s="1837"/>
      <c r="AQ2131" s="1837"/>
      <c r="BF2131" s="1837"/>
      <c r="BG2131" s="1837"/>
    </row>
    <row r="2132" spans="12:59">
      <c r="L2132" s="626">
        <v>27.2</v>
      </c>
      <c r="M2132" s="626" t="s">
        <v>96</v>
      </c>
      <c r="AB2132" s="626">
        <v>910.01</v>
      </c>
      <c r="AC2132" s="626" t="s">
        <v>102</v>
      </c>
      <c r="AP2132" s="1837"/>
      <c r="AQ2132" s="1837"/>
      <c r="BF2132" s="1837"/>
      <c r="BG2132" s="1837"/>
    </row>
    <row r="2133" spans="12:59">
      <c r="L2133" s="626">
        <v>207.01</v>
      </c>
      <c r="M2133" s="626" t="s">
        <v>97</v>
      </c>
      <c r="AB2133" s="626">
        <v>910.05</v>
      </c>
      <c r="AC2133" s="626" t="s">
        <v>102</v>
      </c>
      <c r="AP2133" s="1837"/>
      <c r="AQ2133" s="1837"/>
      <c r="BF2133" s="1837"/>
      <c r="BG2133" s="1837"/>
    </row>
    <row r="2134" spans="12:59">
      <c r="L2134" s="626">
        <v>207.03</v>
      </c>
      <c r="M2134" s="626" t="s">
        <v>97</v>
      </c>
      <c r="AB2134" s="626">
        <v>910.15</v>
      </c>
      <c r="AC2134" s="626" t="s">
        <v>102</v>
      </c>
      <c r="AP2134" s="1837"/>
      <c r="AQ2134" s="1837"/>
      <c r="BF2134" s="1837"/>
      <c r="BG2134" s="1837"/>
    </row>
    <row r="2135" spans="12:59">
      <c r="L2135" s="626">
        <v>207.04</v>
      </c>
      <c r="M2135" s="626" t="s">
        <v>97</v>
      </c>
      <c r="AB2135" s="626">
        <v>910.17</v>
      </c>
      <c r="AC2135" s="626" t="s">
        <v>102</v>
      </c>
      <c r="AP2135" s="1837"/>
      <c r="AQ2135" s="1837"/>
      <c r="BF2135" s="1837"/>
      <c r="BG2135" s="1837"/>
    </row>
    <row r="2136" spans="12:59">
      <c r="L2136" s="626">
        <v>207.05</v>
      </c>
      <c r="M2136" s="626" t="s">
        <v>97</v>
      </c>
      <c r="AB2136" s="626">
        <v>910.19</v>
      </c>
      <c r="AC2136" s="626" t="s">
        <v>102</v>
      </c>
      <c r="AP2136" s="1837"/>
      <c r="AQ2136" s="1837"/>
      <c r="BF2136" s="1837"/>
      <c r="BG2136" s="1837"/>
    </row>
    <row r="2137" spans="12:59">
      <c r="L2137" s="626">
        <v>208.03</v>
      </c>
      <c r="M2137" s="626" t="s">
        <v>97</v>
      </c>
      <c r="AB2137" s="626">
        <v>910.2</v>
      </c>
      <c r="AC2137" s="626" t="s">
        <v>102</v>
      </c>
      <c r="AP2137" s="1837"/>
      <c r="AQ2137" s="1837"/>
      <c r="BF2137" s="1837"/>
      <c r="BG2137" s="1837"/>
    </row>
    <row r="2138" spans="12:59">
      <c r="L2138" s="626">
        <v>208.05</v>
      </c>
      <c r="M2138" s="626" t="s">
        <v>97</v>
      </c>
      <c r="AB2138" s="626">
        <v>910.21</v>
      </c>
      <c r="AC2138" s="626" t="s">
        <v>102</v>
      </c>
      <c r="AP2138" s="1837"/>
      <c r="AQ2138" s="1837"/>
      <c r="BF2138" s="1837"/>
      <c r="BG2138" s="1837"/>
    </row>
    <row r="2139" spans="12:59">
      <c r="L2139" s="626">
        <v>208.08</v>
      </c>
      <c r="M2139" s="626" t="s">
        <v>97</v>
      </c>
      <c r="AB2139" s="626">
        <v>910.22</v>
      </c>
      <c r="AC2139" s="626" t="s">
        <v>102</v>
      </c>
      <c r="AP2139" s="1837"/>
      <c r="AQ2139" s="1837"/>
      <c r="BF2139" s="1837"/>
      <c r="BG2139" s="1837"/>
    </row>
    <row r="2140" spans="12:59">
      <c r="L2140" s="626">
        <v>208.1</v>
      </c>
      <c r="M2140" s="626" t="s">
        <v>97</v>
      </c>
      <c r="AB2140" s="626">
        <v>910.23</v>
      </c>
      <c r="AC2140" s="626" t="s">
        <v>102</v>
      </c>
      <c r="AP2140" s="1837"/>
      <c r="AQ2140" s="1837"/>
      <c r="BF2140" s="1837"/>
      <c r="BG2140" s="1837"/>
    </row>
    <row r="2141" spans="12:59">
      <c r="L2141" s="626">
        <v>208.11</v>
      </c>
      <c r="M2141" s="626" t="s">
        <v>97</v>
      </c>
      <c r="AB2141" s="626">
        <v>910.26</v>
      </c>
      <c r="AC2141" s="626" t="s">
        <v>102</v>
      </c>
      <c r="AP2141" s="1837"/>
      <c r="AQ2141" s="1837"/>
      <c r="BF2141" s="1837"/>
      <c r="BG2141" s="1837"/>
    </row>
    <row r="2142" spans="12:59">
      <c r="L2142" s="626">
        <v>212.01</v>
      </c>
      <c r="M2142" s="626" t="s">
        <v>97</v>
      </c>
      <c r="AB2142" s="626">
        <v>910.29</v>
      </c>
      <c r="AC2142" s="626" t="s">
        <v>102</v>
      </c>
      <c r="AP2142" s="1837"/>
      <c r="AQ2142" s="1837"/>
      <c r="BF2142" s="1837"/>
      <c r="BG2142" s="1837"/>
    </row>
    <row r="2143" spans="12:59">
      <c r="L2143" s="626">
        <v>212.03</v>
      </c>
      <c r="M2143" s="626" t="s">
        <v>97</v>
      </c>
      <c r="AB2143" s="626">
        <v>913</v>
      </c>
      <c r="AC2143" s="626" t="s">
        <v>36</v>
      </c>
      <c r="AP2143" s="1837"/>
      <c r="AQ2143" s="1837"/>
      <c r="BF2143" s="1837"/>
      <c r="BG2143" s="1837"/>
    </row>
    <row r="2144" spans="12:59">
      <c r="L2144" s="626">
        <v>212.04</v>
      </c>
      <c r="M2144" s="626" t="s">
        <v>97</v>
      </c>
      <c r="AB2144" s="626">
        <v>917.01</v>
      </c>
      <c r="AC2144" s="626" t="s">
        <v>36</v>
      </c>
      <c r="AP2144" s="1837"/>
      <c r="AQ2144" s="1837"/>
      <c r="BF2144" s="1837"/>
      <c r="BG2144" s="1837"/>
    </row>
    <row r="2145" spans="12:59">
      <c r="L2145" s="626">
        <v>213.06</v>
      </c>
      <c r="M2145" s="626" t="s">
        <v>97</v>
      </c>
      <c r="AB2145" s="626">
        <v>919.01</v>
      </c>
      <c r="AC2145" s="626" t="s">
        <v>36</v>
      </c>
      <c r="AP2145" s="1837"/>
      <c r="AQ2145" s="1837"/>
      <c r="BF2145" s="1837"/>
      <c r="BG2145" s="1837"/>
    </row>
    <row r="2146" spans="12:59">
      <c r="L2146" s="626">
        <v>213.07</v>
      </c>
      <c r="M2146" s="626" t="s">
        <v>97</v>
      </c>
      <c r="AB2146" s="626">
        <v>920</v>
      </c>
      <c r="AC2146" s="626" t="s">
        <v>36</v>
      </c>
      <c r="AP2146" s="1837"/>
      <c r="AQ2146" s="1837"/>
      <c r="BF2146" s="1837"/>
      <c r="BG2146" s="1837"/>
    </row>
    <row r="2147" spans="12:59">
      <c r="L2147" s="626">
        <v>213.11</v>
      </c>
      <c r="M2147" s="626" t="s">
        <v>97</v>
      </c>
      <c r="AB2147" s="626">
        <v>1001.04</v>
      </c>
      <c r="AC2147" s="626" t="s">
        <v>36</v>
      </c>
      <c r="AP2147" s="1837"/>
      <c r="AQ2147" s="1837"/>
      <c r="BF2147" s="1837"/>
      <c r="BG2147" s="1837"/>
    </row>
    <row r="2148" spans="12:59">
      <c r="L2148" s="626">
        <v>213.12</v>
      </c>
      <c r="M2148" s="626" t="s">
        <v>97</v>
      </c>
      <c r="AB2148" s="626">
        <v>1001.05</v>
      </c>
      <c r="AC2148" s="626" t="s">
        <v>36</v>
      </c>
      <c r="AP2148" s="1837"/>
      <c r="AQ2148" s="1837"/>
      <c r="BF2148" s="1837"/>
      <c r="BG2148" s="1837"/>
    </row>
    <row r="2149" spans="12:59">
      <c r="L2149" s="626">
        <v>213.13</v>
      </c>
      <c r="M2149" s="626" t="s">
        <v>97</v>
      </c>
      <c r="AB2149" s="626">
        <v>1101</v>
      </c>
      <c r="AC2149" s="626" t="s">
        <v>74</v>
      </c>
      <c r="AP2149" s="1837"/>
      <c r="AQ2149" s="1837"/>
      <c r="BF2149" s="1837"/>
      <c r="BG2149" s="1837"/>
    </row>
    <row r="2150" spans="12:59">
      <c r="L2150" s="626">
        <v>213.14</v>
      </c>
      <c r="M2150" s="626" t="s">
        <v>97</v>
      </c>
      <c r="AB2150" s="626">
        <v>1102.01</v>
      </c>
      <c r="AC2150" s="626" t="s">
        <v>45</v>
      </c>
      <c r="AP2150" s="1837"/>
      <c r="AQ2150" s="1837"/>
      <c r="BF2150" s="1837"/>
      <c r="BG2150" s="1837"/>
    </row>
    <row r="2151" spans="12:59">
      <c r="L2151" s="626">
        <v>213.15</v>
      </c>
      <c r="M2151" s="626" t="s">
        <v>97</v>
      </c>
      <c r="AB2151" s="626">
        <v>1103.01</v>
      </c>
      <c r="AC2151" s="626" t="s">
        <v>36</v>
      </c>
      <c r="AP2151" s="1837"/>
      <c r="AQ2151" s="1837"/>
      <c r="BF2151" s="1837"/>
      <c r="BG2151" s="1837"/>
    </row>
    <row r="2152" spans="12:59">
      <c r="L2152" s="626">
        <v>213.16</v>
      </c>
      <c r="M2152" s="626" t="s">
        <v>97</v>
      </c>
      <c r="AB2152" s="626">
        <v>1103.01</v>
      </c>
      <c r="AC2152" s="626" t="s">
        <v>74</v>
      </c>
      <c r="AP2152" s="1837"/>
      <c r="AQ2152" s="1837"/>
      <c r="BF2152" s="1837"/>
      <c r="BG2152" s="1837"/>
    </row>
    <row r="2153" spans="12:59">
      <c r="L2153" s="626">
        <v>213.17</v>
      </c>
      <c r="M2153" s="626" t="s">
        <v>97</v>
      </c>
      <c r="AB2153" s="626">
        <v>1103.02</v>
      </c>
      <c r="AC2153" s="626" t="s">
        <v>36</v>
      </c>
      <c r="AP2153" s="1837"/>
      <c r="AQ2153" s="1837"/>
      <c r="BF2153" s="1837"/>
      <c r="BG2153" s="1837"/>
    </row>
    <row r="2154" spans="12:59">
      <c r="L2154" s="626">
        <v>213.18</v>
      </c>
      <c r="M2154" s="626" t="s">
        <v>97</v>
      </c>
      <c r="AB2154" s="626">
        <v>1103.03</v>
      </c>
      <c r="AC2154" s="626" t="s">
        <v>36</v>
      </c>
      <c r="AP2154" s="1837"/>
      <c r="AQ2154" s="1837"/>
      <c r="BF2154" s="1837"/>
      <c r="BG2154" s="1837"/>
    </row>
    <row r="2155" spans="12:59">
      <c r="L2155" s="626">
        <v>213.2</v>
      </c>
      <c r="M2155" s="626" t="s">
        <v>97</v>
      </c>
      <c r="AB2155" s="626">
        <v>1103.07</v>
      </c>
      <c r="AC2155" s="626" t="s">
        <v>36</v>
      </c>
      <c r="AP2155" s="1837"/>
      <c r="AQ2155" s="1837"/>
      <c r="BF2155" s="1837"/>
      <c r="BG2155" s="1837"/>
    </row>
    <row r="2156" spans="12:59">
      <c r="L2156" s="626">
        <v>213.21</v>
      </c>
      <c r="M2156" s="626" t="s">
        <v>97</v>
      </c>
      <c r="AB2156" s="626">
        <v>1103.08</v>
      </c>
      <c r="AC2156" s="626" t="s">
        <v>36</v>
      </c>
      <c r="AP2156" s="1837"/>
      <c r="AQ2156" s="1837"/>
      <c r="BF2156" s="1837"/>
      <c r="BG2156" s="1837"/>
    </row>
    <row r="2157" spans="12:59">
      <c r="L2157" s="626">
        <v>214.03</v>
      </c>
      <c r="M2157" s="626" t="s">
        <v>97</v>
      </c>
      <c r="AB2157" s="626">
        <v>1103.0899999999999</v>
      </c>
      <c r="AC2157" s="626" t="s">
        <v>36</v>
      </c>
      <c r="AP2157" s="1837"/>
      <c r="AQ2157" s="1837"/>
      <c r="BF2157" s="1837"/>
      <c r="BG2157" s="1837"/>
    </row>
    <row r="2158" spans="12:59">
      <c r="L2158" s="626">
        <v>215.04</v>
      </c>
      <c r="M2158" s="626" t="s">
        <v>97</v>
      </c>
      <c r="AB2158" s="626">
        <v>1103.1099999999999</v>
      </c>
      <c r="AC2158" s="626" t="s">
        <v>36</v>
      </c>
      <c r="AP2158" s="1837"/>
      <c r="AQ2158" s="1837"/>
      <c r="BF2158" s="1837"/>
      <c r="BG2158" s="1837"/>
    </row>
    <row r="2159" spans="12:59">
      <c r="L2159" s="626">
        <v>215.05</v>
      </c>
      <c r="M2159" s="626" t="s">
        <v>97</v>
      </c>
      <c r="AB2159" s="626">
        <v>1103.19</v>
      </c>
      <c r="AC2159" s="626" t="s">
        <v>36</v>
      </c>
      <c r="AP2159" s="1837"/>
      <c r="AQ2159" s="1837"/>
      <c r="BF2159" s="1837"/>
      <c r="BG2159" s="1837"/>
    </row>
    <row r="2160" spans="12:59">
      <c r="L2160" s="626">
        <v>216.04</v>
      </c>
      <c r="M2160" s="626" t="s">
        <v>97</v>
      </c>
      <c r="AB2160" s="626">
        <v>1103.21</v>
      </c>
      <c r="AC2160" s="626" t="s">
        <v>36</v>
      </c>
      <c r="AP2160" s="1837"/>
      <c r="AQ2160" s="1837"/>
      <c r="BF2160" s="1837"/>
      <c r="BG2160" s="1837"/>
    </row>
    <row r="2161" spans="12:59">
      <c r="L2161" s="626">
        <v>216.09</v>
      </c>
      <c r="M2161" s="626" t="s">
        <v>97</v>
      </c>
      <c r="AB2161" s="626">
        <v>1103.22</v>
      </c>
      <c r="AC2161" s="626" t="s">
        <v>36</v>
      </c>
      <c r="AP2161" s="1837"/>
      <c r="AQ2161" s="1837"/>
      <c r="BF2161" s="1837"/>
      <c r="BG2161" s="1837"/>
    </row>
    <row r="2162" spans="12:59">
      <c r="L2162" s="626">
        <v>216.11</v>
      </c>
      <c r="M2162" s="626" t="s">
        <v>97</v>
      </c>
      <c r="AB2162" s="626">
        <v>1103.24</v>
      </c>
      <c r="AC2162" s="626" t="s">
        <v>36</v>
      </c>
      <c r="AP2162" s="1837"/>
      <c r="AQ2162" s="1837"/>
      <c r="BF2162" s="1837"/>
      <c r="BG2162" s="1837"/>
    </row>
    <row r="2163" spans="12:59">
      <c r="L2163" s="626">
        <v>216.12</v>
      </c>
      <c r="M2163" s="626" t="s">
        <v>97</v>
      </c>
      <c r="AB2163" s="626">
        <v>1103.25</v>
      </c>
      <c r="AC2163" s="626" t="s">
        <v>36</v>
      </c>
      <c r="AP2163" s="1837"/>
      <c r="AQ2163" s="1837"/>
      <c r="BF2163" s="1837"/>
      <c r="BG2163" s="1837"/>
    </row>
    <row r="2164" spans="12:59">
      <c r="L2164" s="626">
        <v>216.14</v>
      </c>
      <c r="M2164" s="626" t="s">
        <v>97</v>
      </c>
      <c r="AB2164" s="626">
        <v>1103.26</v>
      </c>
      <c r="AC2164" s="626" t="s">
        <v>36</v>
      </c>
      <c r="AP2164" s="1837"/>
      <c r="AQ2164" s="1837"/>
      <c r="BF2164" s="1837"/>
      <c r="BG2164" s="1837"/>
    </row>
    <row r="2165" spans="12:59">
      <c r="L2165" s="626">
        <v>216.15</v>
      </c>
      <c r="M2165" s="626" t="s">
        <v>97</v>
      </c>
      <c r="AB2165" s="626">
        <v>1103.27</v>
      </c>
      <c r="AC2165" s="626" t="s">
        <v>36</v>
      </c>
      <c r="AP2165" s="1837"/>
      <c r="AQ2165" s="1837"/>
      <c r="BF2165" s="1837"/>
      <c r="BG2165" s="1837"/>
    </row>
    <row r="2166" spans="12:59">
      <c r="L2166" s="626">
        <v>216.16</v>
      </c>
      <c r="M2166" s="626" t="s">
        <v>97</v>
      </c>
      <c r="AB2166" s="626">
        <v>1103.28</v>
      </c>
      <c r="AC2166" s="626" t="s">
        <v>36</v>
      </c>
      <c r="AP2166" s="1837"/>
      <c r="AQ2166" s="1837"/>
      <c r="BF2166" s="1837"/>
      <c r="BG2166" s="1837"/>
    </row>
    <row r="2167" spans="12:59">
      <c r="L2167" s="626">
        <v>217.04</v>
      </c>
      <c r="M2167" s="626" t="s">
        <v>97</v>
      </c>
      <c r="AB2167" s="626">
        <v>1103.3</v>
      </c>
      <c r="AC2167" s="626" t="s">
        <v>36</v>
      </c>
      <c r="AP2167" s="1837"/>
      <c r="AQ2167" s="1837"/>
      <c r="BF2167" s="1837"/>
      <c r="BG2167" s="1837"/>
    </row>
    <row r="2168" spans="12:59">
      <c r="L2168" s="626">
        <v>217.06</v>
      </c>
      <c r="M2168" s="626" t="s">
        <v>97</v>
      </c>
      <c r="AB2168" s="626">
        <v>1103.31</v>
      </c>
      <c r="AC2168" s="626" t="s">
        <v>36</v>
      </c>
      <c r="AP2168" s="1837"/>
      <c r="AQ2168" s="1837"/>
      <c r="BF2168" s="1837"/>
      <c r="BG2168" s="1837"/>
    </row>
    <row r="2169" spans="12:59">
      <c r="L2169" s="626">
        <v>217.07</v>
      </c>
      <c r="M2169" s="626" t="s">
        <v>97</v>
      </c>
      <c r="AB2169" s="626">
        <v>1103.32</v>
      </c>
      <c r="AC2169" s="626" t="s">
        <v>36</v>
      </c>
      <c r="AP2169" s="1837"/>
      <c r="AQ2169" s="1837"/>
      <c r="BF2169" s="1837"/>
      <c r="BG2169" s="1837"/>
    </row>
    <row r="2170" spans="12:59">
      <c r="L2170" s="626">
        <v>217.08</v>
      </c>
      <c r="M2170" s="626" t="s">
        <v>97</v>
      </c>
      <c r="AB2170" s="626">
        <v>1103.33</v>
      </c>
      <c r="AC2170" s="626" t="s">
        <v>36</v>
      </c>
      <c r="AP2170" s="1837"/>
      <c r="AQ2170" s="1837"/>
      <c r="BF2170" s="1837"/>
      <c r="BG2170" s="1837"/>
    </row>
    <row r="2171" spans="12:59">
      <c r="L2171" s="626">
        <v>218.03</v>
      </c>
      <c r="M2171" s="626" t="s">
        <v>97</v>
      </c>
      <c r="AB2171" s="626">
        <v>1103.3599999999999</v>
      </c>
      <c r="AC2171" s="626" t="s">
        <v>36</v>
      </c>
      <c r="AP2171" s="1837"/>
      <c r="AQ2171" s="1837"/>
      <c r="BF2171" s="1837"/>
      <c r="BG2171" s="1837"/>
    </row>
    <row r="2172" spans="12:59">
      <c r="L2172" s="626">
        <v>218.05</v>
      </c>
      <c r="M2172" s="626" t="s">
        <v>97</v>
      </c>
      <c r="AB2172" s="626">
        <v>1103.3699999999999</v>
      </c>
      <c r="AC2172" s="626" t="s">
        <v>36</v>
      </c>
      <c r="AP2172" s="1837"/>
      <c r="AQ2172" s="1837"/>
      <c r="BF2172" s="1837"/>
      <c r="BG2172" s="1837"/>
    </row>
    <row r="2173" spans="12:59">
      <c r="L2173" s="626">
        <v>218.06</v>
      </c>
      <c r="M2173" s="626" t="s">
        <v>97</v>
      </c>
      <c r="AB2173" s="626">
        <v>1103.3800000000001</v>
      </c>
      <c r="AC2173" s="626" t="s">
        <v>36</v>
      </c>
      <c r="AP2173" s="1837"/>
      <c r="AQ2173" s="1837"/>
      <c r="BF2173" s="1837"/>
      <c r="BG2173" s="1837"/>
    </row>
    <row r="2174" spans="12:59">
      <c r="L2174" s="626">
        <v>219.01</v>
      </c>
      <c r="M2174" s="626" t="s">
        <v>97</v>
      </c>
      <c r="AB2174" s="626">
        <v>1103.3900000000001</v>
      </c>
      <c r="AC2174" s="626" t="s">
        <v>36</v>
      </c>
      <c r="AP2174" s="1837"/>
      <c r="AQ2174" s="1837"/>
      <c r="BF2174" s="1837"/>
      <c r="BG2174" s="1837"/>
    </row>
    <row r="2175" spans="12:59">
      <c r="L2175" s="626">
        <v>221.05</v>
      </c>
      <c r="M2175" s="626" t="s">
        <v>97</v>
      </c>
      <c r="AB2175" s="626">
        <v>1103.4000000000001</v>
      </c>
      <c r="AC2175" s="626" t="s">
        <v>36</v>
      </c>
      <c r="AP2175" s="1837"/>
      <c r="AQ2175" s="1837"/>
      <c r="BF2175" s="1837"/>
      <c r="BG2175" s="1837"/>
    </row>
    <row r="2176" spans="12:59">
      <c r="L2176" s="626">
        <v>221.06</v>
      </c>
      <c r="M2176" s="626" t="s">
        <v>97</v>
      </c>
      <c r="AB2176" s="626">
        <v>1103.42</v>
      </c>
      <c r="AC2176" s="626" t="s">
        <v>36</v>
      </c>
      <c r="AP2176" s="1837"/>
      <c r="AQ2176" s="1837"/>
      <c r="BF2176" s="1837"/>
      <c r="BG2176" s="1837"/>
    </row>
    <row r="2177" spans="12:59">
      <c r="L2177" s="626">
        <v>222.05</v>
      </c>
      <c r="M2177" s="626" t="s">
        <v>97</v>
      </c>
      <c r="AB2177" s="626">
        <v>1103.43</v>
      </c>
      <c r="AC2177" s="626" t="s">
        <v>36</v>
      </c>
      <c r="AP2177" s="1837"/>
      <c r="AQ2177" s="1837"/>
      <c r="BF2177" s="1837"/>
      <c r="BG2177" s="1837"/>
    </row>
    <row r="2178" spans="12:59">
      <c r="L2178" s="626">
        <v>222.06</v>
      </c>
      <c r="M2178" s="626" t="s">
        <v>97</v>
      </c>
      <c r="AB2178" s="626">
        <v>1104</v>
      </c>
      <c r="AC2178" s="626" t="s">
        <v>74</v>
      </c>
      <c r="AP2178" s="1837"/>
      <c r="AQ2178" s="1837"/>
      <c r="BF2178" s="1837"/>
      <c r="BG2178" s="1837"/>
    </row>
    <row r="2179" spans="12:59">
      <c r="L2179" s="626">
        <v>222.07</v>
      </c>
      <c r="M2179" s="626" t="s">
        <v>97</v>
      </c>
      <c r="AB2179" s="626">
        <v>1104.02</v>
      </c>
      <c r="AC2179" s="626" t="s">
        <v>36</v>
      </c>
      <c r="AP2179" s="1837"/>
      <c r="AQ2179" s="1837"/>
      <c r="BF2179" s="1837"/>
      <c r="BG2179" s="1837"/>
    </row>
    <row r="2180" spans="12:59">
      <c r="L2180" s="626">
        <v>205</v>
      </c>
      <c r="M2180" s="626" t="s">
        <v>2033</v>
      </c>
      <c r="AB2180" s="626">
        <v>1104.03</v>
      </c>
      <c r="AC2180" s="626" t="s">
        <v>36</v>
      </c>
      <c r="AP2180" s="1837"/>
      <c r="AQ2180" s="1837"/>
      <c r="BF2180" s="1837"/>
      <c r="BG2180" s="1837"/>
    </row>
    <row r="2181" spans="12:59">
      <c r="L2181" s="626">
        <v>206.01</v>
      </c>
      <c r="M2181" s="626" t="s">
        <v>2033</v>
      </c>
      <c r="AB2181" s="626">
        <v>1105</v>
      </c>
      <c r="AC2181" s="626" t="s">
        <v>45</v>
      </c>
      <c r="AP2181" s="1837"/>
      <c r="AQ2181" s="1837"/>
      <c r="BF2181" s="1837"/>
      <c r="BG2181" s="1837"/>
    </row>
    <row r="2182" spans="12:59">
      <c r="L2182" s="626">
        <v>206.02</v>
      </c>
      <c r="M2182" s="626" t="s">
        <v>2033</v>
      </c>
      <c r="AB2182" s="626">
        <v>1106</v>
      </c>
      <c r="AC2182" s="626" t="s">
        <v>36</v>
      </c>
      <c r="AP2182" s="1837"/>
      <c r="AQ2182" s="1837"/>
      <c r="BF2182" s="1837"/>
      <c r="BG2182" s="1837"/>
    </row>
    <row r="2183" spans="12:59">
      <c r="L2183" s="626">
        <v>207.04</v>
      </c>
      <c r="M2183" s="626" t="s">
        <v>2033</v>
      </c>
      <c r="AB2183" s="626">
        <v>1106.01</v>
      </c>
      <c r="AC2183" s="626" t="s">
        <v>45</v>
      </c>
      <c r="AP2183" s="1837"/>
      <c r="AQ2183" s="1837"/>
      <c r="BF2183" s="1837"/>
      <c r="BG2183" s="1837"/>
    </row>
    <row r="2184" spans="12:59">
      <c r="L2184" s="626">
        <v>207.05</v>
      </c>
      <c r="M2184" s="626" t="s">
        <v>2033</v>
      </c>
      <c r="AB2184" s="626">
        <v>1107</v>
      </c>
      <c r="AC2184" s="626" t="s">
        <v>45</v>
      </c>
      <c r="AP2184" s="1837"/>
      <c r="AQ2184" s="1837"/>
      <c r="BF2184" s="1837"/>
      <c r="BG2184" s="1837"/>
    </row>
    <row r="2185" spans="12:59">
      <c r="L2185" s="626">
        <v>207.06</v>
      </c>
      <c r="M2185" s="626" t="s">
        <v>2033</v>
      </c>
      <c r="AB2185" s="626">
        <v>1108</v>
      </c>
      <c r="AC2185" s="626" t="s">
        <v>45</v>
      </c>
      <c r="AP2185" s="1837"/>
      <c r="AQ2185" s="1837"/>
      <c r="BF2185" s="1837"/>
      <c r="BG2185" s="1837"/>
    </row>
    <row r="2186" spans="12:59">
      <c r="L2186" s="626">
        <v>207.07</v>
      </c>
      <c r="M2186" s="626" t="s">
        <v>2033</v>
      </c>
      <c r="AB2186" s="626">
        <v>1109.04</v>
      </c>
      <c r="AC2186" s="626" t="s">
        <v>45</v>
      </c>
      <c r="AP2186" s="1837"/>
      <c r="AQ2186" s="1837"/>
      <c r="BF2186" s="1837"/>
      <c r="BG2186" s="1837"/>
    </row>
    <row r="2187" spans="12:59">
      <c r="L2187" s="626">
        <v>207.08</v>
      </c>
      <c r="M2187" s="626" t="s">
        <v>2033</v>
      </c>
      <c r="AB2187" s="626">
        <v>2103</v>
      </c>
      <c r="AC2187" s="626" t="s">
        <v>66</v>
      </c>
      <c r="AP2187" s="1837"/>
      <c r="AQ2187" s="1837"/>
      <c r="BF2187" s="1837"/>
      <c r="BG2187" s="1837"/>
    </row>
    <row r="2188" spans="12:59">
      <c r="L2188" s="626">
        <v>207.1</v>
      </c>
      <c r="M2188" s="626" t="s">
        <v>2033</v>
      </c>
      <c r="AB2188" s="626">
        <v>2104</v>
      </c>
      <c r="AC2188" s="626" t="s">
        <v>66</v>
      </c>
      <c r="AP2188" s="1837"/>
      <c r="AQ2188" s="1837"/>
      <c r="BF2188" s="1837"/>
      <c r="BG2188" s="1837"/>
    </row>
    <row r="2189" spans="12:59">
      <c r="L2189" s="626">
        <v>207.11</v>
      </c>
      <c r="M2189" s="626" t="s">
        <v>2033</v>
      </c>
      <c r="AB2189" s="626">
        <v>2105</v>
      </c>
      <c r="AC2189" s="626" t="s">
        <v>66</v>
      </c>
      <c r="AP2189" s="1837"/>
      <c r="AQ2189" s="1837"/>
      <c r="BF2189" s="1837"/>
      <c r="BG2189" s="1837"/>
    </row>
    <row r="2190" spans="12:59">
      <c r="L2190" s="626">
        <v>208.01</v>
      </c>
      <c r="M2190" s="626" t="s">
        <v>2033</v>
      </c>
      <c r="AB2190" s="626">
        <v>2107</v>
      </c>
      <c r="AC2190" s="626" t="s">
        <v>66</v>
      </c>
      <c r="AP2190" s="1837"/>
      <c r="AQ2190" s="1837"/>
      <c r="BF2190" s="1837"/>
      <c r="BG2190" s="1837"/>
    </row>
    <row r="2191" spans="12:59">
      <c r="L2191" s="626">
        <v>208.02</v>
      </c>
      <c r="M2191" s="626" t="s">
        <v>2033</v>
      </c>
      <c r="AB2191" s="626">
        <v>2108</v>
      </c>
      <c r="AC2191" s="626" t="s">
        <v>66</v>
      </c>
      <c r="AP2191" s="1837"/>
      <c r="AQ2191" s="1837"/>
      <c r="BF2191" s="1837"/>
      <c r="BG2191" s="1837"/>
    </row>
    <row r="2192" spans="12:59">
      <c r="L2192" s="626">
        <v>208.03</v>
      </c>
      <c r="M2192" s="626" t="s">
        <v>2033</v>
      </c>
      <c r="AB2192" s="626">
        <v>2110</v>
      </c>
      <c r="AC2192" s="626" t="s">
        <v>66</v>
      </c>
      <c r="AP2192" s="1837"/>
      <c r="AQ2192" s="1837"/>
      <c r="BF2192" s="1837"/>
      <c r="BG2192" s="1837"/>
    </row>
    <row r="2193" spans="12:59">
      <c r="L2193" s="626">
        <v>208.05</v>
      </c>
      <c r="M2193" s="626" t="s">
        <v>2033</v>
      </c>
      <c r="AB2193" s="626">
        <v>2501.02</v>
      </c>
      <c r="AC2193" s="626" t="s">
        <v>67</v>
      </c>
      <c r="AP2193" s="1837"/>
      <c r="AQ2193" s="1837"/>
      <c r="BF2193" s="1837"/>
      <c r="BG2193" s="1837"/>
    </row>
    <row r="2194" spans="12:59">
      <c r="L2194" s="626">
        <v>208.06</v>
      </c>
      <c r="M2194" s="626" t="s">
        <v>2033</v>
      </c>
      <c r="AB2194" s="626">
        <v>2502</v>
      </c>
      <c r="AC2194" s="626" t="s">
        <v>67</v>
      </c>
      <c r="AP2194" s="1837"/>
      <c r="AQ2194" s="1837"/>
      <c r="BF2194" s="1837"/>
      <c r="BG2194" s="1837"/>
    </row>
    <row r="2195" spans="12:59">
      <c r="L2195" s="626">
        <v>208.07</v>
      </c>
      <c r="M2195" s="626" t="s">
        <v>2033</v>
      </c>
      <c r="AB2195" s="626">
        <v>3808</v>
      </c>
      <c r="AC2195" s="626" t="s">
        <v>94</v>
      </c>
      <c r="AP2195" s="1837"/>
      <c r="AQ2195" s="1837"/>
      <c r="BF2195" s="1837"/>
      <c r="BG2195" s="1837"/>
    </row>
    <row r="2196" spans="12:59">
      <c r="L2196" s="626">
        <v>209.02</v>
      </c>
      <c r="M2196" s="626" t="s">
        <v>2033</v>
      </c>
      <c r="AB2196" s="626">
        <v>3810</v>
      </c>
      <c r="AC2196" s="626" t="s">
        <v>94</v>
      </c>
      <c r="AP2196" s="1837"/>
      <c r="AQ2196" s="1837"/>
      <c r="BF2196" s="1837"/>
      <c r="BG2196" s="1837"/>
    </row>
    <row r="2197" spans="12:59">
      <c r="L2197" s="626">
        <v>212.04</v>
      </c>
      <c r="M2197" s="626" t="s">
        <v>2033</v>
      </c>
      <c r="AB2197" s="626">
        <v>3811.02</v>
      </c>
      <c r="AC2197" s="626" t="s">
        <v>94</v>
      </c>
      <c r="AP2197" s="1837"/>
      <c r="AQ2197" s="1837"/>
      <c r="BF2197" s="1837"/>
      <c r="BG2197" s="1837"/>
    </row>
    <row r="2198" spans="12:59">
      <c r="L2198" s="626">
        <v>213.02</v>
      </c>
      <c r="M2198" s="626" t="s">
        <v>2033</v>
      </c>
      <c r="AB2198" s="626">
        <v>3812.04</v>
      </c>
      <c r="AC2198" s="626" t="s">
        <v>94</v>
      </c>
      <c r="AP2198" s="1837"/>
      <c r="AQ2198" s="1837"/>
      <c r="BF2198" s="1837"/>
      <c r="BG2198" s="1837"/>
    </row>
    <row r="2199" spans="12:59">
      <c r="L2199" s="626">
        <v>214.03</v>
      </c>
      <c r="M2199" s="626" t="s">
        <v>2033</v>
      </c>
      <c r="AB2199" s="626">
        <v>3813</v>
      </c>
      <c r="AC2199" s="626" t="s">
        <v>94</v>
      </c>
      <c r="AP2199" s="1837"/>
      <c r="AQ2199" s="1837"/>
      <c r="BF2199" s="1837"/>
      <c r="BG2199" s="1837"/>
    </row>
    <row r="2200" spans="12:59">
      <c r="L2200" s="626">
        <v>214.04</v>
      </c>
      <c r="M2200" s="626" t="s">
        <v>2033</v>
      </c>
      <c r="AB2200" s="626">
        <v>3815.02</v>
      </c>
      <c r="AC2200" s="626" t="s">
        <v>94</v>
      </c>
      <c r="AP2200" s="1837"/>
      <c r="AQ2200" s="1837"/>
      <c r="BF2200" s="1837"/>
      <c r="BG2200" s="1837"/>
    </row>
    <row r="2201" spans="12:59">
      <c r="L2201" s="626">
        <v>214.05</v>
      </c>
      <c r="M2201" s="626" t="s">
        <v>2033</v>
      </c>
      <c r="AB2201" s="626">
        <v>3816.01</v>
      </c>
      <c r="AC2201" s="626" t="s">
        <v>94</v>
      </c>
      <c r="AP2201" s="1837"/>
      <c r="AQ2201" s="1837"/>
      <c r="BF2201" s="1837"/>
      <c r="BG2201" s="1837"/>
    </row>
    <row r="2202" spans="12:59">
      <c r="L2202" s="626">
        <v>214.06</v>
      </c>
      <c r="M2202" s="626" t="s">
        <v>2033</v>
      </c>
      <c r="AB2202" s="626">
        <v>3817.01</v>
      </c>
      <c r="AC2202" s="626" t="s">
        <v>94</v>
      </c>
      <c r="AP2202" s="1837"/>
      <c r="AQ2202" s="1837"/>
      <c r="BF2202" s="1837"/>
      <c r="BG2202" s="1837"/>
    </row>
    <row r="2203" spans="12:59">
      <c r="L2203" s="626">
        <v>214.07</v>
      </c>
      <c r="M2203" s="626" t="s">
        <v>2033</v>
      </c>
      <c r="AB2203" s="626">
        <v>3818.03</v>
      </c>
      <c r="AC2203" s="626" t="s">
        <v>94</v>
      </c>
      <c r="AP2203" s="1837"/>
      <c r="AQ2203" s="1837"/>
      <c r="BF2203" s="1837"/>
      <c r="BG2203" s="1837"/>
    </row>
    <row r="2204" spans="12:59">
      <c r="L2204" s="626">
        <v>3808</v>
      </c>
      <c r="M2204" s="626" t="s">
        <v>2033</v>
      </c>
      <c r="AB2204" s="626">
        <v>3818.04</v>
      </c>
      <c r="AC2204" s="626" t="s">
        <v>94</v>
      </c>
      <c r="AP2204" s="1837"/>
      <c r="AQ2204" s="1837"/>
      <c r="BF2204" s="1837"/>
      <c r="BG2204" s="1837"/>
    </row>
    <row r="2205" spans="12:59">
      <c r="L2205" s="626">
        <v>3810</v>
      </c>
      <c r="M2205" s="626" t="s">
        <v>2033</v>
      </c>
      <c r="AB2205" s="626">
        <v>3819</v>
      </c>
      <c r="AC2205" s="626" t="s">
        <v>94</v>
      </c>
      <c r="AP2205" s="1837"/>
      <c r="AQ2205" s="1837"/>
      <c r="BF2205" s="1837"/>
      <c r="BG2205" s="1837"/>
    </row>
    <row r="2206" spans="12:59">
      <c r="L2206" s="626">
        <v>3811.02</v>
      </c>
      <c r="M2206" s="626" t="s">
        <v>2033</v>
      </c>
      <c r="AB2206" s="626">
        <v>3820.03</v>
      </c>
      <c r="AC2206" s="626" t="s">
        <v>94</v>
      </c>
      <c r="AP2206" s="1837"/>
      <c r="AQ2206" s="1837"/>
      <c r="BF2206" s="1837"/>
      <c r="BG2206" s="1837"/>
    </row>
    <row r="2207" spans="12:59">
      <c r="L2207" s="626">
        <v>3812.04</v>
      </c>
      <c r="M2207" s="626" t="s">
        <v>2033</v>
      </c>
      <c r="AB2207" s="626">
        <v>3820.06</v>
      </c>
      <c r="AC2207" s="626" t="s">
        <v>94</v>
      </c>
      <c r="AP2207" s="1837"/>
      <c r="AQ2207" s="1837"/>
      <c r="BF2207" s="1837"/>
      <c r="BG2207" s="1837"/>
    </row>
    <row r="2208" spans="12:59">
      <c r="L2208" s="626">
        <v>3813</v>
      </c>
      <c r="M2208" s="626" t="s">
        <v>2033</v>
      </c>
      <c r="AB2208" s="626">
        <v>3820.07</v>
      </c>
      <c r="AC2208" s="626" t="s">
        <v>94</v>
      </c>
      <c r="AP2208" s="1837"/>
      <c r="AQ2208" s="1837"/>
      <c r="BF2208" s="1837"/>
      <c r="BG2208" s="1837"/>
    </row>
    <row r="2209" spans="12:59">
      <c r="L2209" s="626">
        <v>3815.02</v>
      </c>
      <c r="M2209" s="626" t="s">
        <v>2033</v>
      </c>
      <c r="AB2209" s="626">
        <v>3820.08</v>
      </c>
      <c r="AC2209" s="626" t="s">
        <v>94</v>
      </c>
      <c r="AP2209" s="1837"/>
      <c r="AQ2209" s="1837"/>
      <c r="BF2209" s="1837"/>
      <c r="BG2209" s="1837"/>
    </row>
    <row r="2210" spans="12:59">
      <c r="L2210" s="626">
        <v>3816.01</v>
      </c>
      <c r="M2210" s="626" t="s">
        <v>2033</v>
      </c>
      <c r="AB2210" s="626">
        <v>3821.06</v>
      </c>
      <c r="AC2210" s="626" t="s">
        <v>94</v>
      </c>
      <c r="AP2210" s="1837"/>
      <c r="AQ2210" s="1837"/>
      <c r="BF2210" s="1837"/>
      <c r="BG2210" s="1837"/>
    </row>
    <row r="2211" spans="12:59">
      <c r="L2211" s="626">
        <v>3817.01</v>
      </c>
      <c r="M2211" s="626" t="s">
        <v>2033</v>
      </c>
      <c r="AB2211" s="626">
        <v>3821.08</v>
      </c>
      <c r="AC2211" s="626" t="s">
        <v>94</v>
      </c>
      <c r="AP2211" s="1837"/>
      <c r="AQ2211" s="1837"/>
      <c r="BF2211" s="1837"/>
      <c r="BG2211" s="1837"/>
    </row>
    <row r="2212" spans="12:59">
      <c r="L2212" s="626">
        <v>3818.03</v>
      </c>
      <c r="M2212" s="626" t="s">
        <v>2033</v>
      </c>
      <c r="AB2212" s="626">
        <v>3821.09</v>
      </c>
      <c r="AC2212" s="626" t="s">
        <v>94</v>
      </c>
      <c r="AP2212" s="1837"/>
      <c r="AQ2212" s="1837"/>
      <c r="BF2212" s="1837"/>
      <c r="BG2212" s="1837"/>
    </row>
    <row r="2213" spans="12:59">
      <c r="L2213" s="626">
        <v>3818.04</v>
      </c>
      <c r="M2213" s="626" t="s">
        <v>2033</v>
      </c>
      <c r="AB2213" s="626">
        <v>3821.1</v>
      </c>
      <c r="AC2213" s="626" t="s">
        <v>94</v>
      </c>
      <c r="AP2213" s="1837"/>
      <c r="AQ2213" s="1837"/>
      <c r="BF2213" s="1837"/>
      <c r="BG2213" s="1837"/>
    </row>
    <row r="2214" spans="12:59">
      <c r="L2214" s="626">
        <v>3819</v>
      </c>
      <c r="M2214" s="626" t="s">
        <v>2033</v>
      </c>
      <c r="AB2214" s="626">
        <v>3821.11</v>
      </c>
      <c r="AC2214" s="626" t="s">
        <v>94</v>
      </c>
      <c r="AP2214" s="1837"/>
      <c r="AQ2214" s="1837"/>
      <c r="BF2214" s="1837"/>
      <c r="BG2214" s="1837"/>
    </row>
    <row r="2215" spans="12:59">
      <c r="L2215" s="626">
        <v>3820.03</v>
      </c>
      <c r="M2215" s="626" t="s">
        <v>2033</v>
      </c>
      <c r="AB2215" s="626">
        <v>3821.12</v>
      </c>
      <c r="AC2215" s="626" t="s">
        <v>94</v>
      </c>
      <c r="AP2215" s="1837"/>
      <c r="AQ2215" s="1837"/>
      <c r="BF2215" s="1837"/>
      <c r="BG2215" s="1837"/>
    </row>
    <row r="2216" spans="12:59">
      <c r="L2216" s="626">
        <v>3820.06</v>
      </c>
      <c r="M2216" s="626" t="s">
        <v>2033</v>
      </c>
      <c r="AB2216" s="626">
        <v>3821.13</v>
      </c>
      <c r="AC2216" s="626" t="s">
        <v>94</v>
      </c>
      <c r="AP2216" s="1837"/>
      <c r="AQ2216" s="1837"/>
      <c r="BF2216" s="1837"/>
      <c r="BG2216" s="1837"/>
    </row>
    <row r="2217" spans="12:59">
      <c r="L2217" s="626">
        <v>3820.07</v>
      </c>
      <c r="M2217" s="626" t="s">
        <v>2033</v>
      </c>
      <c r="AB2217" s="626">
        <v>3822</v>
      </c>
      <c r="AC2217" s="626" t="s">
        <v>94</v>
      </c>
      <c r="AP2217" s="1837"/>
      <c r="AQ2217" s="1837"/>
      <c r="BF2217" s="1837"/>
      <c r="BG2217" s="1837"/>
    </row>
    <row r="2218" spans="12:59">
      <c r="L2218" s="626">
        <v>3820.08</v>
      </c>
      <c r="M2218" s="626" t="s">
        <v>2033</v>
      </c>
      <c r="AB2218" s="626">
        <v>4501.01</v>
      </c>
      <c r="AC2218" s="626" t="s">
        <v>42</v>
      </c>
      <c r="AP2218" s="1837"/>
      <c r="AQ2218" s="1837"/>
      <c r="BF2218" s="1837"/>
      <c r="BG2218" s="1837"/>
    </row>
    <row r="2219" spans="12:59">
      <c r="L2219" s="626">
        <v>3821.06</v>
      </c>
      <c r="M2219" s="626" t="s">
        <v>2033</v>
      </c>
      <c r="AB2219" s="626">
        <v>4503.0200000000004</v>
      </c>
      <c r="AC2219" s="626" t="s">
        <v>42</v>
      </c>
      <c r="AP2219" s="1837"/>
      <c r="AQ2219" s="1837"/>
      <c r="BF2219" s="1837"/>
      <c r="BG2219" s="1837"/>
    </row>
    <row r="2220" spans="12:59">
      <c r="L2220" s="626">
        <v>3821.08</v>
      </c>
      <c r="M2220" s="626" t="s">
        <v>2033</v>
      </c>
      <c r="AB2220" s="626">
        <v>4503.04</v>
      </c>
      <c r="AC2220" s="626" t="s">
        <v>42</v>
      </c>
      <c r="AP2220" s="1837"/>
      <c r="AQ2220" s="1837"/>
      <c r="BF2220" s="1837"/>
      <c r="BG2220" s="1837"/>
    </row>
    <row r="2221" spans="12:59">
      <c r="L2221" s="626">
        <v>3821.09</v>
      </c>
      <c r="M2221" s="626" t="s">
        <v>2033</v>
      </c>
      <c r="AB2221" s="626">
        <v>4504</v>
      </c>
      <c r="AC2221" s="626" t="s">
        <v>42</v>
      </c>
      <c r="AP2221" s="1837"/>
      <c r="AQ2221" s="1837"/>
      <c r="BF2221" s="1837"/>
      <c r="BG2221" s="1837"/>
    </row>
    <row r="2222" spans="12:59">
      <c r="L2222" s="626">
        <v>3821.1</v>
      </c>
      <c r="M2222" s="626" t="s">
        <v>2033</v>
      </c>
      <c r="AB2222" s="626">
        <v>4505</v>
      </c>
      <c r="AC2222" s="626" t="s">
        <v>42</v>
      </c>
      <c r="AP2222" s="1837"/>
      <c r="AQ2222" s="1837"/>
      <c r="BF2222" s="1837"/>
      <c r="BG2222" s="1837"/>
    </row>
    <row r="2223" spans="12:59">
      <c r="L2223" s="626">
        <v>3821.11</v>
      </c>
      <c r="M2223" s="626" t="s">
        <v>2033</v>
      </c>
      <c r="AB2223" s="626">
        <v>4506.01</v>
      </c>
      <c r="AC2223" s="626" t="s">
        <v>42</v>
      </c>
      <c r="AP2223" s="1837"/>
      <c r="AQ2223" s="1837"/>
      <c r="BF2223" s="1837"/>
      <c r="BG2223" s="1837"/>
    </row>
    <row r="2224" spans="12:59">
      <c r="L2224" s="626">
        <v>3821.12</v>
      </c>
      <c r="M2224" s="626" t="s">
        <v>2033</v>
      </c>
      <c r="AB2224" s="626">
        <v>4507.01</v>
      </c>
      <c r="AC2224" s="626" t="s">
        <v>42</v>
      </c>
      <c r="AP2224" s="1837"/>
      <c r="AQ2224" s="1837"/>
      <c r="BF2224" s="1837"/>
      <c r="BG2224" s="1837"/>
    </row>
    <row r="2225" spans="12:59">
      <c r="L2225" s="626">
        <v>3821.13</v>
      </c>
      <c r="M2225" s="626" t="s">
        <v>2033</v>
      </c>
      <c r="AB2225" s="626">
        <v>4509.01</v>
      </c>
      <c r="AC2225" s="626" t="s">
        <v>42</v>
      </c>
      <c r="AP2225" s="1837"/>
      <c r="AQ2225" s="1837"/>
      <c r="BF2225" s="1837"/>
      <c r="BG2225" s="1837"/>
    </row>
    <row r="2226" spans="12:59">
      <c r="L2226" s="626">
        <v>3822</v>
      </c>
      <c r="M2226" s="626" t="s">
        <v>2033</v>
      </c>
      <c r="AB2226" s="626">
        <v>4509.0200000000004</v>
      </c>
      <c r="AC2226" s="626" t="s">
        <v>42</v>
      </c>
      <c r="AP2226" s="1837"/>
      <c r="AQ2226" s="1837"/>
      <c r="BF2226" s="1837"/>
      <c r="BG2226" s="1837"/>
    </row>
    <row r="2227" spans="12:59">
      <c r="L2227" s="626">
        <v>9101</v>
      </c>
      <c r="M2227" s="626" t="s">
        <v>98</v>
      </c>
      <c r="AB2227" s="626">
        <v>4510</v>
      </c>
      <c r="AC2227" s="626" t="s">
        <v>42</v>
      </c>
      <c r="AP2227" s="1837"/>
      <c r="AQ2227" s="1837"/>
      <c r="BF2227" s="1837"/>
      <c r="BG2227" s="1837"/>
    </row>
    <row r="2228" spans="12:59">
      <c r="L2228" s="626">
        <v>9105</v>
      </c>
      <c r="M2228" s="626" t="s">
        <v>98</v>
      </c>
      <c r="AB2228" s="626">
        <v>4511.01</v>
      </c>
      <c r="AC2228" s="626" t="s">
        <v>42</v>
      </c>
      <c r="AP2228" s="1837"/>
      <c r="AQ2228" s="1837"/>
      <c r="BF2228" s="1837"/>
      <c r="BG2228" s="1837"/>
    </row>
    <row r="2229" spans="12:59">
      <c r="L2229" s="626">
        <v>9108</v>
      </c>
      <c r="M2229" s="626" t="s">
        <v>98</v>
      </c>
      <c r="AB2229" s="626">
        <v>4516.01</v>
      </c>
      <c r="AC2229" s="626" t="s">
        <v>42</v>
      </c>
      <c r="AP2229" s="1837"/>
      <c r="AQ2229" s="1837"/>
      <c r="BF2229" s="1837"/>
      <c r="BG2229" s="1837"/>
    </row>
    <row r="2230" spans="12:59">
      <c r="L2230" s="626">
        <v>9112</v>
      </c>
      <c r="M2230" s="626" t="s">
        <v>98</v>
      </c>
      <c r="AB2230" s="626">
        <v>4516.0200000000004</v>
      </c>
      <c r="AC2230" s="626" t="s">
        <v>42</v>
      </c>
      <c r="AP2230" s="1837"/>
      <c r="AQ2230" s="1837"/>
      <c r="BF2230" s="1837"/>
      <c r="BG2230" s="1837"/>
    </row>
    <row r="2231" spans="12:59">
      <c r="L2231" s="626">
        <v>9113.01</v>
      </c>
      <c r="M2231" s="626" t="s">
        <v>98</v>
      </c>
      <c r="AB2231" s="626">
        <v>4517</v>
      </c>
      <c r="AC2231" s="626" t="s">
        <v>42</v>
      </c>
      <c r="AP2231" s="1837"/>
      <c r="AQ2231" s="1837"/>
      <c r="BF2231" s="1837"/>
      <c r="BG2231" s="1837"/>
    </row>
    <row r="2232" spans="12:59">
      <c r="L2232" s="626">
        <v>9114</v>
      </c>
      <c r="M2232" s="626" t="s">
        <v>98</v>
      </c>
      <c r="AB2232" s="626">
        <v>9101</v>
      </c>
      <c r="AC2232" s="626" t="s">
        <v>98</v>
      </c>
      <c r="AP2232" s="1837"/>
      <c r="AQ2232" s="1837"/>
      <c r="BF2232" s="1837"/>
      <c r="BG2232" s="1837"/>
    </row>
    <row r="2233" spans="12:59">
      <c r="L2233" s="626">
        <v>9115</v>
      </c>
      <c r="M2233" s="626" t="s">
        <v>98</v>
      </c>
      <c r="AB2233" s="626">
        <v>9101.01</v>
      </c>
      <c r="AC2233" s="626" t="s">
        <v>84</v>
      </c>
      <c r="AP2233" s="1837"/>
      <c r="AQ2233" s="1837"/>
      <c r="BF2233" s="1837"/>
      <c r="BG2233" s="1837"/>
    </row>
    <row r="2234" spans="12:59">
      <c r="L2234" s="626">
        <v>9117.01</v>
      </c>
      <c r="M2234" s="626" t="s">
        <v>98</v>
      </c>
      <c r="AB2234" s="626">
        <v>9101.02</v>
      </c>
      <c r="AC2234" s="626" t="s">
        <v>84</v>
      </c>
      <c r="AP2234" s="1837"/>
      <c r="AQ2234" s="1837"/>
      <c r="BF2234" s="1837"/>
      <c r="BG2234" s="1837"/>
    </row>
    <row r="2235" spans="12:59">
      <c r="L2235" s="626">
        <v>9117.02</v>
      </c>
      <c r="M2235" s="626" t="s">
        <v>98</v>
      </c>
      <c r="AB2235" s="626">
        <v>9104.01</v>
      </c>
      <c r="AC2235" s="626" t="s">
        <v>84</v>
      </c>
      <c r="AP2235" s="1837"/>
      <c r="AQ2235" s="1837"/>
      <c r="BF2235" s="1837"/>
      <c r="BG2235" s="1837"/>
    </row>
    <row r="2236" spans="12:59">
      <c r="L2236" s="626">
        <v>9701</v>
      </c>
      <c r="M2236" s="626" t="s">
        <v>99</v>
      </c>
      <c r="AB2236" s="626">
        <v>9105</v>
      </c>
      <c r="AC2236" s="626" t="s">
        <v>84</v>
      </c>
      <c r="AP2236" s="1837"/>
      <c r="AQ2236" s="1837"/>
      <c r="BF2236" s="1837"/>
      <c r="BG2236" s="1837"/>
    </row>
    <row r="2237" spans="12:59">
      <c r="L2237" s="626">
        <v>9703.02</v>
      </c>
      <c r="M2237" s="626" t="s">
        <v>99</v>
      </c>
      <c r="AB2237" s="626">
        <v>9105</v>
      </c>
      <c r="AC2237" s="626" t="s">
        <v>98</v>
      </c>
      <c r="AP2237" s="1837"/>
      <c r="AQ2237" s="1837"/>
      <c r="BF2237" s="1837"/>
      <c r="BG2237" s="1837"/>
    </row>
    <row r="2238" spans="12:59">
      <c r="L2238" s="626">
        <v>9706</v>
      </c>
      <c r="M2238" s="626" t="s">
        <v>99</v>
      </c>
      <c r="AB2238" s="626">
        <v>9106.01</v>
      </c>
      <c r="AC2238" s="626" t="s">
        <v>84</v>
      </c>
      <c r="AP2238" s="1837"/>
      <c r="AQ2238" s="1837"/>
      <c r="BF2238" s="1837"/>
      <c r="BG2238" s="1837"/>
    </row>
    <row r="2239" spans="12:59">
      <c r="L2239" s="626">
        <v>9501</v>
      </c>
      <c r="M2239" s="626" t="s">
        <v>100</v>
      </c>
      <c r="AB2239" s="626">
        <v>9106.02</v>
      </c>
      <c r="AC2239" s="626" t="s">
        <v>84</v>
      </c>
      <c r="AP2239" s="1837"/>
      <c r="AQ2239" s="1837"/>
      <c r="BF2239" s="1837"/>
      <c r="BG2239" s="1837"/>
    </row>
    <row r="2240" spans="12:59">
      <c r="L2240" s="626">
        <v>9502</v>
      </c>
      <c r="M2240" s="626" t="s">
        <v>100</v>
      </c>
      <c r="AB2240" s="626">
        <v>9108</v>
      </c>
      <c r="AC2240" s="626" t="s">
        <v>98</v>
      </c>
      <c r="AP2240" s="1837"/>
      <c r="AQ2240" s="1837"/>
      <c r="BF2240" s="1837"/>
      <c r="BG2240" s="1837"/>
    </row>
    <row r="2241" spans="12:59">
      <c r="L2241" s="626">
        <v>9504</v>
      </c>
      <c r="M2241" s="626" t="s">
        <v>100</v>
      </c>
      <c r="AB2241" s="626">
        <v>9112</v>
      </c>
      <c r="AC2241" s="626" t="s">
        <v>98</v>
      </c>
      <c r="AP2241" s="1837"/>
      <c r="AQ2241" s="1837"/>
      <c r="BF2241" s="1837"/>
      <c r="BG2241" s="1837"/>
    </row>
    <row r="2242" spans="12:59">
      <c r="L2242" s="626">
        <v>9601</v>
      </c>
      <c r="M2242" s="626" t="s">
        <v>101</v>
      </c>
      <c r="AB2242" s="626">
        <v>9113.01</v>
      </c>
      <c r="AC2242" s="626" t="s">
        <v>98</v>
      </c>
      <c r="AP2242" s="1837"/>
      <c r="AQ2242" s="1837"/>
      <c r="BF2242" s="1837"/>
      <c r="BG2242" s="1837"/>
    </row>
    <row r="2243" spans="12:59">
      <c r="L2243" s="626">
        <v>9603</v>
      </c>
      <c r="M2243" s="626" t="s">
        <v>101</v>
      </c>
      <c r="AB2243" s="626">
        <v>9114</v>
      </c>
      <c r="AC2243" s="626" t="s">
        <v>98</v>
      </c>
      <c r="AP2243" s="1837"/>
      <c r="AQ2243" s="1837"/>
      <c r="BF2243" s="1837"/>
      <c r="BG2243" s="1837"/>
    </row>
    <row r="2244" spans="12:59">
      <c r="L2244" s="626">
        <v>801</v>
      </c>
      <c r="M2244" s="626" t="s">
        <v>102</v>
      </c>
      <c r="AB2244" s="626">
        <v>9115</v>
      </c>
      <c r="AC2244" s="626" t="s">
        <v>98</v>
      </c>
      <c r="AP2244" s="1837"/>
      <c r="AQ2244" s="1837"/>
      <c r="BF2244" s="1837"/>
      <c r="BG2244" s="1837"/>
    </row>
    <row r="2245" spans="12:59">
      <c r="L2245" s="626">
        <v>802.01</v>
      </c>
      <c r="M2245" s="626" t="s">
        <v>102</v>
      </c>
      <c r="AB2245" s="626">
        <v>9117.01</v>
      </c>
      <c r="AC2245" s="626" t="s">
        <v>98</v>
      </c>
      <c r="AP2245" s="1837"/>
      <c r="AQ2245" s="1837"/>
      <c r="BF2245" s="1837"/>
      <c r="BG2245" s="1837"/>
    </row>
    <row r="2246" spans="12:59">
      <c r="L2246" s="626">
        <v>803</v>
      </c>
      <c r="M2246" s="626" t="s">
        <v>102</v>
      </c>
      <c r="AB2246" s="626">
        <v>9117.02</v>
      </c>
      <c r="AC2246" s="626" t="s">
        <v>98</v>
      </c>
      <c r="AP2246" s="1837"/>
      <c r="AQ2246" s="1837"/>
      <c r="BF2246" s="1837"/>
      <c r="BG2246" s="1837"/>
    </row>
    <row r="2247" spans="12:59">
      <c r="L2247" s="626">
        <v>804</v>
      </c>
      <c r="M2247" s="626" t="s">
        <v>102</v>
      </c>
      <c r="AB2247" s="626">
        <v>9501</v>
      </c>
      <c r="AC2247" s="626" t="s">
        <v>73</v>
      </c>
      <c r="AP2247" s="1837"/>
      <c r="AQ2247" s="1837"/>
      <c r="BF2247" s="1837"/>
      <c r="BG2247" s="1837"/>
    </row>
    <row r="2248" spans="12:59">
      <c r="L2248" s="626">
        <v>805</v>
      </c>
      <c r="M2248" s="626" t="s">
        <v>102</v>
      </c>
      <c r="AB2248" s="626">
        <v>9501</v>
      </c>
      <c r="AC2248" s="626" t="s">
        <v>92</v>
      </c>
      <c r="AP2248" s="1837"/>
      <c r="AQ2248" s="1837"/>
      <c r="BF2248" s="1837"/>
      <c r="BG2248" s="1837"/>
    </row>
    <row r="2249" spans="12:59">
      <c r="L2249" s="626">
        <v>806</v>
      </c>
      <c r="M2249" s="626" t="s">
        <v>102</v>
      </c>
      <c r="AB2249" s="626">
        <v>9501</v>
      </c>
      <c r="AC2249" s="626" t="s">
        <v>100</v>
      </c>
      <c r="AP2249" s="1837"/>
      <c r="AQ2249" s="1837"/>
      <c r="BF2249" s="1837"/>
      <c r="BG2249" s="1837"/>
    </row>
    <row r="2250" spans="12:59">
      <c r="L2250" s="626">
        <v>807</v>
      </c>
      <c r="M2250" s="626" t="s">
        <v>102</v>
      </c>
      <c r="AB2250" s="626">
        <v>9501.01</v>
      </c>
      <c r="AC2250" s="626" t="s">
        <v>104</v>
      </c>
      <c r="AP2250" s="1837"/>
      <c r="AQ2250" s="1837"/>
      <c r="BF2250" s="1837"/>
      <c r="BG2250" s="1837"/>
    </row>
    <row r="2251" spans="12:59">
      <c r="L2251" s="626">
        <v>808.03</v>
      </c>
      <c r="M2251" s="626" t="s">
        <v>102</v>
      </c>
      <c r="AB2251" s="626">
        <v>9501.02</v>
      </c>
      <c r="AC2251" s="626" t="s">
        <v>104</v>
      </c>
      <c r="AP2251" s="1837"/>
      <c r="AQ2251" s="1837"/>
      <c r="BF2251" s="1837"/>
      <c r="BG2251" s="1837"/>
    </row>
    <row r="2252" spans="12:59">
      <c r="L2252" s="626">
        <v>808.06</v>
      </c>
      <c r="M2252" s="626" t="s">
        <v>102</v>
      </c>
      <c r="AB2252" s="626">
        <v>9502</v>
      </c>
      <c r="AC2252" s="626" t="s">
        <v>100</v>
      </c>
      <c r="AP2252" s="1837"/>
      <c r="AQ2252" s="1837"/>
      <c r="BF2252" s="1837"/>
      <c r="BG2252" s="1837"/>
    </row>
    <row r="2253" spans="12:59">
      <c r="L2253" s="626">
        <v>808.07</v>
      </c>
      <c r="M2253" s="626" t="s">
        <v>102</v>
      </c>
      <c r="AB2253" s="626">
        <v>9502.01</v>
      </c>
      <c r="AC2253" s="626" t="s">
        <v>55</v>
      </c>
      <c r="AP2253" s="1837"/>
      <c r="AQ2253" s="1837"/>
      <c r="BF2253" s="1837"/>
      <c r="BG2253" s="1837"/>
    </row>
    <row r="2254" spans="12:59">
      <c r="L2254" s="626">
        <v>811.02</v>
      </c>
      <c r="M2254" s="626" t="s">
        <v>102</v>
      </c>
      <c r="AB2254" s="626">
        <v>9502.02</v>
      </c>
      <c r="AC2254" s="626" t="s">
        <v>55</v>
      </c>
      <c r="AP2254" s="1837"/>
      <c r="AQ2254" s="1837"/>
      <c r="BF2254" s="1837"/>
      <c r="BG2254" s="1837"/>
    </row>
    <row r="2255" spans="12:59">
      <c r="L2255" s="626">
        <v>812</v>
      </c>
      <c r="M2255" s="626" t="s">
        <v>102</v>
      </c>
      <c r="AB2255" s="626">
        <v>9502.02</v>
      </c>
      <c r="AC2255" s="626" t="s">
        <v>92</v>
      </c>
      <c r="AP2255" s="1837"/>
      <c r="AQ2255" s="1837"/>
      <c r="BF2255" s="1837"/>
      <c r="BG2255" s="1837"/>
    </row>
    <row r="2256" spans="12:59">
      <c r="L2256" s="626">
        <v>813</v>
      </c>
      <c r="M2256" s="626" t="s">
        <v>102</v>
      </c>
      <c r="AB2256" s="626">
        <v>9502.0300000000007</v>
      </c>
      <c r="AC2256" s="626" t="s">
        <v>55</v>
      </c>
      <c r="AP2256" s="1837"/>
      <c r="AQ2256" s="1837"/>
      <c r="BF2256" s="1837"/>
      <c r="BG2256" s="1837"/>
    </row>
    <row r="2257" spans="12:59">
      <c r="L2257" s="626">
        <v>824.05</v>
      </c>
      <c r="M2257" s="626" t="s">
        <v>102</v>
      </c>
      <c r="AB2257" s="626">
        <v>9502.0400000000009</v>
      </c>
      <c r="AC2257" s="626" t="s">
        <v>55</v>
      </c>
      <c r="AP2257" s="1837"/>
      <c r="AQ2257" s="1837"/>
      <c r="BF2257" s="1837"/>
      <c r="BG2257" s="1837"/>
    </row>
    <row r="2258" spans="12:59">
      <c r="L2258" s="626">
        <v>824.06</v>
      </c>
      <c r="M2258" s="626" t="s">
        <v>102</v>
      </c>
      <c r="AB2258" s="626">
        <v>9503</v>
      </c>
      <c r="AC2258" s="626" t="s">
        <v>92</v>
      </c>
      <c r="AP2258" s="1837"/>
      <c r="AQ2258" s="1837"/>
      <c r="BF2258" s="1837"/>
      <c r="BG2258" s="1837"/>
    </row>
    <row r="2259" spans="12:59">
      <c r="L2259" s="626">
        <v>824.1</v>
      </c>
      <c r="M2259" s="626" t="s">
        <v>102</v>
      </c>
      <c r="AB2259" s="626">
        <v>9503.02</v>
      </c>
      <c r="AC2259" s="626" t="s">
        <v>104</v>
      </c>
      <c r="AP2259" s="1837"/>
      <c r="AQ2259" s="1837"/>
      <c r="BF2259" s="1837"/>
      <c r="BG2259" s="1837"/>
    </row>
    <row r="2260" spans="12:59">
      <c r="L2260" s="626">
        <v>824.11</v>
      </c>
      <c r="M2260" s="626" t="s">
        <v>102</v>
      </c>
      <c r="AB2260" s="626">
        <v>9504</v>
      </c>
      <c r="AC2260" s="626" t="s">
        <v>92</v>
      </c>
      <c r="AP2260" s="1837"/>
      <c r="AQ2260" s="1837"/>
      <c r="BF2260" s="1837"/>
      <c r="BG2260" s="1837"/>
    </row>
    <row r="2261" spans="12:59">
      <c r="L2261" s="626">
        <v>824.12</v>
      </c>
      <c r="M2261" s="626" t="s">
        <v>102</v>
      </c>
      <c r="AB2261" s="626">
        <v>9504</v>
      </c>
      <c r="AC2261" s="626" t="s">
        <v>100</v>
      </c>
      <c r="AP2261" s="1837"/>
      <c r="AQ2261" s="1837"/>
      <c r="BF2261" s="1837"/>
      <c r="BG2261" s="1837"/>
    </row>
    <row r="2262" spans="12:59">
      <c r="L2262" s="626">
        <v>824.13</v>
      </c>
      <c r="M2262" s="626" t="s">
        <v>102</v>
      </c>
      <c r="AB2262" s="626">
        <v>9505.02</v>
      </c>
      <c r="AC2262" s="626" t="s">
        <v>104</v>
      </c>
      <c r="AP2262" s="1837"/>
      <c r="AQ2262" s="1837"/>
      <c r="BF2262" s="1837"/>
      <c r="BG2262" s="1837"/>
    </row>
    <row r="2263" spans="12:59">
      <c r="L2263" s="626">
        <v>825.08</v>
      </c>
      <c r="M2263" s="626" t="s">
        <v>102</v>
      </c>
      <c r="AB2263" s="626">
        <v>9506</v>
      </c>
      <c r="AC2263" s="626" t="s">
        <v>92</v>
      </c>
      <c r="AP2263" s="1837"/>
      <c r="AQ2263" s="1837"/>
      <c r="BF2263" s="1837"/>
      <c r="BG2263" s="1837"/>
    </row>
    <row r="2264" spans="12:59">
      <c r="L2264" s="626">
        <v>825.09</v>
      </c>
      <c r="M2264" s="626" t="s">
        <v>102</v>
      </c>
      <c r="AB2264" s="626">
        <v>9506.01</v>
      </c>
      <c r="AC2264" s="626" t="s">
        <v>104</v>
      </c>
      <c r="AP2264" s="1837"/>
      <c r="AQ2264" s="1837"/>
      <c r="BF2264" s="1837"/>
      <c r="BG2264" s="1837"/>
    </row>
    <row r="2265" spans="12:59">
      <c r="L2265" s="626">
        <v>826.04</v>
      </c>
      <c r="M2265" s="626" t="s">
        <v>102</v>
      </c>
      <c r="AB2265" s="626">
        <v>9506.02</v>
      </c>
      <c r="AC2265" s="626" t="s">
        <v>104</v>
      </c>
      <c r="AP2265" s="1837"/>
      <c r="AQ2265" s="1837"/>
      <c r="BF2265" s="1837"/>
      <c r="BG2265" s="1837"/>
    </row>
    <row r="2266" spans="12:59">
      <c r="L2266" s="626">
        <v>826.05</v>
      </c>
      <c r="M2266" s="626" t="s">
        <v>102</v>
      </c>
      <c r="AB2266" s="626">
        <v>9506.0300000000007</v>
      </c>
      <c r="AC2266" s="626" t="s">
        <v>104</v>
      </c>
      <c r="AP2266" s="1837"/>
      <c r="AQ2266" s="1837"/>
      <c r="BF2266" s="1837"/>
      <c r="BG2266" s="1837"/>
    </row>
    <row r="2267" spans="12:59">
      <c r="L2267" s="626">
        <v>826.06</v>
      </c>
      <c r="M2267" s="626" t="s">
        <v>102</v>
      </c>
      <c r="AB2267" s="626">
        <v>9509</v>
      </c>
      <c r="AC2267" s="626" t="s">
        <v>92</v>
      </c>
      <c r="AP2267" s="1837"/>
      <c r="AQ2267" s="1837"/>
      <c r="BF2267" s="1837"/>
      <c r="BG2267" s="1837"/>
    </row>
    <row r="2268" spans="12:59">
      <c r="L2268" s="626">
        <v>826.07</v>
      </c>
      <c r="M2268" s="626" t="s">
        <v>102</v>
      </c>
      <c r="AB2268" s="626">
        <v>9510</v>
      </c>
      <c r="AC2268" s="626" t="s">
        <v>92</v>
      </c>
      <c r="AP2268" s="1837"/>
      <c r="AQ2268" s="1837"/>
      <c r="BF2268" s="1837"/>
      <c r="BG2268" s="1837"/>
    </row>
    <row r="2269" spans="12:59">
      <c r="L2269" s="626">
        <v>827.01</v>
      </c>
      <c r="M2269" s="626" t="s">
        <v>102</v>
      </c>
      <c r="AB2269" s="626">
        <v>9511</v>
      </c>
      <c r="AC2269" s="626" t="s">
        <v>92</v>
      </c>
      <c r="AP2269" s="1837"/>
      <c r="AQ2269" s="1837"/>
      <c r="BF2269" s="1837"/>
      <c r="BG2269" s="1837"/>
    </row>
    <row r="2270" spans="12:59">
      <c r="L2270" s="626">
        <v>827.03</v>
      </c>
      <c r="M2270" s="626" t="s">
        <v>102</v>
      </c>
      <c r="AB2270" s="626">
        <v>9513</v>
      </c>
      <c r="AC2270" s="626" t="s">
        <v>92</v>
      </c>
      <c r="AP2270" s="1837"/>
      <c r="AQ2270" s="1837"/>
      <c r="BF2270" s="1837"/>
      <c r="BG2270" s="1837"/>
    </row>
    <row r="2271" spans="12:59">
      <c r="L2271" s="626">
        <v>827.04</v>
      </c>
      <c r="M2271" s="626" t="s">
        <v>102</v>
      </c>
      <c r="AB2271" s="626">
        <v>9601</v>
      </c>
      <c r="AC2271" s="626" t="s">
        <v>101</v>
      </c>
      <c r="AP2271" s="1837"/>
      <c r="AQ2271" s="1837"/>
      <c r="BF2271" s="1837"/>
      <c r="BG2271" s="1837"/>
    </row>
    <row r="2272" spans="12:59">
      <c r="L2272" s="626">
        <v>827.05</v>
      </c>
      <c r="M2272" s="626" t="s">
        <v>102</v>
      </c>
      <c r="AB2272" s="626">
        <v>9601.01</v>
      </c>
      <c r="AC2272" s="626" t="s">
        <v>62</v>
      </c>
      <c r="AP2272" s="1837"/>
      <c r="AQ2272" s="1837"/>
      <c r="BF2272" s="1837"/>
      <c r="BG2272" s="1837"/>
    </row>
    <row r="2273" spans="12:59">
      <c r="L2273" s="626">
        <v>828.01</v>
      </c>
      <c r="M2273" s="626" t="s">
        <v>102</v>
      </c>
      <c r="AB2273" s="626">
        <v>9602</v>
      </c>
      <c r="AC2273" s="626" t="s">
        <v>57</v>
      </c>
      <c r="AP2273" s="1837"/>
      <c r="AQ2273" s="1837"/>
      <c r="BF2273" s="1837"/>
      <c r="BG2273" s="1837"/>
    </row>
    <row r="2274" spans="12:59">
      <c r="L2274" s="626">
        <v>828.02</v>
      </c>
      <c r="M2274" s="626" t="s">
        <v>102</v>
      </c>
      <c r="AB2274" s="626">
        <v>9602</v>
      </c>
      <c r="AC2274" s="626" t="s">
        <v>64</v>
      </c>
      <c r="AP2274" s="1837"/>
      <c r="AQ2274" s="1837"/>
      <c r="BF2274" s="1837"/>
      <c r="BG2274" s="1837"/>
    </row>
    <row r="2275" spans="12:59">
      <c r="L2275" s="626">
        <v>829.02</v>
      </c>
      <c r="M2275" s="626" t="s">
        <v>102</v>
      </c>
      <c r="AB2275" s="626">
        <v>9603</v>
      </c>
      <c r="AC2275" s="626" t="s">
        <v>57</v>
      </c>
      <c r="AP2275" s="1837"/>
      <c r="AQ2275" s="1837"/>
      <c r="BF2275" s="1837"/>
      <c r="BG2275" s="1837"/>
    </row>
    <row r="2276" spans="12:59">
      <c r="L2276" s="626">
        <v>829.04</v>
      </c>
      <c r="M2276" s="626" t="s">
        <v>102</v>
      </c>
      <c r="AB2276" s="626">
        <v>9603</v>
      </c>
      <c r="AC2276" s="626" t="s">
        <v>101</v>
      </c>
      <c r="AP2276" s="1837"/>
      <c r="AQ2276" s="1837"/>
      <c r="BF2276" s="1837"/>
      <c r="BG2276" s="1837"/>
    </row>
    <row r="2277" spans="12:59">
      <c r="L2277" s="626">
        <v>830.05</v>
      </c>
      <c r="M2277" s="626" t="s">
        <v>102</v>
      </c>
      <c r="AB2277" s="626">
        <v>9604</v>
      </c>
      <c r="AC2277" s="626" t="s">
        <v>62</v>
      </c>
      <c r="AP2277" s="1837"/>
      <c r="AQ2277" s="1837"/>
      <c r="BF2277" s="1837"/>
      <c r="BG2277" s="1837"/>
    </row>
    <row r="2278" spans="12:59">
      <c r="L2278" s="626">
        <v>830.06</v>
      </c>
      <c r="M2278" s="626" t="s">
        <v>102</v>
      </c>
      <c r="AB2278" s="626">
        <v>9605.02</v>
      </c>
      <c r="AC2278" s="626" t="s">
        <v>62</v>
      </c>
      <c r="AP2278" s="1837"/>
      <c r="AQ2278" s="1837"/>
      <c r="BF2278" s="1837"/>
      <c r="BG2278" s="1837"/>
    </row>
    <row r="2279" spans="12:59">
      <c r="L2279" s="626">
        <v>830.07</v>
      </c>
      <c r="M2279" s="626" t="s">
        <v>102</v>
      </c>
      <c r="AB2279" s="626">
        <v>9606.01</v>
      </c>
      <c r="AC2279" s="626" t="s">
        <v>62</v>
      </c>
      <c r="AP2279" s="1837"/>
      <c r="AQ2279" s="1837"/>
      <c r="BF2279" s="1837"/>
      <c r="BG2279" s="1837"/>
    </row>
    <row r="2280" spans="12:59">
      <c r="L2280" s="626">
        <v>830.09</v>
      </c>
      <c r="M2280" s="626" t="s">
        <v>102</v>
      </c>
      <c r="AB2280" s="626">
        <v>9606.02</v>
      </c>
      <c r="AC2280" s="626" t="s">
        <v>62</v>
      </c>
      <c r="AP2280" s="1837"/>
      <c r="AQ2280" s="1837"/>
      <c r="BF2280" s="1837"/>
      <c r="BG2280" s="1837"/>
    </row>
    <row r="2281" spans="12:59">
      <c r="L2281" s="626">
        <v>832.03</v>
      </c>
      <c r="M2281" s="626" t="s">
        <v>102</v>
      </c>
      <c r="AB2281" s="626">
        <v>9607</v>
      </c>
      <c r="AC2281" s="626" t="s">
        <v>62</v>
      </c>
      <c r="AP2281" s="1837"/>
      <c r="AQ2281" s="1837"/>
      <c r="BF2281" s="1837"/>
      <c r="BG2281" s="1837"/>
    </row>
    <row r="2282" spans="12:59">
      <c r="L2282" s="626">
        <v>832.05</v>
      </c>
      <c r="M2282" s="626" t="s">
        <v>102</v>
      </c>
      <c r="AB2282" s="626">
        <v>9610</v>
      </c>
      <c r="AC2282" s="626" t="s">
        <v>62</v>
      </c>
      <c r="AP2282" s="1837"/>
      <c r="AQ2282" s="1837"/>
      <c r="BF2282" s="1837"/>
      <c r="BG2282" s="1837"/>
    </row>
    <row r="2283" spans="12:59">
      <c r="L2283" s="626">
        <v>832.07</v>
      </c>
      <c r="M2283" s="626" t="s">
        <v>102</v>
      </c>
      <c r="AB2283" s="626">
        <v>9613.01</v>
      </c>
      <c r="AC2283" s="626" t="s">
        <v>62</v>
      </c>
      <c r="AP2283" s="1837"/>
      <c r="AQ2283" s="1837"/>
      <c r="BF2283" s="1837"/>
      <c r="BG2283" s="1837"/>
    </row>
    <row r="2284" spans="12:59">
      <c r="L2284" s="626">
        <v>832.08</v>
      </c>
      <c r="M2284" s="626" t="s">
        <v>102</v>
      </c>
      <c r="AB2284" s="626">
        <v>9613.02</v>
      </c>
      <c r="AC2284" s="626" t="s">
        <v>62</v>
      </c>
      <c r="AP2284" s="1837"/>
      <c r="AQ2284" s="1837"/>
      <c r="BF2284" s="1837"/>
      <c r="BG2284" s="1837"/>
    </row>
    <row r="2285" spans="12:59">
      <c r="L2285" s="626">
        <v>832.09</v>
      </c>
      <c r="M2285" s="626" t="s">
        <v>102</v>
      </c>
      <c r="AB2285" s="626">
        <v>9614</v>
      </c>
      <c r="AC2285" s="626" t="s">
        <v>62</v>
      </c>
      <c r="AP2285" s="1837"/>
      <c r="AQ2285" s="1837"/>
      <c r="BF2285" s="1837"/>
      <c r="BG2285" s="1837"/>
    </row>
    <row r="2286" spans="12:59">
      <c r="L2286" s="626">
        <v>901.01</v>
      </c>
      <c r="M2286" s="626" t="s">
        <v>102</v>
      </c>
      <c r="AB2286" s="626">
        <v>9616.01</v>
      </c>
      <c r="AC2286" s="626" t="s">
        <v>62</v>
      </c>
      <c r="AP2286" s="1837"/>
      <c r="AQ2286" s="1837"/>
      <c r="BF2286" s="1837"/>
      <c r="BG2286" s="1837"/>
    </row>
    <row r="2287" spans="12:59">
      <c r="L2287" s="626">
        <v>902.02</v>
      </c>
      <c r="M2287" s="626" t="s">
        <v>102</v>
      </c>
      <c r="AB2287" s="626">
        <v>9616.02</v>
      </c>
      <c r="AC2287" s="626" t="s">
        <v>62</v>
      </c>
      <c r="AP2287" s="1837"/>
      <c r="AQ2287" s="1837"/>
      <c r="BF2287" s="1837"/>
      <c r="BG2287" s="1837"/>
    </row>
    <row r="2288" spans="12:59">
      <c r="L2288" s="626">
        <v>902.03</v>
      </c>
      <c r="M2288" s="626" t="s">
        <v>102</v>
      </c>
      <c r="AB2288" s="626">
        <v>9701</v>
      </c>
      <c r="AC2288" s="626" t="s">
        <v>99</v>
      </c>
      <c r="AP2288" s="1837"/>
      <c r="AQ2288" s="1837"/>
      <c r="BF2288" s="1837"/>
      <c r="BG2288" s="1837"/>
    </row>
    <row r="2289" spans="12:59">
      <c r="L2289" s="626">
        <v>902.04</v>
      </c>
      <c r="M2289" s="626" t="s">
        <v>102</v>
      </c>
      <c r="AB2289" s="626">
        <v>9701.01</v>
      </c>
      <c r="AC2289" s="626" t="s">
        <v>59</v>
      </c>
      <c r="AP2289" s="1837"/>
      <c r="AQ2289" s="1837"/>
      <c r="BF2289" s="1837"/>
      <c r="BG2289" s="1837"/>
    </row>
    <row r="2290" spans="12:59">
      <c r="L2290" s="626">
        <v>903.04</v>
      </c>
      <c r="M2290" s="626" t="s">
        <v>102</v>
      </c>
      <c r="AB2290" s="626">
        <v>9701.01</v>
      </c>
      <c r="AC2290" s="626" t="s">
        <v>72</v>
      </c>
      <c r="AP2290" s="1837"/>
      <c r="AQ2290" s="1837"/>
      <c r="BF2290" s="1837"/>
      <c r="BG2290" s="1837"/>
    </row>
    <row r="2291" spans="12:59">
      <c r="L2291" s="626">
        <v>903.05</v>
      </c>
      <c r="M2291" s="626" t="s">
        <v>102</v>
      </c>
      <c r="AB2291" s="626">
        <v>9701.02</v>
      </c>
      <c r="AC2291" s="626" t="s">
        <v>48</v>
      </c>
      <c r="AP2291" s="1837"/>
      <c r="AQ2291" s="1837"/>
      <c r="BF2291" s="1837"/>
      <c r="BG2291" s="1837"/>
    </row>
    <row r="2292" spans="12:59">
      <c r="L2292" s="626">
        <v>903.06</v>
      </c>
      <c r="M2292" s="626" t="s">
        <v>102</v>
      </c>
      <c r="AB2292" s="626">
        <v>9701.02</v>
      </c>
      <c r="AC2292" s="626" t="s">
        <v>59</v>
      </c>
      <c r="AP2292" s="1837"/>
      <c r="AQ2292" s="1837"/>
      <c r="BF2292" s="1837"/>
      <c r="BG2292" s="1837"/>
    </row>
    <row r="2293" spans="12:59">
      <c r="L2293" s="626">
        <v>904</v>
      </c>
      <c r="M2293" s="626" t="s">
        <v>102</v>
      </c>
      <c r="AB2293" s="626">
        <v>9701.02</v>
      </c>
      <c r="AC2293" s="626" t="s">
        <v>105</v>
      </c>
      <c r="AP2293" s="1837"/>
      <c r="AQ2293" s="1837"/>
      <c r="BF2293" s="1837"/>
      <c r="BG2293" s="1837"/>
    </row>
    <row r="2294" spans="12:59">
      <c r="L2294" s="626">
        <v>907.01</v>
      </c>
      <c r="M2294" s="626" t="s">
        <v>102</v>
      </c>
      <c r="AB2294" s="626">
        <v>9701.0400000000009</v>
      </c>
      <c r="AC2294" s="626" t="s">
        <v>105</v>
      </c>
      <c r="AP2294" s="1837"/>
      <c r="AQ2294" s="1837"/>
      <c r="BF2294" s="1837"/>
      <c r="BG2294" s="1837"/>
    </row>
    <row r="2295" spans="12:59">
      <c r="L2295" s="626">
        <v>908.03</v>
      </c>
      <c r="M2295" s="626" t="s">
        <v>102</v>
      </c>
      <c r="AB2295" s="626">
        <v>9702</v>
      </c>
      <c r="AC2295" s="626" t="s">
        <v>48</v>
      </c>
      <c r="AP2295" s="1837"/>
      <c r="AQ2295" s="1837"/>
      <c r="BF2295" s="1837"/>
      <c r="BG2295" s="1837"/>
    </row>
    <row r="2296" spans="12:59">
      <c r="L2296" s="626">
        <v>908.05</v>
      </c>
      <c r="M2296" s="626" t="s">
        <v>102</v>
      </c>
      <c r="AB2296" s="626">
        <v>9702</v>
      </c>
      <c r="AC2296" s="626" t="s">
        <v>53</v>
      </c>
      <c r="AP2296" s="1837"/>
      <c r="AQ2296" s="1837"/>
      <c r="BF2296" s="1837"/>
      <c r="BG2296" s="1837"/>
    </row>
    <row r="2297" spans="12:59">
      <c r="L2297" s="626">
        <v>909.02</v>
      </c>
      <c r="M2297" s="626" t="s">
        <v>102</v>
      </c>
      <c r="AB2297" s="626">
        <v>9702</v>
      </c>
      <c r="AC2297" s="626" t="s">
        <v>80</v>
      </c>
      <c r="AP2297" s="1837"/>
      <c r="AQ2297" s="1837"/>
      <c r="BF2297" s="1837"/>
      <c r="BG2297" s="1837"/>
    </row>
    <row r="2298" spans="12:59">
      <c r="L2298" s="626">
        <v>909.03</v>
      </c>
      <c r="M2298" s="626" t="s">
        <v>102</v>
      </c>
      <c r="AB2298" s="626">
        <v>9702.02</v>
      </c>
      <c r="AC2298" s="626" t="s">
        <v>59</v>
      </c>
      <c r="AP2298" s="1837"/>
      <c r="AQ2298" s="1837"/>
      <c r="BF2298" s="1837"/>
      <c r="BG2298" s="1837"/>
    </row>
    <row r="2299" spans="12:59">
      <c r="L2299" s="626">
        <v>909.04</v>
      </c>
      <c r="M2299" s="626" t="s">
        <v>102</v>
      </c>
      <c r="AB2299" s="626">
        <v>9703</v>
      </c>
      <c r="AC2299" s="626" t="s">
        <v>59</v>
      </c>
      <c r="AP2299" s="1837"/>
      <c r="AQ2299" s="1837"/>
      <c r="BF2299" s="1837"/>
      <c r="BG2299" s="1837"/>
    </row>
    <row r="2300" spans="12:59">
      <c r="L2300" s="626">
        <v>910.01</v>
      </c>
      <c r="M2300" s="626" t="s">
        <v>102</v>
      </c>
      <c r="AB2300" s="626">
        <v>9703</v>
      </c>
      <c r="AC2300" s="626" t="s">
        <v>80</v>
      </c>
      <c r="AP2300" s="1837"/>
      <c r="AQ2300" s="1837"/>
      <c r="BF2300" s="1837"/>
      <c r="BG2300" s="1837"/>
    </row>
    <row r="2301" spans="12:59">
      <c r="L2301" s="626">
        <v>910.05</v>
      </c>
      <c r="M2301" s="626" t="s">
        <v>102</v>
      </c>
      <c r="AB2301" s="626">
        <v>9703.01</v>
      </c>
      <c r="AC2301" s="626" t="s">
        <v>72</v>
      </c>
      <c r="AP2301" s="1837"/>
      <c r="AQ2301" s="1837"/>
      <c r="BF2301" s="1837"/>
      <c r="BG2301" s="1837"/>
    </row>
    <row r="2302" spans="12:59">
      <c r="L2302" s="626">
        <v>910.15</v>
      </c>
      <c r="M2302" s="626" t="s">
        <v>102</v>
      </c>
      <c r="AB2302" s="626">
        <v>9703.01</v>
      </c>
      <c r="AC2302" s="626" t="s">
        <v>105</v>
      </c>
      <c r="AP2302" s="1837"/>
      <c r="AQ2302" s="1837"/>
      <c r="BF2302" s="1837"/>
      <c r="BG2302" s="1837"/>
    </row>
    <row r="2303" spans="12:59">
      <c r="L2303" s="626">
        <v>910.17</v>
      </c>
      <c r="M2303" s="626" t="s">
        <v>102</v>
      </c>
      <c r="AB2303" s="626">
        <v>9703.02</v>
      </c>
      <c r="AC2303" s="626" t="s">
        <v>99</v>
      </c>
      <c r="AP2303" s="1837"/>
      <c r="AQ2303" s="1837"/>
      <c r="BF2303" s="1837"/>
      <c r="BG2303" s="1837"/>
    </row>
    <row r="2304" spans="12:59">
      <c r="L2304" s="626">
        <v>910.19</v>
      </c>
      <c r="M2304" s="626" t="s">
        <v>102</v>
      </c>
      <c r="AB2304" s="626">
        <v>9703.0300000000007</v>
      </c>
      <c r="AC2304" s="626" t="s">
        <v>105</v>
      </c>
      <c r="AP2304" s="1837"/>
      <c r="AQ2304" s="1837"/>
      <c r="BF2304" s="1837"/>
      <c r="BG2304" s="1837"/>
    </row>
    <row r="2305" spans="12:59">
      <c r="L2305" s="626">
        <v>910.2</v>
      </c>
      <c r="M2305" s="626" t="s">
        <v>102</v>
      </c>
      <c r="AB2305" s="626">
        <v>9703.0400000000009</v>
      </c>
      <c r="AC2305" s="626" t="s">
        <v>53</v>
      </c>
      <c r="AP2305" s="1837"/>
      <c r="AQ2305" s="1837"/>
      <c r="BF2305" s="1837"/>
      <c r="BG2305" s="1837"/>
    </row>
    <row r="2306" spans="12:59">
      <c r="L2306" s="626">
        <v>910.21</v>
      </c>
      <c r="M2306" s="626" t="s">
        <v>102</v>
      </c>
      <c r="AB2306" s="626">
        <v>9704</v>
      </c>
      <c r="AC2306" s="626" t="s">
        <v>72</v>
      </c>
      <c r="AP2306" s="1837"/>
      <c r="AQ2306" s="1837"/>
      <c r="BF2306" s="1837"/>
      <c r="BG2306" s="1837"/>
    </row>
    <row r="2307" spans="12:59">
      <c r="L2307" s="626">
        <v>910.22</v>
      </c>
      <c r="M2307" s="626" t="s">
        <v>102</v>
      </c>
      <c r="AB2307" s="626">
        <v>9705</v>
      </c>
      <c r="AC2307" s="626" t="s">
        <v>72</v>
      </c>
      <c r="AP2307" s="1837"/>
      <c r="AQ2307" s="1837"/>
      <c r="BF2307" s="1837"/>
      <c r="BG2307" s="1837"/>
    </row>
    <row r="2308" spans="12:59">
      <c r="L2308" s="626">
        <v>910.23</v>
      </c>
      <c r="M2308" s="626" t="s">
        <v>102</v>
      </c>
      <c r="AB2308" s="626">
        <v>9705</v>
      </c>
      <c r="AC2308" s="626" t="s">
        <v>80</v>
      </c>
      <c r="AP2308" s="1837"/>
      <c r="AQ2308" s="1837"/>
      <c r="BF2308" s="1837"/>
      <c r="BG2308" s="1837"/>
    </row>
    <row r="2309" spans="12:59">
      <c r="L2309" s="626">
        <v>910.26</v>
      </c>
      <c r="M2309" s="626" t="s">
        <v>102</v>
      </c>
      <c r="AB2309" s="626">
        <v>9706</v>
      </c>
      <c r="AC2309" s="626" t="s">
        <v>72</v>
      </c>
      <c r="AP2309" s="1837"/>
      <c r="AQ2309" s="1837"/>
      <c r="BF2309" s="1837"/>
      <c r="BG2309" s="1837"/>
    </row>
    <row r="2310" spans="12:59">
      <c r="L2310" s="626">
        <v>910.29</v>
      </c>
      <c r="M2310" s="626" t="s">
        <v>102</v>
      </c>
      <c r="AB2310" s="626">
        <v>9706</v>
      </c>
      <c r="AC2310" s="626" t="s">
        <v>80</v>
      </c>
      <c r="AP2310" s="1837"/>
      <c r="AQ2310" s="1837"/>
      <c r="BF2310" s="1837"/>
      <c r="BG2310" s="1837"/>
    </row>
    <row r="2311" spans="12:59">
      <c r="L2311" s="626">
        <v>101</v>
      </c>
      <c r="M2311" s="626" t="s">
        <v>103</v>
      </c>
      <c r="AB2311" s="626">
        <v>9706</v>
      </c>
      <c r="AC2311" s="626" t="s">
        <v>99</v>
      </c>
      <c r="AP2311" s="1837"/>
      <c r="AQ2311" s="1837"/>
      <c r="BF2311" s="1837"/>
      <c r="BG2311" s="1837"/>
    </row>
    <row r="2312" spans="12:59">
      <c r="L2312" s="626">
        <v>102.01</v>
      </c>
      <c r="M2312" s="626" t="s">
        <v>103</v>
      </c>
      <c r="AB2312" s="626">
        <v>9708</v>
      </c>
      <c r="AC2312" s="626" t="s">
        <v>80</v>
      </c>
      <c r="AP2312" s="1837"/>
      <c r="AQ2312" s="1837"/>
      <c r="BF2312" s="1837"/>
      <c r="BG2312" s="1837"/>
    </row>
    <row r="2313" spans="12:59">
      <c r="L2313" s="626">
        <v>9501.01</v>
      </c>
      <c r="M2313" s="626" t="s">
        <v>104</v>
      </c>
      <c r="AB2313" s="626">
        <v>9709</v>
      </c>
      <c r="AC2313" s="626" t="s">
        <v>80</v>
      </c>
      <c r="AP2313" s="1837"/>
      <c r="AQ2313" s="1837"/>
      <c r="BF2313" s="1837"/>
      <c r="BG2313" s="1837"/>
    </row>
    <row r="2314" spans="12:59">
      <c r="L2314" s="626">
        <v>9501.02</v>
      </c>
      <c r="M2314" s="626" t="s">
        <v>104</v>
      </c>
      <c r="AB2314" s="626">
        <v>9710.01</v>
      </c>
      <c r="AC2314" s="626" t="s">
        <v>80</v>
      </c>
      <c r="AP2314" s="1837"/>
      <c r="AQ2314" s="1837"/>
      <c r="BF2314" s="1837"/>
      <c r="BG2314" s="1837"/>
    </row>
    <row r="2315" spans="12:59">
      <c r="L2315" s="626">
        <v>9503.02</v>
      </c>
      <c r="M2315" s="626" t="s">
        <v>104</v>
      </c>
      <c r="AB2315" s="626">
        <v>9715.01</v>
      </c>
      <c r="AC2315" s="626" t="s">
        <v>80</v>
      </c>
      <c r="AP2315" s="1837"/>
      <c r="AQ2315" s="1837"/>
      <c r="BF2315" s="1837"/>
      <c r="BG2315" s="1837"/>
    </row>
    <row r="2316" spans="12:59">
      <c r="L2316" s="626">
        <v>9505.02</v>
      </c>
      <c r="M2316" s="626" t="s">
        <v>104</v>
      </c>
      <c r="AB2316" s="626">
        <v>9715.02</v>
      </c>
      <c r="AC2316" s="626" t="s">
        <v>80</v>
      </c>
      <c r="AP2316" s="1837"/>
      <c r="AQ2316" s="1837"/>
      <c r="BF2316" s="1837"/>
      <c r="BG2316" s="1837"/>
    </row>
    <row r="2317" spans="12:59">
      <c r="L2317" s="626">
        <v>9506.01</v>
      </c>
      <c r="M2317" s="626" t="s">
        <v>104</v>
      </c>
      <c r="AB2317" s="626">
        <v>9716</v>
      </c>
      <c r="AC2317" s="626" t="s">
        <v>80</v>
      </c>
      <c r="AP2317" s="1837"/>
      <c r="AQ2317" s="1837"/>
      <c r="BF2317" s="1837"/>
      <c r="BG2317" s="1837"/>
    </row>
    <row r="2318" spans="12:59">
      <c r="L2318" s="626">
        <v>9506.02</v>
      </c>
      <c r="M2318" s="626" t="s">
        <v>104</v>
      </c>
      <c r="AB2318" s="626">
        <v>9720</v>
      </c>
      <c r="AC2318" s="626" t="s">
        <v>80</v>
      </c>
      <c r="AP2318" s="1837"/>
      <c r="AQ2318" s="1837"/>
      <c r="BF2318" s="1837"/>
      <c r="BG2318" s="1837"/>
    </row>
    <row r="2319" spans="12:59">
      <c r="L2319" s="626">
        <v>9506.0300000000007</v>
      </c>
      <c r="M2319" s="626" t="s">
        <v>104</v>
      </c>
      <c r="AB2319" s="626">
        <v>9722</v>
      </c>
      <c r="AC2319" s="626" t="s">
        <v>80</v>
      </c>
      <c r="AP2319" s="1837"/>
      <c r="AQ2319" s="1837"/>
      <c r="BF2319" s="1837"/>
      <c r="BG2319" s="1837"/>
    </row>
    <row r="2320" spans="12:59">
      <c r="L2320" s="626">
        <v>9701.02</v>
      </c>
      <c r="M2320" s="626" t="s">
        <v>105</v>
      </c>
      <c r="AB2320" s="626">
        <v>9723</v>
      </c>
      <c r="AC2320" s="626" t="s">
        <v>80</v>
      </c>
      <c r="AP2320" s="1837"/>
      <c r="AQ2320" s="1837"/>
      <c r="BF2320" s="1837"/>
      <c r="BG2320" s="1837"/>
    </row>
    <row r="2321" spans="12:59">
      <c r="L2321" s="626">
        <v>9701.0400000000009</v>
      </c>
      <c r="M2321" s="626" t="s">
        <v>105</v>
      </c>
      <c r="AB2321" s="626">
        <v>9724</v>
      </c>
      <c r="AC2321" s="626" t="s">
        <v>80</v>
      </c>
      <c r="AP2321" s="1837"/>
      <c r="AQ2321" s="1837"/>
      <c r="BF2321" s="1837"/>
      <c r="BG2321" s="1837"/>
    </row>
    <row r="2322" spans="12:59">
      <c r="L2322" s="626">
        <v>9703.01</v>
      </c>
      <c r="M2322" s="626" t="s">
        <v>105</v>
      </c>
      <c r="AB2322" s="626">
        <v>9725</v>
      </c>
      <c r="AC2322" s="626" t="s">
        <v>80</v>
      </c>
      <c r="AP2322" s="1837"/>
      <c r="AQ2322" s="1837"/>
      <c r="BF2322" s="1837"/>
      <c r="BG2322" s="1837"/>
    </row>
    <row r="2323" spans="12:59">
      <c r="L2323" s="626">
        <v>9703.0300000000007</v>
      </c>
      <c r="M2323" s="626" t="s">
        <v>105</v>
      </c>
      <c r="AB2323" s="626">
        <v>9726</v>
      </c>
      <c r="AC2323" s="626" t="s">
        <v>80</v>
      </c>
      <c r="AP2323" s="1837"/>
      <c r="AQ2323" s="1837"/>
    </row>
  </sheetData>
  <sheetProtection algorithmName="SHA-512" hashValue="rKTUYuXI9xN1Bc92BTZmNPIOqI1Ve1GuY9zWVhNVhHInxYdDpXB1ZJLDNupCTSmsO4riVI12wRzUUdTEnaP/DA==" saltValue="Ubn3+SxpxiUKxIAKbWrRFA==" spinCount="100000" sheet="1" objects="1" scenarios="1" formatRows="0" selectLockedCells="1"/>
  <sortState xmlns:xlrd2="http://schemas.microsoft.com/office/spreadsheetml/2017/richdata2" ref="AZ23:BA824">
    <sortCondition ref="AZ23:AZ824"/>
  </sortState>
  <mergeCells count="37">
    <mergeCell ref="AZ22:BA22"/>
    <mergeCell ref="BC22:BD22"/>
    <mergeCell ref="BF22:BG22"/>
    <mergeCell ref="AE19:AF19"/>
    <mergeCell ref="AJ19:AK19"/>
    <mergeCell ref="AM19:AN19"/>
    <mergeCell ref="AE22:AF22"/>
    <mergeCell ref="AJ22:AK22"/>
    <mergeCell ref="AM22:AN22"/>
    <mergeCell ref="AP22:AQ22"/>
    <mergeCell ref="AW22:AX22"/>
    <mergeCell ref="BC19:BD19"/>
    <mergeCell ref="Y22:Z22"/>
    <mergeCell ref="AB22:AC22"/>
    <mergeCell ref="V22:W22"/>
    <mergeCell ref="S22:T22"/>
    <mergeCell ref="I4:O4"/>
    <mergeCell ref="I5:O5"/>
    <mergeCell ref="I6:O6"/>
    <mergeCell ref="I7:O7"/>
    <mergeCell ref="S19:T19"/>
    <mergeCell ref="V19:W19"/>
    <mergeCell ref="Y19:Z19"/>
    <mergeCell ref="L22:M22"/>
    <mergeCell ref="A22:B22"/>
    <mergeCell ref="F22:G22"/>
    <mergeCell ref="I22:J22"/>
    <mergeCell ref="I10:O10"/>
    <mergeCell ref="F19:G19"/>
    <mergeCell ref="I19:J19"/>
    <mergeCell ref="A19:B19"/>
    <mergeCell ref="A3:Q3"/>
    <mergeCell ref="I8:O8"/>
    <mergeCell ref="AP19:AQ19"/>
    <mergeCell ref="AW19:AX19"/>
    <mergeCell ref="AZ19:BA19"/>
    <mergeCell ref="L19:M19"/>
  </mergeCells>
  <conditionalFormatting sqref="A23:A370">
    <cfRule type="expression" dxfId="732" priority="59">
      <formula>A23=A24</formula>
    </cfRule>
  </conditionalFormatting>
  <conditionalFormatting sqref="BM23:BM88">
    <cfRule type="cellIs" dxfId="731" priority="54" operator="greaterThan">
      <formula>0</formula>
    </cfRule>
  </conditionalFormatting>
  <conditionalFormatting sqref="BM112">
    <cfRule type="cellIs" dxfId="730" priority="53" operator="greaterThan">
      <formula>0</formula>
    </cfRule>
  </conditionalFormatting>
  <conditionalFormatting sqref="BM51">
    <cfRule type="cellIs" dxfId="729" priority="52" operator="greaterThan">
      <formula>0</formula>
    </cfRule>
  </conditionalFormatting>
  <conditionalFormatting sqref="BM31">
    <cfRule type="cellIs" dxfId="728" priority="51" operator="greaterThan">
      <formula>0</formula>
    </cfRule>
  </conditionalFormatting>
  <conditionalFormatting sqref="BM34">
    <cfRule type="cellIs" dxfId="727" priority="50" operator="greaterThan">
      <formula>0</formula>
    </cfRule>
  </conditionalFormatting>
  <conditionalFormatting sqref="BM35">
    <cfRule type="cellIs" dxfId="726" priority="49" operator="greaterThan">
      <formula>0</formula>
    </cfRule>
  </conditionalFormatting>
  <conditionalFormatting sqref="BM35">
    <cfRule type="cellIs" dxfId="725" priority="48" operator="greaterThan">
      <formula>0</formula>
    </cfRule>
  </conditionalFormatting>
  <conditionalFormatting sqref="BM44">
    <cfRule type="cellIs" dxfId="724" priority="46" operator="greaterThan">
      <formula>0</formula>
    </cfRule>
  </conditionalFormatting>
  <conditionalFormatting sqref="BM44">
    <cfRule type="cellIs" dxfId="723" priority="45" operator="greaterThan">
      <formula>0</formula>
    </cfRule>
  </conditionalFormatting>
  <conditionalFormatting sqref="BO125:BO129">
    <cfRule type="cellIs" dxfId="722" priority="44" operator="equal">
      <formula>"Y"</formula>
    </cfRule>
  </conditionalFormatting>
  <conditionalFormatting sqref="BO125:BO129">
    <cfRule type="cellIs" dxfId="721" priority="43" operator="equal">
      <formula>"y"</formula>
    </cfRule>
  </conditionalFormatting>
  <conditionalFormatting sqref="BO130">
    <cfRule type="cellIs" dxfId="720" priority="42" operator="equal">
      <formula>"Y"</formula>
    </cfRule>
  </conditionalFormatting>
  <conditionalFormatting sqref="BO130">
    <cfRule type="cellIs" dxfId="719" priority="41" operator="equal">
      <formula>"y"</formula>
    </cfRule>
  </conditionalFormatting>
  <conditionalFormatting sqref="BM25">
    <cfRule type="cellIs" dxfId="718" priority="40" operator="greaterThan">
      <formula>0</formula>
    </cfRule>
  </conditionalFormatting>
  <conditionalFormatting sqref="BM39">
    <cfRule type="cellIs" dxfId="717" priority="39" operator="greaterThan">
      <formula>0</formula>
    </cfRule>
  </conditionalFormatting>
  <conditionalFormatting sqref="BM53">
    <cfRule type="cellIs" dxfId="716" priority="38" operator="greaterThan">
      <formula>0</formula>
    </cfRule>
  </conditionalFormatting>
  <conditionalFormatting sqref="BM55">
    <cfRule type="cellIs" dxfId="715" priority="37" operator="greaterThan">
      <formula>0</formula>
    </cfRule>
  </conditionalFormatting>
  <conditionalFormatting sqref="BM56">
    <cfRule type="cellIs" dxfId="714" priority="36" operator="greaterThan">
      <formula>0</formula>
    </cfRule>
  </conditionalFormatting>
  <conditionalFormatting sqref="BM63">
    <cfRule type="cellIs" dxfId="713" priority="35" operator="greaterThan">
      <formula>0</formula>
    </cfRule>
  </conditionalFormatting>
  <conditionalFormatting sqref="BM68">
    <cfRule type="cellIs" dxfId="712" priority="34" operator="greaterThan">
      <formula>0</formula>
    </cfRule>
  </conditionalFormatting>
  <conditionalFormatting sqref="BO131:BO137">
    <cfRule type="cellIs" dxfId="711" priority="12" operator="equal">
      <formula>"Y"</formula>
    </cfRule>
  </conditionalFormatting>
  <conditionalFormatting sqref="BO131:BO137">
    <cfRule type="cellIs" dxfId="710" priority="11" operator="equal">
      <formula>"y"</formula>
    </cfRule>
  </conditionalFormatting>
  <conditionalFormatting sqref="S23:S370">
    <cfRule type="expression" dxfId="709" priority="6">
      <formula>S23=S24</formula>
    </cfRule>
  </conditionalFormatting>
  <conditionalFormatting sqref="AE23:AE370">
    <cfRule type="expression" dxfId="708" priority="4">
      <formula>AE23=AE24</formula>
    </cfRule>
  </conditionalFormatting>
  <conditionalFormatting sqref="AE371:AE375">
    <cfRule type="expression" dxfId="707" priority="3">
      <formula>AE371=AE372</formula>
    </cfRule>
  </conditionalFormatting>
  <conditionalFormatting sqref="AW23:AW370">
    <cfRule type="expression" dxfId="706" priority="2">
      <formula>AW23=AW24</formula>
    </cfRule>
  </conditionalFormatting>
  <conditionalFormatting sqref="AW371:AW375">
    <cfRule type="expression" dxfId="705" priority="1">
      <formula>AW371=AW372</formula>
    </cfRule>
  </conditionalFormatting>
  <pageMargins left="0.7" right="0.7" top="0.75" bottom="0.75" header="0.3" footer="0.3"/>
  <pageSetup scale="8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 id="{C367F2D9-0871-402B-93BD-FAE8FE097096}">
            <xm:f>S190=Data1!#REF!</xm:f>
            <x14:dxf>
              <fill>
                <patternFill>
                  <bgColor rgb="FFFFCCFF"/>
                </patternFill>
              </fill>
            </x14:dxf>
          </x14:cfRule>
          <xm:sqref>S190 S197 S273 S281 S297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2:P245"/>
  <sheetViews>
    <sheetView topLeftCell="A113" zoomScale="110" zoomScaleNormal="110" workbookViewId="0">
      <selection activeCell="B534" sqref="B534"/>
    </sheetView>
  </sheetViews>
  <sheetFormatPr defaultRowHeight="14.5"/>
  <cols>
    <col min="1" max="1" width="11.453125" customWidth="1"/>
    <col min="3" max="4" width="15" customWidth="1"/>
    <col min="5" max="5" width="4.54296875" style="201" customWidth="1"/>
    <col min="6" max="12" width="15" customWidth="1"/>
    <col min="13" max="13" width="18.81640625" customWidth="1"/>
    <col min="14" max="16" width="15" customWidth="1"/>
  </cols>
  <sheetData>
    <row r="2" spans="1:16">
      <c r="E2" s="2096" t="s">
        <v>609</v>
      </c>
    </row>
    <row r="3" spans="1:16" ht="15.5">
      <c r="A3" s="410" t="s">
        <v>749</v>
      </c>
      <c r="B3" s="225"/>
      <c r="C3" s="225"/>
      <c r="D3" s="225"/>
      <c r="E3" s="2096"/>
    </row>
    <row r="4" spans="1:16">
      <c r="B4" s="225"/>
      <c r="C4" s="225"/>
      <c r="D4" s="225"/>
      <c r="E4" s="2096"/>
      <c r="G4" s="225"/>
    </row>
    <row r="5" spans="1:16">
      <c r="B5" s="224"/>
      <c r="C5" s="224"/>
      <c r="D5" s="224"/>
      <c r="E5" s="2096"/>
      <c r="G5" s="224"/>
      <c r="L5" s="224"/>
      <c r="M5" s="224"/>
      <c r="N5" s="224"/>
      <c r="O5" s="202"/>
      <c r="P5" s="202"/>
    </row>
    <row r="6" spans="1:16">
      <c r="E6" s="2096"/>
      <c r="F6" s="1838"/>
      <c r="G6" s="2097" t="s">
        <v>1166</v>
      </c>
      <c r="H6" s="2098"/>
      <c r="I6" s="2098"/>
      <c r="J6" s="2098"/>
      <c r="K6" s="2099"/>
      <c r="L6" s="2021" t="s">
        <v>1167</v>
      </c>
      <c r="M6" s="2024"/>
      <c r="N6" s="511"/>
    </row>
    <row r="7" spans="1:16">
      <c r="A7" s="204">
        <v>1</v>
      </c>
      <c r="B7" s="204">
        <v>2</v>
      </c>
      <c r="C7" s="365">
        <v>3</v>
      </c>
      <c r="D7" s="365">
        <v>4</v>
      </c>
      <c r="E7" s="2096"/>
      <c r="F7" s="365">
        <v>6</v>
      </c>
      <c r="G7" s="204">
        <v>7</v>
      </c>
      <c r="H7" s="204">
        <v>8</v>
      </c>
      <c r="I7" s="214">
        <v>9</v>
      </c>
      <c r="J7" s="214">
        <v>10</v>
      </c>
      <c r="K7" s="214">
        <v>11</v>
      </c>
      <c r="L7" s="479">
        <v>12</v>
      </c>
      <c r="M7" s="479">
        <v>13</v>
      </c>
      <c r="N7" s="479">
        <v>14</v>
      </c>
      <c r="O7" s="221">
        <v>15</v>
      </c>
      <c r="P7" s="221">
        <v>16</v>
      </c>
    </row>
    <row r="8" spans="1:16" ht="29">
      <c r="A8" s="205" t="s">
        <v>604</v>
      </c>
      <c r="B8" s="205" t="s">
        <v>605</v>
      </c>
      <c r="C8" s="366" t="s">
        <v>726</v>
      </c>
      <c r="D8" s="366" t="s">
        <v>727</v>
      </c>
      <c r="E8" s="2096"/>
      <c r="F8" s="210" t="s">
        <v>612</v>
      </c>
      <c r="G8" s="211" t="s">
        <v>613</v>
      </c>
      <c r="H8" s="211" t="s">
        <v>614</v>
      </c>
      <c r="I8" s="211" t="s">
        <v>615</v>
      </c>
      <c r="J8" s="210" t="s">
        <v>616</v>
      </c>
      <c r="K8" s="216" t="s">
        <v>617</v>
      </c>
      <c r="L8" s="478" t="s">
        <v>787</v>
      </c>
      <c r="M8" s="478" t="s">
        <v>788</v>
      </c>
      <c r="N8" s="513" t="s">
        <v>1168</v>
      </c>
    </row>
    <row r="9" spans="1:16" ht="15" customHeight="1">
      <c r="A9" t="s">
        <v>2</v>
      </c>
      <c r="B9" t="s">
        <v>606</v>
      </c>
      <c r="C9" s="514" t="s">
        <v>607</v>
      </c>
      <c r="D9" s="514" t="s">
        <v>607</v>
      </c>
      <c r="E9" s="218"/>
      <c r="K9" s="215"/>
    </row>
    <row r="10" spans="1:16" ht="15" customHeight="1">
      <c r="A10" s="191" t="s">
        <v>26</v>
      </c>
      <c r="B10" s="90" t="s">
        <v>27</v>
      </c>
      <c r="C10" s="206">
        <v>37500</v>
      </c>
      <c r="D10" s="206">
        <v>460000</v>
      </c>
      <c r="E10" s="165" t="s">
        <v>610</v>
      </c>
      <c r="F10" s="1862">
        <f>IF(B10="Small",$C$119,IF(B10="Medium",$C$120,IF(OR(A10="Broward",A10="Miami-Dade"),$C$116,IF(OR(A10="Hillsborough",A10="Orange",A10="Palm Beach"),$C$117,IF(OR(A10="Duval",A10="Pinellas"),$C$118,"")))))</f>
        <v>2040000</v>
      </c>
      <c r="G10" s="212">
        <v>79300</v>
      </c>
      <c r="H10" s="213">
        <v>79300</v>
      </c>
      <c r="I10" s="213">
        <v>93200</v>
      </c>
      <c r="J10" s="213">
        <v>105000</v>
      </c>
      <c r="K10" s="217">
        <v>105000</v>
      </c>
      <c r="L10" s="212">
        <v>223000</v>
      </c>
      <c r="M10" s="213">
        <v>176000</v>
      </c>
      <c r="N10" s="512">
        <v>0.33</v>
      </c>
      <c r="O10" s="213"/>
      <c r="P10" s="217"/>
    </row>
    <row r="11" spans="1:16" ht="15" customHeight="1">
      <c r="A11" s="191" t="s">
        <v>29</v>
      </c>
      <c r="B11" s="90" t="s">
        <v>30</v>
      </c>
      <c r="C11" s="206">
        <v>2500</v>
      </c>
      <c r="D11" s="437" t="s">
        <v>607</v>
      </c>
      <c r="E11" s="165" t="s">
        <v>610</v>
      </c>
      <c r="F11" s="1862">
        <f t="shared" ref="F11:F74" si="0">IF(B11="Small",$C$119,IF(B11="Medium",$C$120,IF(OR(A11="Broward",A11="Miami-Dade"),$C$116,IF(OR(A11="Hillsborough",A11="Orange",A11="Palm Beach"),$C$117,IF(OR(A11="Duval",A11="Pinellas"),$C$118,"")))))</f>
        <v>1007820</v>
      </c>
      <c r="G11" s="212">
        <v>78800</v>
      </c>
      <c r="H11" s="213">
        <v>78800</v>
      </c>
      <c r="I11" s="213">
        <v>92100</v>
      </c>
      <c r="J11" s="213">
        <v>103900</v>
      </c>
      <c r="K11" s="217">
        <v>103900</v>
      </c>
      <c r="L11" s="212">
        <v>221100</v>
      </c>
      <c r="M11" s="213">
        <v>174500</v>
      </c>
      <c r="N11" s="512">
        <v>0.33</v>
      </c>
      <c r="O11" s="213"/>
      <c r="P11" s="217"/>
    </row>
    <row r="12" spans="1:16" ht="15" customHeight="1">
      <c r="A12" s="191" t="s">
        <v>32</v>
      </c>
      <c r="B12" s="90" t="s">
        <v>27</v>
      </c>
      <c r="C12" s="206">
        <v>20000</v>
      </c>
      <c r="D12" s="206">
        <v>340000</v>
      </c>
      <c r="E12" s="165" t="s">
        <v>610</v>
      </c>
      <c r="F12" s="1862">
        <f t="shared" si="0"/>
        <v>2040000</v>
      </c>
      <c r="G12" s="212">
        <v>67300</v>
      </c>
      <c r="H12" s="213">
        <v>67300</v>
      </c>
      <c r="I12" s="213">
        <v>79000</v>
      </c>
      <c r="J12" s="213">
        <v>89100</v>
      </c>
      <c r="K12" s="217">
        <v>89100</v>
      </c>
      <c r="L12" s="212">
        <v>204700</v>
      </c>
      <c r="M12" s="213">
        <v>161500</v>
      </c>
      <c r="N12" s="512">
        <v>0.35</v>
      </c>
      <c r="O12" s="213"/>
      <c r="P12" s="217"/>
    </row>
    <row r="13" spans="1:16" ht="15" customHeight="1">
      <c r="A13" s="191" t="s">
        <v>34</v>
      </c>
      <c r="B13" s="90" t="s">
        <v>30</v>
      </c>
      <c r="C13" s="206">
        <v>5000</v>
      </c>
      <c r="D13" s="437" t="s">
        <v>607</v>
      </c>
      <c r="E13" s="208" t="s">
        <v>611</v>
      </c>
      <c r="F13" s="1862">
        <f t="shared" si="0"/>
        <v>1007820</v>
      </c>
      <c r="G13" s="212">
        <v>43600</v>
      </c>
      <c r="H13" s="213">
        <v>43600</v>
      </c>
      <c r="I13" s="213">
        <v>51000</v>
      </c>
      <c r="J13" s="213">
        <v>57600</v>
      </c>
      <c r="K13" s="217">
        <v>57600</v>
      </c>
      <c r="L13" s="212">
        <v>165300</v>
      </c>
      <c r="M13" s="213">
        <v>130600</v>
      </c>
      <c r="N13" s="512">
        <v>0.4</v>
      </c>
      <c r="O13" s="213"/>
      <c r="P13" s="217"/>
    </row>
    <row r="14" spans="1:16" ht="15" customHeight="1">
      <c r="A14" s="191" t="s">
        <v>35</v>
      </c>
      <c r="B14" s="90" t="s">
        <v>27</v>
      </c>
      <c r="C14" s="206">
        <v>50000</v>
      </c>
      <c r="D14" s="206">
        <v>460000</v>
      </c>
      <c r="E14" s="165" t="s">
        <v>610</v>
      </c>
      <c r="F14" s="1862">
        <f t="shared" si="0"/>
        <v>2040000</v>
      </c>
      <c r="G14" s="212">
        <v>78800</v>
      </c>
      <c r="H14" s="213">
        <v>78800</v>
      </c>
      <c r="I14" s="213">
        <v>92100</v>
      </c>
      <c r="J14" s="213">
        <v>103900</v>
      </c>
      <c r="K14" s="217">
        <v>103900</v>
      </c>
      <c r="L14" s="212">
        <v>221100</v>
      </c>
      <c r="M14" s="213">
        <v>174500</v>
      </c>
      <c r="N14" s="512">
        <v>0.33</v>
      </c>
      <c r="O14" s="213"/>
      <c r="P14" s="217"/>
    </row>
    <row r="15" spans="1:16" ht="15" customHeight="1">
      <c r="A15" s="191" t="s">
        <v>36</v>
      </c>
      <c r="B15" s="90" t="s">
        <v>37</v>
      </c>
      <c r="C15" s="206">
        <v>100000</v>
      </c>
      <c r="D15" s="206">
        <v>640000</v>
      </c>
      <c r="E15" s="165" t="s">
        <v>610</v>
      </c>
      <c r="F15" s="1862">
        <f t="shared" si="0"/>
        <v>3458400</v>
      </c>
      <c r="G15" s="212">
        <v>97500</v>
      </c>
      <c r="H15" s="213">
        <v>97500</v>
      </c>
      <c r="I15" s="213">
        <v>114500</v>
      </c>
      <c r="J15" s="213">
        <v>129100</v>
      </c>
      <c r="K15" s="217">
        <v>129100</v>
      </c>
      <c r="L15" s="212">
        <v>246700</v>
      </c>
      <c r="M15" s="213">
        <v>194700</v>
      </c>
      <c r="N15" s="512">
        <v>0.3</v>
      </c>
      <c r="O15" s="213"/>
      <c r="P15" s="217"/>
    </row>
    <row r="16" spans="1:16" ht="15" customHeight="1">
      <c r="A16" s="191" t="s">
        <v>39</v>
      </c>
      <c r="B16" s="90" t="s">
        <v>30</v>
      </c>
      <c r="C16" s="206">
        <v>2500</v>
      </c>
      <c r="D16" s="437" t="s">
        <v>607</v>
      </c>
      <c r="E16" s="208" t="s">
        <v>611</v>
      </c>
      <c r="F16" s="1862">
        <f t="shared" si="0"/>
        <v>1007820</v>
      </c>
      <c r="G16" s="212">
        <v>44400</v>
      </c>
      <c r="H16" s="213">
        <v>44400</v>
      </c>
      <c r="I16" s="213">
        <v>52100</v>
      </c>
      <c r="J16" s="213">
        <v>58700</v>
      </c>
      <c r="K16" s="217">
        <v>58700</v>
      </c>
      <c r="L16" s="212">
        <v>168800</v>
      </c>
      <c r="M16" s="213">
        <v>133300</v>
      </c>
      <c r="N16" s="512">
        <v>0.4</v>
      </c>
      <c r="O16" s="213"/>
      <c r="P16" s="217"/>
    </row>
    <row r="17" spans="1:16" ht="15" customHeight="1">
      <c r="A17" s="191" t="s">
        <v>41</v>
      </c>
      <c r="B17" s="90" t="s">
        <v>27</v>
      </c>
      <c r="C17" s="206">
        <v>20000</v>
      </c>
      <c r="D17" s="206">
        <v>340000</v>
      </c>
      <c r="E17" s="165" t="s">
        <v>610</v>
      </c>
      <c r="F17" s="1862">
        <f t="shared" si="0"/>
        <v>2040000</v>
      </c>
      <c r="G17" s="212">
        <v>52000</v>
      </c>
      <c r="H17" s="213">
        <v>52000</v>
      </c>
      <c r="I17" s="213">
        <v>60900</v>
      </c>
      <c r="J17" s="213">
        <v>68700</v>
      </c>
      <c r="K17" s="217">
        <v>68700</v>
      </c>
      <c r="L17" s="212">
        <v>197400</v>
      </c>
      <c r="M17" s="213">
        <v>155800</v>
      </c>
      <c r="N17" s="512">
        <v>0.4</v>
      </c>
      <c r="O17" s="213"/>
      <c r="P17" s="217"/>
    </row>
    <row r="18" spans="1:16" ht="15" customHeight="1">
      <c r="A18" s="191" t="s">
        <v>42</v>
      </c>
      <c r="B18" s="90" t="s">
        <v>27</v>
      </c>
      <c r="C18" s="206">
        <v>20000</v>
      </c>
      <c r="D18" s="206">
        <v>340000</v>
      </c>
      <c r="E18" s="165" t="s">
        <v>610</v>
      </c>
      <c r="F18" s="1862">
        <f t="shared" si="0"/>
        <v>2040000</v>
      </c>
      <c r="G18" s="212">
        <v>44400</v>
      </c>
      <c r="H18" s="213">
        <v>44400</v>
      </c>
      <c r="I18" s="213">
        <v>52100</v>
      </c>
      <c r="J18" s="213">
        <v>58700</v>
      </c>
      <c r="K18" s="217">
        <v>58700</v>
      </c>
      <c r="L18" s="212">
        <v>168800</v>
      </c>
      <c r="M18" s="213">
        <v>133300</v>
      </c>
      <c r="N18" s="512">
        <v>0.4</v>
      </c>
      <c r="O18" s="213"/>
      <c r="P18" s="217"/>
    </row>
    <row r="19" spans="1:16" ht="15" customHeight="1">
      <c r="A19" s="191" t="s">
        <v>43</v>
      </c>
      <c r="B19" s="90" t="s">
        <v>27</v>
      </c>
      <c r="C19" s="206">
        <v>20000</v>
      </c>
      <c r="D19" s="206">
        <v>340000</v>
      </c>
      <c r="E19" s="165" t="s">
        <v>610</v>
      </c>
      <c r="F19" s="1862">
        <f t="shared" si="0"/>
        <v>2040000</v>
      </c>
      <c r="G19" s="212">
        <v>81100</v>
      </c>
      <c r="H19" s="213">
        <v>81100</v>
      </c>
      <c r="I19" s="213">
        <v>94900</v>
      </c>
      <c r="J19" s="213">
        <v>107000</v>
      </c>
      <c r="K19" s="217">
        <v>107000</v>
      </c>
      <c r="L19" s="212">
        <v>227600</v>
      </c>
      <c r="M19" s="213">
        <v>179800</v>
      </c>
      <c r="N19" s="512">
        <v>0.33</v>
      </c>
      <c r="O19" s="213"/>
      <c r="P19" s="217"/>
    </row>
    <row r="20" spans="1:16" ht="15" customHeight="1">
      <c r="A20" s="191" t="s">
        <v>44</v>
      </c>
      <c r="B20" s="90" t="s">
        <v>27</v>
      </c>
      <c r="C20" s="206">
        <v>37500</v>
      </c>
      <c r="D20" s="206">
        <v>460000</v>
      </c>
      <c r="E20" s="165" t="s">
        <v>610</v>
      </c>
      <c r="F20" s="1862">
        <f t="shared" si="0"/>
        <v>2040000</v>
      </c>
      <c r="G20" s="212">
        <v>108400</v>
      </c>
      <c r="H20" s="213">
        <v>108400</v>
      </c>
      <c r="I20" s="213">
        <v>126800</v>
      </c>
      <c r="J20" s="213">
        <v>143100</v>
      </c>
      <c r="K20" s="217">
        <v>143100</v>
      </c>
      <c r="L20" s="212">
        <v>257000</v>
      </c>
      <c r="M20" s="213">
        <v>202800</v>
      </c>
      <c r="N20" s="512">
        <v>0.28000000000000003</v>
      </c>
      <c r="O20" s="213"/>
      <c r="P20" s="217"/>
    </row>
    <row r="21" spans="1:16" ht="15" customHeight="1">
      <c r="A21" s="191" t="s">
        <v>45</v>
      </c>
      <c r="B21" s="90" t="s">
        <v>30</v>
      </c>
      <c r="C21" s="206">
        <v>10000</v>
      </c>
      <c r="D21" s="437" t="s">
        <v>607</v>
      </c>
      <c r="E21" s="209" t="s">
        <v>611</v>
      </c>
      <c r="F21" s="1862">
        <f t="shared" si="0"/>
        <v>1007820</v>
      </c>
      <c r="G21" s="212">
        <v>47000</v>
      </c>
      <c r="H21" s="213">
        <v>47000</v>
      </c>
      <c r="I21" s="213">
        <v>55100</v>
      </c>
      <c r="J21" s="213">
        <v>62200</v>
      </c>
      <c r="K21" s="217">
        <v>62200</v>
      </c>
      <c r="L21" s="212">
        <v>178300</v>
      </c>
      <c r="M21" s="213">
        <v>140900</v>
      </c>
      <c r="N21" s="512">
        <v>0.4</v>
      </c>
      <c r="O21" s="213"/>
      <c r="P21" s="217"/>
    </row>
    <row r="22" spans="1:16" ht="15" customHeight="1">
      <c r="A22" s="191" t="s">
        <v>47</v>
      </c>
      <c r="B22" s="90" t="s">
        <v>30</v>
      </c>
      <c r="C22" s="206">
        <v>5000</v>
      </c>
      <c r="D22" s="437" t="s">
        <v>607</v>
      </c>
      <c r="E22" s="209" t="s">
        <v>611</v>
      </c>
      <c r="F22" s="1862">
        <f t="shared" si="0"/>
        <v>1007820</v>
      </c>
      <c r="G22" s="212">
        <v>43600</v>
      </c>
      <c r="H22" s="213">
        <v>43600</v>
      </c>
      <c r="I22" s="213">
        <v>51000</v>
      </c>
      <c r="J22" s="213">
        <v>57600</v>
      </c>
      <c r="K22" s="217">
        <v>57600</v>
      </c>
      <c r="L22" s="212">
        <v>165300</v>
      </c>
      <c r="M22" s="213">
        <v>130600</v>
      </c>
      <c r="N22" s="512">
        <v>0.4</v>
      </c>
      <c r="O22" s="213"/>
      <c r="P22" s="217"/>
    </row>
    <row r="23" spans="1:16" ht="15" customHeight="1">
      <c r="A23" s="191" t="s">
        <v>48</v>
      </c>
      <c r="B23" s="90" t="s">
        <v>30</v>
      </c>
      <c r="C23" s="206">
        <v>2500</v>
      </c>
      <c r="D23" s="437" t="s">
        <v>607</v>
      </c>
      <c r="E23" s="209" t="s">
        <v>611</v>
      </c>
      <c r="F23" s="1862">
        <f t="shared" si="0"/>
        <v>1007820</v>
      </c>
      <c r="G23" s="212">
        <v>43600</v>
      </c>
      <c r="H23" s="213">
        <v>43600</v>
      </c>
      <c r="I23" s="213">
        <v>51000</v>
      </c>
      <c r="J23" s="213">
        <v>57600</v>
      </c>
      <c r="K23" s="217">
        <v>57600</v>
      </c>
      <c r="L23" s="212">
        <v>165300</v>
      </c>
      <c r="M23" s="213">
        <v>130600</v>
      </c>
      <c r="N23" s="512">
        <v>0.4</v>
      </c>
      <c r="O23" s="213"/>
      <c r="P23" s="217"/>
    </row>
    <row r="24" spans="1:16" ht="15" customHeight="1">
      <c r="A24" s="191" t="s">
        <v>49</v>
      </c>
      <c r="B24" s="90" t="s">
        <v>37</v>
      </c>
      <c r="C24" s="206">
        <v>75000</v>
      </c>
      <c r="D24" s="206">
        <v>610000</v>
      </c>
      <c r="E24" s="165" t="s">
        <v>610</v>
      </c>
      <c r="F24" s="1862">
        <f t="shared" si="0"/>
        <v>2241600</v>
      </c>
      <c r="G24" s="212">
        <v>81100</v>
      </c>
      <c r="H24" s="213">
        <v>81100</v>
      </c>
      <c r="I24" s="213">
        <v>94900</v>
      </c>
      <c r="J24" s="213">
        <v>107000</v>
      </c>
      <c r="K24" s="217">
        <v>107000</v>
      </c>
      <c r="L24" s="212">
        <v>227600</v>
      </c>
      <c r="M24" s="213">
        <v>179800</v>
      </c>
      <c r="N24" s="512">
        <v>0.33</v>
      </c>
      <c r="O24" s="213"/>
      <c r="P24" s="217"/>
    </row>
    <row r="25" spans="1:16" ht="15" customHeight="1">
      <c r="A25" s="191" t="s">
        <v>51</v>
      </c>
      <c r="B25" s="90" t="s">
        <v>27</v>
      </c>
      <c r="C25" s="206">
        <v>37500</v>
      </c>
      <c r="D25" s="206">
        <v>460000</v>
      </c>
      <c r="E25" s="165" t="s">
        <v>610</v>
      </c>
      <c r="F25" s="1862">
        <f t="shared" si="0"/>
        <v>2040000</v>
      </c>
      <c r="G25" s="212">
        <v>69400</v>
      </c>
      <c r="H25" s="213">
        <v>69400</v>
      </c>
      <c r="I25" s="213">
        <v>81200</v>
      </c>
      <c r="J25" s="213">
        <v>91700</v>
      </c>
      <c r="K25" s="217">
        <v>91700</v>
      </c>
      <c r="L25" s="212">
        <v>210400</v>
      </c>
      <c r="M25" s="213">
        <v>166100</v>
      </c>
      <c r="N25" s="512">
        <v>0.35</v>
      </c>
      <c r="O25" s="213"/>
      <c r="P25" s="217"/>
    </row>
    <row r="26" spans="1:16" ht="15" customHeight="1">
      <c r="A26" s="191" t="s">
        <v>52</v>
      </c>
      <c r="B26" s="90" t="s">
        <v>27</v>
      </c>
      <c r="C26" s="206">
        <v>20000</v>
      </c>
      <c r="D26" s="206">
        <v>340000</v>
      </c>
      <c r="E26" s="165" t="s">
        <v>610</v>
      </c>
      <c r="F26" s="1862">
        <f t="shared" si="0"/>
        <v>2040000</v>
      </c>
      <c r="G26" s="212">
        <v>66900</v>
      </c>
      <c r="H26" s="213">
        <v>66900</v>
      </c>
      <c r="I26" s="213">
        <v>78400</v>
      </c>
      <c r="J26" s="213">
        <v>88400</v>
      </c>
      <c r="K26" s="217">
        <v>88400</v>
      </c>
      <c r="L26" s="212">
        <v>203100</v>
      </c>
      <c r="M26" s="213">
        <v>160400</v>
      </c>
      <c r="N26" s="512">
        <v>0.35</v>
      </c>
      <c r="O26" s="213"/>
      <c r="P26" s="217"/>
    </row>
    <row r="27" spans="1:16" ht="15" customHeight="1">
      <c r="A27" s="191" t="s">
        <v>53</v>
      </c>
      <c r="B27" s="90" t="s">
        <v>30</v>
      </c>
      <c r="C27" s="206">
        <v>2500</v>
      </c>
      <c r="D27" s="437" t="s">
        <v>607</v>
      </c>
      <c r="E27" s="209" t="s">
        <v>611</v>
      </c>
      <c r="F27" s="1862">
        <f t="shared" si="0"/>
        <v>1007820</v>
      </c>
      <c r="G27" s="212">
        <v>44400</v>
      </c>
      <c r="H27" s="213">
        <v>44400</v>
      </c>
      <c r="I27" s="213">
        <v>51900</v>
      </c>
      <c r="J27" s="213">
        <v>58500</v>
      </c>
      <c r="K27" s="217">
        <v>58500</v>
      </c>
      <c r="L27" s="212">
        <v>168400</v>
      </c>
      <c r="M27" s="213">
        <v>132900</v>
      </c>
      <c r="N27" s="512">
        <v>0.4</v>
      </c>
      <c r="O27" s="213"/>
      <c r="P27" s="217"/>
    </row>
    <row r="28" spans="1:16" ht="15" customHeight="1">
      <c r="A28" s="191" t="s">
        <v>54</v>
      </c>
      <c r="B28" s="90" t="s">
        <v>30</v>
      </c>
      <c r="C28" s="206">
        <v>5000</v>
      </c>
      <c r="D28" s="437" t="s">
        <v>607</v>
      </c>
      <c r="E28" s="165" t="s">
        <v>610</v>
      </c>
      <c r="F28" s="1862">
        <f t="shared" si="0"/>
        <v>1007820</v>
      </c>
      <c r="G28" s="212">
        <v>78800</v>
      </c>
      <c r="H28" s="213">
        <v>78800</v>
      </c>
      <c r="I28" s="213">
        <v>92100</v>
      </c>
      <c r="J28" s="213">
        <v>103900</v>
      </c>
      <c r="K28" s="217">
        <v>103900</v>
      </c>
      <c r="L28" s="212">
        <v>221100</v>
      </c>
      <c r="M28" s="213">
        <v>174500</v>
      </c>
      <c r="N28" s="512">
        <v>0.33</v>
      </c>
      <c r="O28" s="213"/>
      <c r="P28" s="217"/>
    </row>
    <row r="29" spans="1:16" ht="15" customHeight="1">
      <c r="A29" s="191" t="s">
        <v>55</v>
      </c>
      <c r="B29" s="90" t="s">
        <v>30</v>
      </c>
      <c r="C29" s="206">
        <v>2500</v>
      </c>
      <c r="D29" s="437" t="s">
        <v>607</v>
      </c>
      <c r="E29" s="165" t="s">
        <v>610</v>
      </c>
      <c r="F29" s="1862">
        <f t="shared" si="0"/>
        <v>1007820</v>
      </c>
      <c r="G29" s="212">
        <v>79300</v>
      </c>
      <c r="H29" s="213">
        <v>79300</v>
      </c>
      <c r="I29" s="213">
        <v>93200</v>
      </c>
      <c r="J29" s="213">
        <v>105000</v>
      </c>
      <c r="K29" s="217">
        <v>105000</v>
      </c>
      <c r="L29" s="212">
        <v>223000</v>
      </c>
      <c r="M29" s="213">
        <v>176000</v>
      </c>
      <c r="N29" s="512">
        <v>0.33</v>
      </c>
      <c r="O29" s="213"/>
      <c r="P29" s="217"/>
    </row>
    <row r="30" spans="1:16" ht="15" customHeight="1">
      <c r="A30" s="191" t="s">
        <v>56</v>
      </c>
      <c r="B30" s="90" t="s">
        <v>30</v>
      </c>
      <c r="C30" s="206">
        <v>2500</v>
      </c>
      <c r="D30" s="437" t="s">
        <v>607</v>
      </c>
      <c r="E30" s="209" t="s">
        <v>611</v>
      </c>
      <c r="F30" s="1862">
        <f t="shared" si="0"/>
        <v>1007820</v>
      </c>
      <c r="G30" s="212">
        <v>43600</v>
      </c>
      <c r="H30" s="213">
        <v>43600</v>
      </c>
      <c r="I30" s="213">
        <v>51000</v>
      </c>
      <c r="J30" s="213">
        <v>57600</v>
      </c>
      <c r="K30" s="217">
        <v>57600</v>
      </c>
      <c r="L30" s="212">
        <v>165300</v>
      </c>
      <c r="M30" s="213">
        <v>130600</v>
      </c>
      <c r="N30" s="512">
        <v>0.4</v>
      </c>
      <c r="O30" s="213"/>
      <c r="P30" s="217"/>
    </row>
    <row r="31" spans="1:16" ht="15" customHeight="1">
      <c r="A31" s="191" t="s">
        <v>57</v>
      </c>
      <c r="B31" s="90" t="s">
        <v>30</v>
      </c>
      <c r="C31" s="206">
        <v>2500</v>
      </c>
      <c r="D31" s="437" t="s">
        <v>607</v>
      </c>
      <c r="E31" s="165" t="s">
        <v>610</v>
      </c>
      <c r="F31" s="1862">
        <f t="shared" si="0"/>
        <v>1007820</v>
      </c>
      <c r="G31" s="212">
        <v>44200</v>
      </c>
      <c r="H31" s="213">
        <v>44200</v>
      </c>
      <c r="I31" s="213">
        <v>51700</v>
      </c>
      <c r="J31" s="213">
        <v>58300</v>
      </c>
      <c r="K31" s="217">
        <v>58300</v>
      </c>
      <c r="L31" s="212">
        <v>167600</v>
      </c>
      <c r="M31" s="213">
        <v>132500</v>
      </c>
      <c r="N31" s="512">
        <v>0.4</v>
      </c>
      <c r="O31" s="213"/>
      <c r="P31" s="217"/>
    </row>
    <row r="32" spans="1:16" ht="15" customHeight="1">
      <c r="A32" s="191" t="s">
        <v>58</v>
      </c>
      <c r="B32" s="90" t="s">
        <v>30</v>
      </c>
      <c r="C32" s="206">
        <v>2500</v>
      </c>
      <c r="D32" s="437" t="s">
        <v>607</v>
      </c>
      <c r="E32" s="208" t="s">
        <v>611</v>
      </c>
      <c r="F32" s="1862">
        <f t="shared" si="0"/>
        <v>1007820</v>
      </c>
      <c r="G32" s="212">
        <v>43600</v>
      </c>
      <c r="H32" s="213">
        <v>43600</v>
      </c>
      <c r="I32" s="213">
        <v>51000</v>
      </c>
      <c r="J32" s="213">
        <v>57600</v>
      </c>
      <c r="K32" s="217">
        <v>57600</v>
      </c>
      <c r="L32" s="212">
        <v>165300</v>
      </c>
      <c r="M32" s="213">
        <v>130600</v>
      </c>
      <c r="N32" s="512">
        <v>0.4</v>
      </c>
      <c r="O32" s="213"/>
      <c r="P32" s="217"/>
    </row>
    <row r="33" spans="1:16" ht="15" customHeight="1">
      <c r="A33" s="191" t="s">
        <v>59</v>
      </c>
      <c r="B33" s="90" t="s">
        <v>30</v>
      </c>
      <c r="C33" s="206">
        <v>5000</v>
      </c>
      <c r="D33" s="437" t="s">
        <v>607</v>
      </c>
      <c r="E33" s="208" t="s">
        <v>611</v>
      </c>
      <c r="F33" s="1862">
        <f t="shared" si="0"/>
        <v>1007820</v>
      </c>
      <c r="G33" s="212">
        <v>43600</v>
      </c>
      <c r="H33" s="213">
        <v>43600</v>
      </c>
      <c r="I33" s="213">
        <v>51000</v>
      </c>
      <c r="J33" s="213">
        <v>57600</v>
      </c>
      <c r="K33" s="217">
        <v>57600</v>
      </c>
      <c r="L33" s="212">
        <v>165300</v>
      </c>
      <c r="M33" s="213">
        <v>130600</v>
      </c>
      <c r="N33" s="512">
        <v>0.4</v>
      </c>
      <c r="O33" s="213"/>
      <c r="P33" s="217"/>
    </row>
    <row r="34" spans="1:16" ht="15" customHeight="1">
      <c r="A34" s="191" t="s">
        <v>60</v>
      </c>
      <c r="B34" s="90" t="s">
        <v>30</v>
      </c>
      <c r="C34" s="206">
        <v>5000</v>
      </c>
      <c r="D34" s="437" t="s">
        <v>607</v>
      </c>
      <c r="E34" s="209" t="s">
        <v>611</v>
      </c>
      <c r="F34" s="1862">
        <f t="shared" si="0"/>
        <v>1007820</v>
      </c>
      <c r="G34" s="212">
        <v>43600</v>
      </c>
      <c r="H34" s="213">
        <v>43600</v>
      </c>
      <c r="I34" s="213">
        <v>51000</v>
      </c>
      <c r="J34" s="213">
        <v>57600</v>
      </c>
      <c r="K34" s="217">
        <v>57600</v>
      </c>
      <c r="L34" s="212">
        <v>165300</v>
      </c>
      <c r="M34" s="213">
        <v>130600</v>
      </c>
      <c r="N34" s="512">
        <v>0.4</v>
      </c>
      <c r="O34" s="213"/>
      <c r="P34" s="217"/>
    </row>
    <row r="35" spans="1:16" ht="15" customHeight="1">
      <c r="A35" s="191" t="s">
        <v>61</v>
      </c>
      <c r="B35" s="90" t="s">
        <v>27</v>
      </c>
      <c r="C35" s="206">
        <v>20000</v>
      </c>
      <c r="D35" s="206">
        <v>340000</v>
      </c>
      <c r="E35" s="165" t="s">
        <v>610</v>
      </c>
      <c r="F35" s="1862">
        <f t="shared" si="0"/>
        <v>2040000</v>
      </c>
      <c r="G35" s="212">
        <v>79500</v>
      </c>
      <c r="H35" s="213">
        <v>79500</v>
      </c>
      <c r="I35" s="213">
        <v>93200</v>
      </c>
      <c r="J35" s="213">
        <v>105200</v>
      </c>
      <c r="K35" s="217">
        <v>105200</v>
      </c>
      <c r="L35" s="212">
        <v>223800</v>
      </c>
      <c r="M35" s="213">
        <v>176400</v>
      </c>
      <c r="N35" s="512">
        <v>0.33</v>
      </c>
      <c r="O35" s="213"/>
      <c r="P35" s="217"/>
    </row>
    <row r="36" spans="1:16" ht="15" customHeight="1">
      <c r="A36" s="191" t="s">
        <v>62</v>
      </c>
      <c r="B36" s="90" t="s">
        <v>27</v>
      </c>
      <c r="C36" s="206">
        <v>20000</v>
      </c>
      <c r="D36" s="206">
        <v>340000</v>
      </c>
      <c r="E36" s="165" t="s">
        <v>610</v>
      </c>
      <c r="F36" s="1862">
        <f t="shared" si="0"/>
        <v>2040000</v>
      </c>
      <c r="G36" s="212">
        <v>44400</v>
      </c>
      <c r="H36" s="213">
        <v>44400</v>
      </c>
      <c r="I36" s="213">
        <v>52100</v>
      </c>
      <c r="J36" s="213">
        <v>58700</v>
      </c>
      <c r="K36" s="217">
        <v>58700</v>
      </c>
      <c r="L36" s="212">
        <v>168800</v>
      </c>
      <c r="M36" s="213">
        <v>133300</v>
      </c>
      <c r="N36" s="512">
        <v>0.4</v>
      </c>
      <c r="O36" s="213"/>
      <c r="P36" s="217"/>
    </row>
    <row r="37" spans="1:16" ht="15" customHeight="1">
      <c r="A37" s="207" t="s">
        <v>63</v>
      </c>
      <c r="B37" s="90" t="s">
        <v>37</v>
      </c>
      <c r="C37" s="206">
        <v>75000</v>
      </c>
      <c r="D37" s="206">
        <v>610000</v>
      </c>
      <c r="E37" s="165" t="s">
        <v>610</v>
      </c>
      <c r="F37" s="1862">
        <f t="shared" si="0"/>
        <v>2850000</v>
      </c>
      <c r="G37" s="212">
        <v>79500</v>
      </c>
      <c r="H37" s="213">
        <v>79500</v>
      </c>
      <c r="I37" s="213">
        <v>93200</v>
      </c>
      <c r="J37" s="213">
        <v>105200</v>
      </c>
      <c r="K37" s="217">
        <v>105200</v>
      </c>
      <c r="L37" s="212">
        <v>223800</v>
      </c>
      <c r="M37" s="213">
        <v>176400</v>
      </c>
      <c r="N37" s="512">
        <v>0.33</v>
      </c>
      <c r="O37" s="213"/>
      <c r="P37" s="217"/>
    </row>
    <row r="38" spans="1:16" ht="15" customHeight="1">
      <c r="A38" s="191" t="s">
        <v>64</v>
      </c>
      <c r="B38" s="90" t="s">
        <v>30</v>
      </c>
      <c r="C38" s="206">
        <v>2500</v>
      </c>
      <c r="D38" s="437" t="s">
        <v>607</v>
      </c>
      <c r="E38" s="208" t="s">
        <v>611</v>
      </c>
      <c r="F38" s="1862">
        <f t="shared" si="0"/>
        <v>1007820</v>
      </c>
      <c r="G38" s="212">
        <v>43600</v>
      </c>
      <c r="H38" s="213">
        <v>43600</v>
      </c>
      <c r="I38" s="213">
        <v>51000</v>
      </c>
      <c r="J38" s="213">
        <v>57600</v>
      </c>
      <c r="K38" s="217">
        <v>57600</v>
      </c>
      <c r="L38" s="212">
        <v>165300</v>
      </c>
      <c r="M38" s="213">
        <v>130600</v>
      </c>
      <c r="N38" s="512">
        <v>0.4</v>
      </c>
      <c r="O38" s="213"/>
      <c r="P38" s="217"/>
    </row>
    <row r="39" spans="1:16" ht="15" customHeight="1">
      <c r="A39" s="207" t="s">
        <v>65</v>
      </c>
      <c r="B39" s="90" t="s">
        <v>27</v>
      </c>
      <c r="C39" s="206">
        <v>20000</v>
      </c>
      <c r="D39" s="206">
        <v>340000</v>
      </c>
      <c r="E39" s="165" t="s">
        <v>610</v>
      </c>
      <c r="F39" s="1862">
        <f t="shared" si="0"/>
        <v>2040000</v>
      </c>
      <c r="G39" s="212">
        <v>77400</v>
      </c>
      <c r="H39" s="213">
        <v>77400</v>
      </c>
      <c r="I39" s="213">
        <v>90800</v>
      </c>
      <c r="J39" s="213">
        <v>102300</v>
      </c>
      <c r="K39" s="217">
        <v>102300</v>
      </c>
      <c r="L39" s="212">
        <v>217600</v>
      </c>
      <c r="M39" s="213">
        <v>171800</v>
      </c>
      <c r="N39" s="512">
        <v>0.33</v>
      </c>
      <c r="O39" s="213"/>
      <c r="P39" s="217"/>
    </row>
    <row r="40" spans="1:16" ht="15" customHeight="1">
      <c r="A40" s="191" t="s">
        <v>66</v>
      </c>
      <c r="B40" s="90" t="s">
        <v>30</v>
      </c>
      <c r="C40" s="206">
        <v>5000</v>
      </c>
      <c r="D40" s="437" t="s">
        <v>607</v>
      </c>
      <c r="E40" s="208" t="s">
        <v>611</v>
      </c>
      <c r="F40" s="1862">
        <f t="shared" si="0"/>
        <v>1007820</v>
      </c>
      <c r="G40" s="212">
        <v>43600</v>
      </c>
      <c r="H40" s="213">
        <v>43600</v>
      </c>
      <c r="I40" s="213">
        <v>51000</v>
      </c>
      <c r="J40" s="213">
        <v>57600</v>
      </c>
      <c r="K40" s="217">
        <v>57600</v>
      </c>
      <c r="L40" s="212">
        <v>165300</v>
      </c>
      <c r="M40" s="213">
        <v>130600</v>
      </c>
      <c r="N40" s="512">
        <v>0.4</v>
      </c>
      <c r="O40" s="213"/>
      <c r="P40" s="217"/>
    </row>
    <row r="41" spans="1:16" ht="15" customHeight="1">
      <c r="A41" s="191" t="s">
        <v>67</v>
      </c>
      <c r="B41" s="90" t="s">
        <v>30</v>
      </c>
      <c r="C41" s="206">
        <v>2500</v>
      </c>
      <c r="D41" s="437" t="s">
        <v>607</v>
      </c>
      <c r="E41" s="165" t="s">
        <v>610</v>
      </c>
      <c r="F41" s="1862">
        <f t="shared" si="0"/>
        <v>1007820</v>
      </c>
      <c r="G41" s="212">
        <v>78800</v>
      </c>
      <c r="H41" s="213">
        <v>78800</v>
      </c>
      <c r="I41" s="213">
        <v>92100</v>
      </c>
      <c r="J41" s="213">
        <v>103900</v>
      </c>
      <c r="K41" s="217">
        <v>103900</v>
      </c>
      <c r="L41" s="212">
        <v>221100</v>
      </c>
      <c r="M41" s="213">
        <v>174500</v>
      </c>
      <c r="N41" s="512">
        <v>0.33</v>
      </c>
      <c r="O41" s="213"/>
      <c r="P41" s="217"/>
    </row>
    <row r="42" spans="1:16" ht="15" customHeight="1">
      <c r="A42" s="191" t="s">
        <v>68</v>
      </c>
      <c r="B42" s="90" t="s">
        <v>30</v>
      </c>
      <c r="C42" s="206">
        <v>2500</v>
      </c>
      <c r="D42" s="437" t="s">
        <v>607</v>
      </c>
      <c r="E42" s="208" t="s">
        <v>611</v>
      </c>
      <c r="F42" s="1862">
        <f t="shared" si="0"/>
        <v>1007820</v>
      </c>
      <c r="G42" s="212">
        <v>45700</v>
      </c>
      <c r="H42" s="213">
        <v>45700</v>
      </c>
      <c r="I42" s="213">
        <v>53600</v>
      </c>
      <c r="J42" s="213">
        <v>60500</v>
      </c>
      <c r="K42" s="217">
        <v>60500</v>
      </c>
      <c r="L42" s="212">
        <v>173700</v>
      </c>
      <c r="M42" s="213">
        <v>137100</v>
      </c>
      <c r="N42" s="512">
        <v>0.4</v>
      </c>
      <c r="O42" s="213"/>
      <c r="P42" s="217"/>
    </row>
    <row r="43" spans="1:16" ht="15" customHeight="1">
      <c r="A43" s="191" t="s">
        <v>69</v>
      </c>
      <c r="B43" s="90" t="s">
        <v>27</v>
      </c>
      <c r="C43" s="206">
        <v>37500</v>
      </c>
      <c r="D43" s="206">
        <v>460000</v>
      </c>
      <c r="E43" s="165" t="s">
        <v>610</v>
      </c>
      <c r="F43" s="1862">
        <f t="shared" si="0"/>
        <v>2040000</v>
      </c>
      <c r="G43" s="212">
        <v>80300</v>
      </c>
      <c r="H43" s="213">
        <v>80300</v>
      </c>
      <c r="I43" s="213">
        <v>94100</v>
      </c>
      <c r="J43" s="213">
        <v>106100</v>
      </c>
      <c r="K43" s="217">
        <v>106100</v>
      </c>
      <c r="L43" s="212">
        <v>225700</v>
      </c>
      <c r="M43" s="213">
        <v>178300</v>
      </c>
      <c r="N43" s="512">
        <v>0.33</v>
      </c>
      <c r="O43" s="213"/>
      <c r="P43" s="217"/>
    </row>
    <row r="44" spans="1:16" ht="15" customHeight="1">
      <c r="A44" s="191" t="s">
        <v>70</v>
      </c>
      <c r="B44" s="90" t="s">
        <v>27</v>
      </c>
      <c r="C44" s="206">
        <v>50000</v>
      </c>
      <c r="D44" s="206">
        <v>460000</v>
      </c>
      <c r="E44" s="165" t="s">
        <v>610</v>
      </c>
      <c r="F44" s="1862">
        <f t="shared" si="0"/>
        <v>2040000</v>
      </c>
      <c r="G44" s="212">
        <v>78000</v>
      </c>
      <c r="H44" s="213">
        <v>78000</v>
      </c>
      <c r="I44" s="213">
        <v>91300</v>
      </c>
      <c r="J44" s="213">
        <v>102800</v>
      </c>
      <c r="K44" s="217">
        <v>102800</v>
      </c>
      <c r="L44" s="212">
        <v>219200</v>
      </c>
      <c r="M44" s="213">
        <v>173000</v>
      </c>
      <c r="N44" s="512">
        <v>0.33</v>
      </c>
      <c r="O44" s="213"/>
      <c r="P44" s="217"/>
    </row>
    <row r="45" spans="1:16" ht="15" customHeight="1">
      <c r="A45" s="191" t="s">
        <v>71</v>
      </c>
      <c r="B45" s="90" t="s">
        <v>27</v>
      </c>
      <c r="C45" s="206">
        <v>37500</v>
      </c>
      <c r="D45" s="206">
        <v>460000</v>
      </c>
      <c r="E45" s="165" t="s">
        <v>610</v>
      </c>
      <c r="F45" s="1862">
        <f t="shared" si="0"/>
        <v>2040000</v>
      </c>
      <c r="G45" s="212">
        <v>78800</v>
      </c>
      <c r="H45" s="213">
        <v>78800</v>
      </c>
      <c r="I45" s="213">
        <v>92100</v>
      </c>
      <c r="J45" s="213">
        <v>103900</v>
      </c>
      <c r="K45" s="217">
        <v>103900</v>
      </c>
      <c r="L45" s="212">
        <v>221100</v>
      </c>
      <c r="M45" s="213">
        <v>174500</v>
      </c>
      <c r="N45" s="512">
        <v>0.33</v>
      </c>
      <c r="O45" s="213"/>
      <c r="P45" s="217"/>
    </row>
    <row r="46" spans="1:16" ht="15" customHeight="1">
      <c r="A46" s="191" t="s">
        <v>72</v>
      </c>
      <c r="B46" s="90" t="s">
        <v>30</v>
      </c>
      <c r="C46" s="206">
        <v>5000</v>
      </c>
      <c r="D46" s="437" t="s">
        <v>607</v>
      </c>
      <c r="E46" s="209" t="s">
        <v>611</v>
      </c>
      <c r="F46" s="1862">
        <f t="shared" si="0"/>
        <v>1007820</v>
      </c>
      <c r="G46" s="212">
        <v>43600</v>
      </c>
      <c r="H46" s="213">
        <v>43600</v>
      </c>
      <c r="I46" s="213">
        <v>51000</v>
      </c>
      <c r="J46" s="213">
        <v>57600</v>
      </c>
      <c r="K46" s="217">
        <v>57600</v>
      </c>
      <c r="L46" s="212">
        <v>165300</v>
      </c>
      <c r="M46" s="213">
        <v>130600</v>
      </c>
      <c r="N46" s="512">
        <v>0.4</v>
      </c>
      <c r="O46" s="213"/>
      <c r="P46" s="217"/>
    </row>
    <row r="47" spans="1:16" ht="15" customHeight="1">
      <c r="A47" s="191" t="s">
        <v>73</v>
      </c>
      <c r="B47" s="90" t="s">
        <v>30</v>
      </c>
      <c r="C47" s="206">
        <v>2500</v>
      </c>
      <c r="D47" s="437" t="s">
        <v>607</v>
      </c>
      <c r="E47" s="208" t="s">
        <v>611</v>
      </c>
      <c r="F47" s="1862">
        <f t="shared" si="0"/>
        <v>1007820</v>
      </c>
      <c r="G47" s="212">
        <v>43600</v>
      </c>
      <c r="H47" s="213">
        <v>43600</v>
      </c>
      <c r="I47" s="213">
        <v>51000</v>
      </c>
      <c r="J47" s="213">
        <v>57600</v>
      </c>
      <c r="K47" s="217">
        <v>57600</v>
      </c>
      <c r="L47" s="212">
        <v>165300</v>
      </c>
      <c r="M47" s="213">
        <v>130600</v>
      </c>
      <c r="N47" s="512">
        <v>0.4</v>
      </c>
      <c r="O47" s="213"/>
      <c r="P47" s="217"/>
    </row>
    <row r="48" spans="1:16" ht="15" customHeight="1">
      <c r="A48" s="191" t="s">
        <v>74</v>
      </c>
      <c r="B48" s="90" t="s">
        <v>30</v>
      </c>
      <c r="C48" s="206">
        <v>2500</v>
      </c>
      <c r="D48" s="437" t="s">
        <v>607</v>
      </c>
      <c r="E48" s="208" t="s">
        <v>611</v>
      </c>
      <c r="F48" s="1862">
        <f t="shared" si="0"/>
        <v>1007820</v>
      </c>
      <c r="G48" s="212">
        <v>43600</v>
      </c>
      <c r="H48" s="213">
        <v>43600</v>
      </c>
      <c r="I48" s="213">
        <v>51000</v>
      </c>
      <c r="J48" s="213">
        <v>57600</v>
      </c>
      <c r="K48" s="217">
        <v>57600</v>
      </c>
      <c r="L48" s="212">
        <v>165300</v>
      </c>
      <c r="M48" s="213">
        <v>130600</v>
      </c>
      <c r="N48" s="512">
        <v>0.4</v>
      </c>
      <c r="O48" s="213"/>
      <c r="P48" s="217"/>
    </row>
    <row r="49" spans="1:16" ht="15" customHeight="1">
      <c r="A49" s="191" t="s">
        <v>75</v>
      </c>
      <c r="B49" s="90" t="s">
        <v>27</v>
      </c>
      <c r="C49" s="206">
        <v>37500</v>
      </c>
      <c r="D49" s="206">
        <v>460000</v>
      </c>
      <c r="E49" s="165" t="s">
        <v>610</v>
      </c>
      <c r="F49" s="1862">
        <f t="shared" si="0"/>
        <v>2040000</v>
      </c>
      <c r="G49" s="212">
        <v>83700</v>
      </c>
      <c r="H49" s="213">
        <v>83700</v>
      </c>
      <c r="I49" s="213">
        <v>97800</v>
      </c>
      <c r="J49" s="213">
        <v>110600</v>
      </c>
      <c r="K49" s="217">
        <v>110600</v>
      </c>
      <c r="L49" s="212">
        <v>235200</v>
      </c>
      <c r="M49" s="213">
        <v>185600</v>
      </c>
      <c r="N49" s="512">
        <v>0.33</v>
      </c>
      <c r="O49" s="213"/>
      <c r="P49" s="217"/>
    </row>
    <row r="50" spans="1:16" ht="15" customHeight="1">
      <c r="A50" s="191" t="s">
        <v>76</v>
      </c>
      <c r="B50" s="90" t="s">
        <v>27</v>
      </c>
      <c r="C50" s="206">
        <v>37500</v>
      </c>
      <c r="D50" s="206">
        <v>460000</v>
      </c>
      <c r="E50" s="165" t="s">
        <v>610</v>
      </c>
      <c r="F50" s="1862">
        <f t="shared" si="0"/>
        <v>2040000</v>
      </c>
      <c r="G50" s="212">
        <v>44500</v>
      </c>
      <c r="H50" s="213">
        <v>44500</v>
      </c>
      <c r="I50" s="213">
        <v>52300</v>
      </c>
      <c r="J50" s="213">
        <v>58900</v>
      </c>
      <c r="K50" s="217">
        <v>58900</v>
      </c>
      <c r="L50" s="212">
        <v>169500</v>
      </c>
      <c r="M50" s="213">
        <v>133600</v>
      </c>
      <c r="N50" s="512">
        <v>0.4</v>
      </c>
      <c r="O50" s="213"/>
      <c r="P50" s="217"/>
    </row>
    <row r="51" spans="1:16" ht="15" customHeight="1">
      <c r="A51" s="191" t="s">
        <v>77</v>
      </c>
      <c r="B51" s="90" t="s">
        <v>27</v>
      </c>
      <c r="C51" s="206">
        <v>20000</v>
      </c>
      <c r="D51" s="206">
        <v>340000</v>
      </c>
      <c r="E51" s="165" t="s">
        <v>610</v>
      </c>
      <c r="F51" s="1862">
        <f t="shared" si="0"/>
        <v>2040000</v>
      </c>
      <c r="G51" s="212">
        <v>77400</v>
      </c>
      <c r="H51" s="213">
        <v>77400</v>
      </c>
      <c r="I51" s="213">
        <v>90800</v>
      </c>
      <c r="J51" s="213">
        <v>102400</v>
      </c>
      <c r="K51" s="217">
        <v>102400</v>
      </c>
      <c r="L51" s="212">
        <v>217600</v>
      </c>
      <c r="M51" s="213">
        <v>171800</v>
      </c>
      <c r="N51" s="512">
        <v>0.33</v>
      </c>
      <c r="O51" s="213"/>
      <c r="P51" s="217"/>
    </row>
    <row r="52" spans="1:16" ht="15" customHeight="1">
      <c r="A52" s="191" t="s">
        <v>78</v>
      </c>
      <c r="B52" s="90" t="s">
        <v>37</v>
      </c>
      <c r="C52" s="206">
        <v>250000</v>
      </c>
      <c r="D52" s="437" t="s">
        <v>607</v>
      </c>
      <c r="E52" s="165" t="s">
        <v>610</v>
      </c>
      <c r="F52" s="1862">
        <f t="shared" si="0"/>
        <v>3458400</v>
      </c>
      <c r="G52" s="212">
        <v>111800</v>
      </c>
      <c r="H52" s="213">
        <v>111800</v>
      </c>
      <c r="I52" s="213">
        <v>131300</v>
      </c>
      <c r="J52" s="213">
        <v>148000</v>
      </c>
      <c r="K52" s="217">
        <v>148000</v>
      </c>
      <c r="L52" s="212">
        <v>265400</v>
      </c>
      <c r="M52" s="213">
        <v>209600</v>
      </c>
      <c r="N52" s="512">
        <v>0.28000000000000003</v>
      </c>
      <c r="O52" s="213"/>
      <c r="P52" s="217"/>
    </row>
    <row r="53" spans="1:16" ht="15" customHeight="1">
      <c r="A53" s="191" t="s">
        <v>80</v>
      </c>
      <c r="B53" s="90" t="s">
        <v>30</v>
      </c>
      <c r="C53" s="206">
        <v>10000</v>
      </c>
      <c r="D53" s="437" t="s">
        <v>607</v>
      </c>
      <c r="E53" s="209" t="s">
        <v>611</v>
      </c>
      <c r="F53" s="1862">
        <f t="shared" si="0"/>
        <v>1007820</v>
      </c>
      <c r="G53" s="212">
        <v>117600</v>
      </c>
      <c r="H53" s="213">
        <v>117600</v>
      </c>
      <c r="I53" s="213">
        <v>137800</v>
      </c>
      <c r="J53" s="213">
        <v>155500</v>
      </c>
      <c r="K53" s="217">
        <v>155500</v>
      </c>
      <c r="L53" s="212">
        <v>279100</v>
      </c>
      <c r="M53" s="213">
        <v>220300</v>
      </c>
      <c r="N53" s="512">
        <v>0.28000000000000003</v>
      </c>
      <c r="O53" s="213"/>
      <c r="P53" s="217"/>
    </row>
    <row r="54" spans="1:16" ht="15" customHeight="1">
      <c r="A54" s="191" t="s">
        <v>82</v>
      </c>
      <c r="B54" s="90" t="s">
        <v>30</v>
      </c>
      <c r="C54" s="206">
        <v>10000</v>
      </c>
      <c r="D54" s="437" t="s">
        <v>607</v>
      </c>
      <c r="E54" s="165" t="s">
        <v>610</v>
      </c>
      <c r="F54" s="1862">
        <f t="shared" si="0"/>
        <v>1007820</v>
      </c>
      <c r="G54" s="212">
        <v>81100</v>
      </c>
      <c r="H54" s="213">
        <v>81100</v>
      </c>
      <c r="I54" s="213">
        <v>94900</v>
      </c>
      <c r="J54" s="213">
        <v>107000</v>
      </c>
      <c r="K54" s="217">
        <v>107000</v>
      </c>
      <c r="L54" s="212">
        <v>227600</v>
      </c>
      <c r="M54" s="213">
        <v>179800</v>
      </c>
      <c r="N54" s="512">
        <v>0.33</v>
      </c>
      <c r="O54" s="213"/>
      <c r="P54" s="217"/>
    </row>
    <row r="55" spans="1:16" ht="15" customHeight="1">
      <c r="A55" s="191" t="s">
        <v>83</v>
      </c>
      <c r="B55" s="90" t="s">
        <v>27</v>
      </c>
      <c r="C55" s="206">
        <v>20000</v>
      </c>
      <c r="D55" s="206">
        <v>340000</v>
      </c>
      <c r="E55" s="165" t="s">
        <v>610</v>
      </c>
      <c r="F55" s="1862">
        <f t="shared" si="0"/>
        <v>2040000</v>
      </c>
      <c r="G55" s="212">
        <v>94600</v>
      </c>
      <c r="H55" s="213">
        <v>94600</v>
      </c>
      <c r="I55" s="213">
        <v>110900</v>
      </c>
      <c r="J55" s="213">
        <v>125000</v>
      </c>
      <c r="K55" s="217">
        <v>125000</v>
      </c>
      <c r="L55" s="212">
        <v>239400</v>
      </c>
      <c r="M55" s="213">
        <v>189000</v>
      </c>
      <c r="N55" s="512">
        <v>0.3</v>
      </c>
      <c r="O55" s="213"/>
      <c r="P55" s="217"/>
    </row>
    <row r="56" spans="1:16" ht="15" customHeight="1">
      <c r="A56" s="191" t="s">
        <v>84</v>
      </c>
      <c r="B56" s="90" t="s">
        <v>30</v>
      </c>
      <c r="C56" s="206">
        <v>5000</v>
      </c>
      <c r="D56" s="437" t="s">
        <v>607</v>
      </c>
      <c r="E56" s="209" t="s">
        <v>611</v>
      </c>
      <c r="F56" s="1862">
        <f t="shared" si="0"/>
        <v>1007820</v>
      </c>
      <c r="G56" s="212">
        <v>43600</v>
      </c>
      <c r="H56" s="213">
        <v>43600</v>
      </c>
      <c r="I56" s="213">
        <v>51000</v>
      </c>
      <c r="J56" s="213">
        <v>57600</v>
      </c>
      <c r="K56" s="217">
        <v>57600</v>
      </c>
      <c r="L56" s="212">
        <v>165300</v>
      </c>
      <c r="M56" s="213">
        <v>130600</v>
      </c>
      <c r="N56" s="512">
        <v>0.4</v>
      </c>
      <c r="O56" s="213"/>
      <c r="P56" s="217"/>
    </row>
    <row r="57" spans="1:16" ht="15" customHeight="1">
      <c r="A57" s="191" t="s">
        <v>85</v>
      </c>
      <c r="B57" s="90" t="s">
        <v>37</v>
      </c>
      <c r="C57" s="206">
        <v>75000</v>
      </c>
      <c r="D57" s="206">
        <v>610000</v>
      </c>
      <c r="E57" s="165" t="s">
        <v>610</v>
      </c>
      <c r="F57" s="1862">
        <f t="shared" si="0"/>
        <v>2850000</v>
      </c>
      <c r="G57" s="212">
        <v>80300</v>
      </c>
      <c r="H57" s="213">
        <v>80300</v>
      </c>
      <c r="I57" s="213">
        <v>94100</v>
      </c>
      <c r="J57" s="213">
        <v>106100</v>
      </c>
      <c r="K57" s="217">
        <v>106100</v>
      </c>
      <c r="L57" s="212">
        <v>225700</v>
      </c>
      <c r="M57" s="213">
        <v>178300</v>
      </c>
      <c r="N57" s="512">
        <v>0.33</v>
      </c>
      <c r="O57" s="213"/>
      <c r="P57" s="217"/>
    </row>
    <row r="58" spans="1:16" ht="15" customHeight="1">
      <c r="A58" s="191" t="s">
        <v>86</v>
      </c>
      <c r="B58" s="90" t="s">
        <v>27</v>
      </c>
      <c r="C58" s="206">
        <v>20000</v>
      </c>
      <c r="D58" s="206">
        <v>460000</v>
      </c>
      <c r="E58" s="165" t="s">
        <v>610</v>
      </c>
      <c r="F58" s="1862">
        <f t="shared" si="0"/>
        <v>2040000</v>
      </c>
      <c r="G58" s="212">
        <v>80300</v>
      </c>
      <c r="H58" s="213">
        <v>80300</v>
      </c>
      <c r="I58" s="213">
        <v>94100</v>
      </c>
      <c r="J58" s="213">
        <v>106100</v>
      </c>
      <c r="K58" s="217">
        <v>106100</v>
      </c>
      <c r="L58" s="212">
        <v>225700</v>
      </c>
      <c r="M58" s="213">
        <v>178300</v>
      </c>
      <c r="N58" s="512">
        <v>0.33</v>
      </c>
      <c r="O58" s="213"/>
      <c r="P58" s="217"/>
    </row>
    <row r="59" spans="1:16" ht="15" customHeight="1">
      <c r="A59" s="191" t="s">
        <v>87</v>
      </c>
      <c r="B59" s="90" t="s">
        <v>37</v>
      </c>
      <c r="C59" s="206">
        <v>75000</v>
      </c>
      <c r="D59" s="206">
        <v>640000</v>
      </c>
      <c r="E59" s="165" t="s">
        <v>610</v>
      </c>
      <c r="F59" s="1862">
        <f t="shared" si="0"/>
        <v>2850000</v>
      </c>
      <c r="G59" s="212">
        <v>99000</v>
      </c>
      <c r="H59" s="213">
        <v>99000</v>
      </c>
      <c r="I59" s="213">
        <v>116000</v>
      </c>
      <c r="J59" s="213">
        <v>130900</v>
      </c>
      <c r="K59" s="217">
        <v>130900</v>
      </c>
      <c r="L59" s="212">
        <v>250500</v>
      </c>
      <c r="M59" s="213">
        <v>197800</v>
      </c>
      <c r="N59" s="512">
        <v>0.3</v>
      </c>
      <c r="O59" s="213"/>
      <c r="P59" s="217"/>
    </row>
    <row r="60" spans="1:16" ht="15" customHeight="1">
      <c r="A60" s="191" t="s">
        <v>88</v>
      </c>
      <c r="B60" s="90" t="s">
        <v>27</v>
      </c>
      <c r="C60" s="206">
        <v>50000</v>
      </c>
      <c r="D60" s="206">
        <v>460000</v>
      </c>
      <c r="E60" s="165" t="s">
        <v>610</v>
      </c>
      <c r="F60" s="1862">
        <f t="shared" si="0"/>
        <v>2040000</v>
      </c>
      <c r="G60" s="212">
        <v>79500</v>
      </c>
      <c r="H60" s="213">
        <v>79500</v>
      </c>
      <c r="I60" s="213">
        <v>93200</v>
      </c>
      <c r="J60" s="213">
        <v>105200</v>
      </c>
      <c r="K60" s="217">
        <v>105200</v>
      </c>
      <c r="L60" s="212">
        <v>223800</v>
      </c>
      <c r="M60" s="213">
        <v>176400</v>
      </c>
      <c r="N60" s="512">
        <v>0.33</v>
      </c>
      <c r="O60" s="213"/>
      <c r="P60" s="217"/>
    </row>
    <row r="61" spans="1:16" ht="15" customHeight="1">
      <c r="A61" s="191" t="s">
        <v>89</v>
      </c>
      <c r="B61" s="90" t="s">
        <v>37</v>
      </c>
      <c r="C61" s="206">
        <v>75000</v>
      </c>
      <c r="D61" s="206">
        <v>610000</v>
      </c>
      <c r="E61" s="165" t="s">
        <v>610</v>
      </c>
      <c r="F61" s="1862">
        <f t="shared" si="0"/>
        <v>2241600</v>
      </c>
      <c r="G61" s="212">
        <v>79500</v>
      </c>
      <c r="H61" s="213">
        <v>79500</v>
      </c>
      <c r="I61" s="213">
        <v>93200</v>
      </c>
      <c r="J61" s="213">
        <v>105200</v>
      </c>
      <c r="K61" s="217">
        <v>105200</v>
      </c>
      <c r="L61" s="212">
        <v>223800</v>
      </c>
      <c r="M61" s="213">
        <v>176400</v>
      </c>
      <c r="N61" s="512">
        <v>0.33</v>
      </c>
      <c r="O61" s="213"/>
      <c r="P61" s="217"/>
    </row>
    <row r="62" spans="1:16" ht="15" customHeight="1">
      <c r="A62" s="191" t="s">
        <v>91</v>
      </c>
      <c r="B62" s="90" t="s">
        <v>27</v>
      </c>
      <c r="C62" s="206">
        <v>50000</v>
      </c>
      <c r="D62" s="206">
        <v>460000</v>
      </c>
      <c r="E62" s="165" t="s">
        <v>610</v>
      </c>
      <c r="F62" s="1862">
        <f t="shared" si="0"/>
        <v>2040000</v>
      </c>
      <c r="G62" s="212">
        <v>48400</v>
      </c>
      <c r="H62" s="213">
        <v>48400</v>
      </c>
      <c r="I62" s="213">
        <v>56800</v>
      </c>
      <c r="J62" s="213">
        <v>64000</v>
      </c>
      <c r="K62" s="217">
        <v>64000</v>
      </c>
      <c r="L62" s="212">
        <v>183700</v>
      </c>
      <c r="M62" s="213">
        <v>145100</v>
      </c>
      <c r="N62" s="512">
        <v>0.4</v>
      </c>
      <c r="O62" s="213"/>
      <c r="P62" s="217"/>
    </row>
    <row r="63" spans="1:16" ht="15" customHeight="1">
      <c r="A63" s="191" t="s">
        <v>92</v>
      </c>
      <c r="B63" s="90" t="s">
        <v>30</v>
      </c>
      <c r="C63" s="206">
        <v>10000</v>
      </c>
      <c r="D63" s="437" t="s">
        <v>607</v>
      </c>
      <c r="E63" s="209" t="s">
        <v>611</v>
      </c>
      <c r="F63" s="1862">
        <f t="shared" si="0"/>
        <v>1007820</v>
      </c>
      <c r="G63" s="212">
        <v>43600</v>
      </c>
      <c r="H63" s="213">
        <v>43600</v>
      </c>
      <c r="I63" s="213">
        <v>51000</v>
      </c>
      <c r="J63" s="213">
        <v>57600</v>
      </c>
      <c r="K63" s="217">
        <v>57600</v>
      </c>
      <c r="L63" s="212">
        <v>165300</v>
      </c>
      <c r="M63" s="213">
        <v>130600</v>
      </c>
      <c r="N63" s="512">
        <v>0.4</v>
      </c>
      <c r="O63" s="213"/>
      <c r="P63" s="217"/>
    </row>
    <row r="64" spans="1:16" ht="15" customHeight="1">
      <c r="A64" s="191" t="s">
        <v>95</v>
      </c>
      <c r="B64" s="90" t="s">
        <v>27</v>
      </c>
      <c r="C64" s="206">
        <v>20000</v>
      </c>
      <c r="D64" s="206">
        <v>340000</v>
      </c>
      <c r="E64" s="165" t="s">
        <v>610</v>
      </c>
      <c r="F64" s="1862">
        <f t="shared" si="0"/>
        <v>2040000</v>
      </c>
      <c r="G64" s="212">
        <v>81100</v>
      </c>
      <c r="H64" s="213">
        <v>81100</v>
      </c>
      <c r="I64" s="213">
        <v>94900</v>
      </c>
      <c r="J64" s="213">
        <v>107000</v>
      </c>
      <c r="K64" s="217">
        <v>107000</v>
      </c>
      <c r="L64" s="212">
        <v>227600</v>
      </c>
      <c r="M64" s="213">
        <v>179800</v>
      </c>
      <c r="N64" s="512">
        <v>0.33</v>
      </c>
      <c r="O64" s="213"/>
      <c r="P64" s="217"/>
    </row>
    <row r="65" spans="1:16" ht="15" customHeight="1">
      <c r="A65" s="191" t="s">
        <v>96</v>
      </c>
      <c r="B65" s="90" t="s">
        <v>27</v>
      </c>
      <c r="C65" s="206">
        <v>50000</v>
      </c>
      <c r="D65" s="206">
        <v>460000</v>
      </c>
      <c r="E65" s="165" t="s">
        <v>610</v>
      </c>
      <c r="F65" s="1862">
        <f t="shared" si="0"/>
        <v>2040000</v>
      </c>
      <c r="G65" s="212">
        <v>77400</v>
      </c>
      <c r="H65" s="213">
        <v>77400</v>
      </c>
      <c r="I65" s="213">
        <v>90800</v>
      </c>
      <c r="J65" s="213">
        <v>102400</v>
      </c>
      <c r="K65" s="217">
        <v>102400</v>
      </c>
      <c r="L65" s="212">
        <v>217600</v>
      </c>
      <c r="M65" s="213">
        <v>171800</v>
      </c>
      <c r="N65" s="512">
        <v>0.33</v>
      </c>
      <c r="O65" s="213"/>
      <c r="P65" s="217"/>
    </row>
    <row r="66" spans="1:16" ht="15" customHeight="1">
      <c r="A66" s="191" t="s">
        <v>97</v>
      </c>
      <c r="B66" s="90" t="s">
        <v>27</v>
      </c>
      <c r="C66" s="206">
        <v>50000</v>
      </c>
      <c r="D66" s="206">
        <v>460000</v>
      </c>
      <c r="E66" s="165" t="s">
        <v>610</v>
      </c>
      <c r="F66" s="1862">
        <f t="shared" si="0"/>
        <v>2040000</v>
      </c>
      <c r="G66" s="212">
        <v>69400</v>
      </c>
      <c r="H66" s="213">
        <v>69400</v>
      </c>
      <c r="I66" s="213">
        <v>81200</v>
      </c>
      <c r="J66" s="213">
        <v>91700</v>
      </c>
      <c r="K66" s="217">
        <v>91700</v>
      </c>
      <c r="L66" s="212">
        <v>210400</v>
      </c>
      <c r="M66" s="213">
        <v>166100</v>
      </c>
      <c r="N66" s="512">
        <v>0.35</v>
      </c>
      <c r="O66" s="213"/>
      <c r="P66" s="217"/>
    </row>
    <row r="67" spans="1:16" ht="15" customHeight="1">
      <c r="A67" s="191" t="s">
        <v>93</v>
      </c>
      <c r="B67" s="90" t="s">
        <v>27</v>
      </c>
      <c r="C67" s="206">
        <v>20000</v>
      </c>
      <c r="D67" s="206">
        <v>460000</v>
      </c>
      <c r="E67" s="165" t="s">
        <v>610</v>
      </c>
      <c r="F67" s="1862">
        <f t="shared" si="0"/>
        <v>2040000</v>
      </c>
      <c r="G67" s="212">
        <v>83700</v>
      </c>
      <c r="H67" s="213">
        <v>83700</v>
      </c>
      <c r="I67" s="213">
        <v>97800</v>
      </c>
      <c r="J67" s="213">
        <v>110600</v>
      </c>
      <c r="K67" s="217">
        <v>110600</v>
      </c>
      <c r="L67" s="212">
        <v>235200</v>
      </c>
      <c r="M67" s="213">
        <v>185600</v>
      </c>
      <c r="N67" s="512">
        <v>0.33</v>
      </c>
      <c r="O67" s="213"/>
      <c r="P67" s="217"/>
    </row>
    <row r="68" spans="1:16" ht="15" customHeight="1">
      <c r="A68" s="191" t="s">
        <v>94</v>
      </c>
      <c r="B68" s="90" t="s">
        <v>27</v>
      </c>
      <c r="C68" s="206">
        <v>20000</v>
      </c>
      <c r="D68" s="206">
        <v>460000</v>
      </c>
      <c r="E68" s="165" t="s">
        <v>610</v>
      </c>
      <c r="F68" s="1862">
        <f t="shared" si="0"/>
        <v>2040000</v>
      </c>
      <c r="G68" s="212">
        <v>80300</v>
      </c>
      <c r="H68" s="213">
        <v>80300</v>
      </c>
      <c r="I68" s="213">
        <v>94100</v>
      </c>
      <c r="J68" s="213">
        <v>106100</v>
      </c>
      <c r="K68" s="217">
        <v>106100</v>
      </c>
      <c r="L68" s="212">
        <v>225700</v>
      </c>
      <c r="M68" s="213">
        <v>178300</v>
      </c>
      <c r="N68" s="512">
        <v>0.33</v>
      </c>
      <c r="O68" s="213"/>
      <c r="P68" s="217"/>
    </row>
    <row r="69" spans="1:16" ht="15" customHeight="1">
      <c r="A69" s="191" t="s">
        <v>98</v>
      </c>
      <c r="B69" s="90" t="s">
        <v>27</v>
      </c>
      <c r="C69" s="206">
        <v>10000</v>
      </c>
      <c r="D69" s="206">
        <v>340000</v>
      </c>
      <c r="E69" s="165" t="s">
        <v>610</v>
      </c>
      <c r="F69" s="1862">
        <f t="shared" si="0"/>
        <v>2040000</v>
      </c>
      <c r="G69" s="212">
        <v>67700</v>
      </c>
      <c r="H69" s="213">
        <v>67700</v>
      </c>
      <c r="I69" s="213">
        <v>79200</v>
      </c>
      <c r="J69" s="213">
        <v>89300</v>
      </c>
      <c r="K69" s="217">
        <v>89300</v>
      </c>
      <c r="L69" s="212">
        <v>205000</v>
      </c>
      <c r="M69" s="213">
        <v>161900</v>
      </c>
      <c r="N69" s="512">
        <v>0.35</v>
      </c>
      <c r="O69" s="213"/>
      <c r="P69" s="217"/>
    </row>
    <row r="70" spans="1:16" ht="15" customHeight="1">
      <c r="A70" s="191" t="s">
        <v>99</v>
      </c>
      <c r="B70" s="90" t="s">
        <v>30</v>
      </c>
      <c r="C70" s="206">
        <v>5000</v>
      </c>
      <c r="D70" s="437" t="s">
        <v>607</v>
      </c>
      <c r="E70" s="208" t="s">
        <v>611</v>
      </c>
      <c r="F70" s="1862">
        <f t="shared" si="0"/>
        <v>1007820</v>
      </c>
      <c r="G70" s="212">
        <v>43600</v>
      </c>
      <c r="H70" s="213">
        <v>43600</v>
      </c>
      <c r="I70" s="213">
        <v>51000</v>
      </c>
      <c r="J70" s="213">
        <v>57600</v>
      </c>
      <c r="K70" s="217">
        <v>57600</v>
      </c>
      <c r="L70" s="212">
        <v>165300</v>
      </c>
      <c r="M70" s="213">
        <v>130600</v>
      </c>
      <c r="N70" s="512">
        <v>0.4</v>
      </c>
      <c r="O70" s="213"/>
      <c r="P70" s="217"/>
    </row>
    <row r="71" spans="1:16" ht="15" customHeight="1">
      <c r="A71" s="191" t="s">
        <v>100</v>
      </c>
      <c r="B71" s="90" t="s">
        <v>30</v>
      </c>
      <c r="C71" s="206">
        <v>2500</v>
      </c>
      <c r="D71" s="437" t="s">
        <v>607</v>
      </c>
      <c r="E71" s="208" t="s">
        <v>611</v>
      </c>
      <c r="F71" s="1862">
        <f t="shared" si="0"/>
        <v>1007820</v>
      </c>
      <c r="G71" s="212">
        <v>43600</v>
      </c>
      <c r="H71" s="213">
        <v>43600</v>
      </c>
      <c r="I71" s="213">
        <v>51000</v>
      </c>
      <c r="J71" s="213">
        <v>57600</v>
      </c>
      <c r="K71" s="217">
        <v>57600</v>
      </c>
      <c r="L71" s="212">
        <v>165300</v>
      </c>
      <c r="M71" s="213">
        <v>130600</v>
      </c>
      <c r="N71" s="512">
        <v>0.4</v>
      </c>
      <c r="O71" s="213"/>
      <c r="P71" s="217"/>
    </row>
    <row r="72" spans="1:16" ht="15" customHeight="1">
      <c r="A72" s="191" t="s">
        <v>101</v>
      </c>
      <c r="B72" s="90" t="s">
        <v>30</v>
      </c>
      <c r="C72" s="206">
        <v>2500</v>
      </c>
      <c r="D72" s="437" t="s">
        <v>607</v>
      </c>
      <c r="E72" s="208" t="s">
        <v>611</v>
      </c>
      <c r="F72" s="1862">
        <f t="shared" si="0"/>
        <v>1007820</v>
      </c>
      <c r="G72" s="212">
        <v>43600</v>
      </c>
      <c r="H72" s="213">
        <v>43600</v>
      </c>
      <c r="I72" s="213">
        <v>51000</v>
      </c>
      <c r="J72" s="213">
        <v>57600</v>
      </c>
      <c r="K72" s="217">
        <v>57600</v>
      </c>
      <c r="L72" s="212">
        <v>165300</v>
      </c>
      <c r="M72" s="213">
        <v>130600</v>
      </c>
      <c r="N72" s="512">
        <v>0.4</v>
      </c>
      <c r="O72" s="213"/>
      <c r="P72" s="217"/>
    </row>
    <row r="73" spans="1:16" ht="15" customHeight="1">
      <c r="A73" s="191" t="s">
        <v>102</v>
      </c>
      <c r="B73" s="90" t="s">
        <v>27</v>
      </c>
      <c r="C73" s="206">
        <v>50000</v>
      </c>
      <c r="D73" s="206">
        <v>460000</v>
      </c>
      <c r="E73" s="165" t="s">
        <v>610</v>
      </c>
      <c r="F73" s="1862">
        <f t="shared" si="0"/>
        <v>2040000</v>
      </c>
      <c r="G73" s="212">
        <v>52400</v>
      </c>
      <c r="H73" s="213">
        <v>52400</v>
      </c>
      <c r="I73" s="213">
        <v>61400</v>
      </c>
      <c r="J73" s="213">
        <v>69300</v>
      </c>
      <c r="K73" s="217">
        <v>69300</v>
      </c>
      <c r="L73" s="212">
        <v>198900</v>
      </c>
      <c r="M73" s="213">
        <v>156900</v>
      </c>
      <c r="N73" s="512">
        <v>0.4</v>
      </c>
      <c r="O73" s="213"/>
      <c r="P73" s="217"/>
    </row>
    <row r="74" spans="1:16" ht="15" customHeight="1">
      <c r="A74" s="191" t="s">
        <v>103</v>
      </c>
      <c r="B74" s="90" t="s">
        <v>30</v>
      </c>
      <c r="C74" s="206">
        <v>2500</v>
      </c>
      <c r="D74" s="437" t="s">
        <v>607</v>
      </c>
      <c r="E74" s="165" t="s">
        <v>610</v>
      </c>
      <c r="F74" s="1862">
        <f t="shared" si="0"/>
        <v>1007820</v>
      </c>
      <c r="G74" s="212">
        <v>76500</v>
      </c>
      <c r="H74" s="213">
        <v>76500</v>
      </c>
      <c r="I74" s="213">
        <v>89600</v>
      </c>
      <c r="J74" s="213">
        <v>101000</v>
      </c>
      <c r="K74" s="217">
        <v>101000</v>
      </c>
      <c r="L74" s="212">
        <v>214600</v>
      </c>
      <c r="M74" s="213">
        <v>169500</v>
      </c>
      <c r="N74" s="512">
        <v>0.33</v>
      </c>
      <c r="O74" s="213"/>
      <c r="P74" s="217"/>
    </row>
    <row r="75" spans="1:16" ht="15" customHeight="1">
      <c r="A75" s="191" t="s">
        <v>104</v>
      </c>
      <c r="B75" s="90" t="s">
        <v>30</v>
      </c>
      <c r="C75" s="206">
        <v>5000</v>
      </c>
      <c r="D75" s="437" t="s">
        <v>607</v>
      </c>
      <c r="E75" s="165" t="s">
        <v>610</v>
      </c>
      <c r="F75" s="1862">
        <f t="shared" ref="F75:F76" si="1">IF(B75="Small",$C$119,IF(B75="Medium",$C$120,IF(OR(A75="Broward",A75="Miami-Dade"),$C$116,IF(OR(A75="Hillsborough",A75="Orange",A75="Palm Beach"),$C$117,IF(OR(A75="Duval",A75="Pinellas"),$C$118,"")))))</f>
        <v>1007820</v>
      </c>
      <c r="G75" s="212">
        <v>69800</v>
      </c>
      <c r="H75" s="213">
        <v>69800</v>
      </c>
      <c r="I75" s="213">
        <v>81800</v>
      </c>
      <c r="J75" s="213">
        <v>92200</v>
      </c>
      <c r="K75" s="217">
        <v>92200</v>
      </c>
      <c r="L75" s="212">
        <v>211900</v>
      </c>
      <c r="M75" s="213">
        <v>167200</v>
      </c>
      <c r="N75" s="512">
        <v>0.35</v>
      </c>
      <c r="O75" s="213"/>
      <c r="P75" s="217"/>
    </row>
    <row r="76" spans="1:16" ht="15" customHeight="1">
      <c r="A76" s="191" t="s">
        <v>608</v>
      </c>
      <c r="B76" s="90" t="s">
        <v>30</v>
      </c>
      <c r="C76" s="206">
        <v>2500</v>
      </c>
      <c r="D76" s="437" t="s">
        <v>607</v>
      </c>
      <c r="E76" s="208" t="s">
        <v>611</v>
      </c>
      <c r="F76" s="1862">
        <f t="shared" si="1"/>
        <v>1007820</v>
      </c>
      <c r="G76" s="212">
        <v>43600</v>
      </c>
      <c r="H76" s="213">
        <v>43600</v>
      </c>
      <c r="I76" s="213">
        <v>51000</v>
      </c>
      <c r="J76" s="213">
        <v>57600</v>
      </c>
      <c r="K76" s="217">
        <v>57600</v>
      </c>
      <c r="L76" s="212">
        <v>165300</v>
      </c>
      <c r="M76" s="213">
        <v>130600</v>
      </c>
      <c r="N76" s="512">
        <v>0.4</v>
      </c>
      <c r="O76" s="213"/>
      <c r="P76" s="217"/>
    </row>
    <row r="77" spans="1:16">
      <c r="K77" s="215"/>
    </row>
    <row r="78" spans="1:16">
      <c r="A78" s="2093" t="s">
        <v>775</v>
      </c>
      <c r="B78" s="2094"/>
      <c r="C78" s="2094"/>
      <c r="D78" s="2094"/>
      <c r="E78" s="2094"/>
      <c r="F78" s="2094"/>
      <c r="G78" s="2095"/>
      <c r="K78" s="215"/>
    </row>
    <row r="79" spans="1:16">
      <c r="I79" s="211" t="s">
        <v>1811</v>
      </c>
      <c r="J79" s="211" t="s">
        <v>1805</v>
      </c>
      <c r="K79" s="215"/>
      <c r="M79" s="9" t="s">
        <v>1807</v>
      </c>
    </row>
    <row r="80" spans="1:16">
      <c r="A80" s="476" t="s">
        <v>403</v>
      </c>
      <c r="B80" s="476"/>
      <c r="C80" s="474">
        <v>5520000</v>
      </c>
      <c r="D80" s="476" t="s">
        <v>792</v>
      </c>
      <c r="E80" s="477"/>
      <c r="F80" s="476"/>
      <c r="G80" s="476"/>
      <c r="H80" s="476"/>
      <c r="I80" s="1133"/>
      <c r="K80" s="215"/>
      <c r="M80" s="163" t="s">
        <v>1808</v>
      </c>
    </row>
    <row r="81" spans="1:13">
      <c r="A81" s="476" t="s">
        <v>403</v>
      </c>
      <c r="B81" s="476"/>
      <c r="C81" s="474">
        <v>80000</v>
      </c>
      <c r="D81" s="476" t="s">
        <v>796</v>
      </c>
      <c r="E81" s="477"/>
      <c r="F81" s="476"/>
      <c r="G81" s="476"/>
      <c r="I81" s="1601"/>
      <c r="K81" s="215"/>
      <c r="M81" s="163" t="s">
        <v>1806</v>
      </c>
    </row>
    <row r="82" spans="1:13">
      <c r="A82" s="476" t="s">
        <v>403</v>
      </c>
      <c r="B82" s="476"/>
      <c r="C82" s="474">
        <v>125000</v>
      </c>
      <c r="D82" s="476" t="s">
        <v>797</v>
      </c>
      <c r="E82" s="477"/>
      <c r="F82" s="476"/>
      <c r="G82" s="476"/>
      <c r="H82" s="476"/>
      <c r="I82" s="1133"/>
      <c r="K82" s="215"/>
    </row>
    <row r="83" spans="1:13">
      <c r="A83" s="476" t="s">
        <v>403</v>
      </c>
      <c r="B83" s="476"/>
      <c r="C83" s="474">
        <v>6500000</v>
      </c>
      <c r="D83" s="476" t="s">
        <v>793</v>
      </c>
      <c r="E83" s="477"/>
      <c r="F83" s="476"/>
      <c r="G83" s="476"/>
      <c r="I83" s="1601"/>
      <c r="K83" s="215"/>
    </row>
    <row r="84" spans="1:13">
      <c r="A84" s="476" t="s">
        <v>403</v>
      </c>
      <c r="B84" s="476"/>
      <c r="C84" s="474">
        <v>80000</v>
      </c>
      <c r="D84" s="476" t="s">
        <v>794</v>
      </c>
      <c r="E84" s="477"/>
      <c r="F84" s="476"/>
      <c r="G84" s="476"/>
      <c r="I84" s="1601"/>
      <c r="K84" s="215"/>
    </row>
    <row r="85" spans="1:13">
      <c r="A85" s="476" t="s">
        <v>418</v>
      </c>
      <c r="B85" s="476"/>
      <c r="C85" s="474">
        <v>8400000</v>
      </c>
      <c r="D85" s="476" t="s">
        <v>784</v>
      </c>
      <c r="E85" s="477"/>
      <c r="F85" s="476"/>
      <c r="G85" s="476"/>
      <c r="I85" s="1601">
        <v>205</v>
      </c>
      <c r="J85" s="1617" t="s">
        <v>1806</v>
      </c>
      <c r="K85" s="215"/>
    </row>
    <row r="86" spans="1:13">
      <c r="A86" s="476" t="s">
        <v>418</v>
      </c>
      <c r="B86" s="476"/>
      <c r="C86" s="474">
        <v>7200000</v>
      </c>
      <c r="D86" s="476" t="s">
        <v>785</v>
      </c>
      <c r="E86" s="477"/>
      <c r="F86" s="476"/>
      <c r="G86" s="476"/>
      <c r="H86" s="476"/>
      <c r="I86" s="1133">
        <v>205</v>
      </c>
      <c r="J86" s="1618" t="s">
        <v>1806</v>
      </c>
      <c r="K86" s="215"/>
    </row>
    <row r="87" spans="1:13">
      <c r="A87" s="476" t="s">
        <v>418</v>
      </c>
      <c r="B87" s="476"/>
      <c r="C87" s="474">
        <v>3000000</v>
      </c>
      <c r="D87" s="476" t="s">
        <v>789</v>
      </c>
      <c r="E87" s="477"/>
      <c r="F87" s="476"/>
      <c r="G87" s="476"/>
      <c r="I87" s="1601">
        <v>205</v>
      </c>
      <c r="K87" s="215"/>
    </row>
    <row r="88" spans="1:13">
      <c r="A88" s="476" t="s">
        <v>418</v>
      </c>
      <c r="B88" s="476"/>
      <c r="C88" s="474">
        <f>IF(RIGHT(Excel_RFA_Number,3)="101",2071500,IF(RIGHT(Excel_RFA_Number,3)="205",6000000,6000000))</f>
        <v>6000000</v>
      </c>
      <c r="D88" s="476" t="s">
        <v>786</v>
      </c>
      <c r="E88" s="477"/>
      <c r="F88" s="476"/>
      <c r="G88" s="476"/>
      <c r="H88" s="476"/>
      <c r="I88" s="1133">
        <v>205</v>
      </c>
      <c r="K88" s="215"/>
    </row>
    <row r="89" spans="1:13">
      <c r="A89" s="476" t="s">
        <v>418</v>
      </c>
      <c r="B89" s="476"/>
      <c r="C89" s="474">
        <f>MAX(2077942,N(SAIL_PD_Demo_Updated))</f>
        <v>2077942</v>
      </c>
      <c r="D89" s="476" t="s">
        <v>819</v>
      </c>
      <c r="E89" s="477"/>
      <c r="F89" s="476"/>
      <c r="G89" s="476"/>
      <c r="I89" s="1601" t="s">
        <v>1814</v>
      </c>
      <c r="K89" s="215"/>
    </row>
    <row r="90" spans="1:13">
      <c r="A90" s="476" t="s">
        <v>418</v>
      </c>
      <c r="B90" s="476"/>
      <c r="C90" s="474">
        <v>100000</v>
      </c>
      <c r="D90" s="476" t="s">
        <v>816</v>
      </c>
      <c r="E90" s="477"/>
      <c r="F90" s="476"/>
      <c r="G90" s="476"/>
      <c r="H90" s="476"/>
      <c r="I90" s="1133"/>
      <c r="K90" s="215"/>
    </row>
    <row r="91" spans="1:13">
      <c r="A91" s="215" t="s">
        <v>418</v>
      </c>
      <c r="B91" s="215"/>
      <c r="C91" s="1036">
        <v>50000</v>
      </c>
      <c r="D91" s="215" t="s">
        <v>817</v>
      </c>
      <c r="E91" s="218"/>
      <c r="F91" s="215"/>
      <c r="G91" s="215"/>
      <c r="I91" s="1601"/>
      <c r="K91" s="215"/>
    </row>
    <row r="92" spans="1:13">
      <c r="A92" s="215" t="s">
        <v>418</v>
      </c>
      <c r="B92" s="215"/>
      <c r="C92" s="1036">
        <v>36000</v>
      </c>
      <c r="D92" s="215" t="s">
        <v>791</v>
      </c>
      <c r="E92" s="218"/>
      <c r="F92" s="215"/>
      <c r="G92" s="215"/>
      <c r="H92" s="215"/>
      <c r="I92" s="1011">
        <v>205</v>
      </c>
      <c r="J92" s="215"/>
      <c r="K92" s="215"/>
    </row>
    <row r="93" spans="1:13">
      <c r="A93" s="1037" t="s">
        <v>418</v>
      </c>
      <c r="B93" s="1037"/>
      <c r="C93" s="1038">
        <v>84000</v>
      </c>
      <c r="D93" s="1037" t="s">
        <v>790</v>
      </c>
      <c r="E93" s="1039"/>
      <c r="F93" s="1037"/>
      <c r="G93" s="1037"/>
      <c r="H93" s="1037"/>
      <c r="I93" s="1178" t="s">
        <v>1813</v>
      </c>
      <c r="J93" s="1037"/>
      <c r="K93" s="215"/>
    </row>
    <row r="94" spans="1:13">
      <c r="A94" s="476" t="s">
        <v>618</v>
      </c>
      <c r="B94" s="476"/>
      <c r="C94" s="474">
        <v>750000</v>
      </c>
      <c r="D94" s="476" t="s">
        <v>776</v>
      </c>
      <c r="E94" s="477"/>
      <c r="F94" s="476"/>
      <c r="G94" s="476"/>
      <c r="H94" s="476"/>
      <c r="I94" s="1133" t="s">
        <v>1815</v>
      </c>
      <c r="K94" s="215"/>
    </row>
    <row r="95" spans="1:13">
      <c r="A95" s="476" t="s">
        <v>618</v>
      </c>
      <c r="B95" s="476"/>
      <c r="C95" s="475" t="s">
        <v>778</v>
      </c>
      <c r="D95" s="476" t="s">
        <v>777</v>
      </c>
      <c r="E95" s="477"/>
      <c r="F95" s="476"/>
      <c r="G95" s="476"/>
      <c r="I95" s="1619" t="s">
        <v>1815</v>
      </c>
      <c r="K95" s="215"/>
    </row>
    <row r="96" spans="1:13">
      <c r="A96" s="476" t="s">
        <v>803</v>
      </c>
      <c r="B96" s="476"/>
      <c r="C96" s="493">
        <v>0.25</v>
      </c>
      <c r="D96" s="476" t="s">
        <v>823</v>
      </c>
      <c r="E96" s="477"/>
      <c r="F96" s="476"/>
      <c r="G96" s="476"/>
      <c r="H96" s="476"/>
      <c r="I96" s="1133">
        <v>205</v>
      </c>
    </row>
    <row r="97" spans="1:12">
      <c r="A97" s="476" t="s">
        <v>803</v>
      </c>
      <c r="B97" s="476"/>
      <c r="C97" s="493">
        <v>0.35</v>
      </c>
      <c r="D97" s="476" t="s">
        <v>824</v>
      </c>
      <c r="E97" s="477"/>
      <c r="F97" s="476"/>
      <c r="G97" s="476"/>
      <c r="I97" s="1694" t="s">
        <v>1815</v>
      </c>
      <c r="K97" s="215"/>
    </row>
    <row r="98" spans="1:12">
      <c r="A98" s="476" t="s">
        <v>803</v>
      </c>
      <c r="B98" s="476"/>
      <c r="C98" s="1705" t="s">
        <v>192</v>
      </c>
      <c r="D98" s="696" t="s">
        <v>1898</v>
      </c>
      <c r="E98" s="1736"/>
      <c r="F98" s="696"/>
      <c r="G98" s="696"/>
      <c r="I98" s="1694"/>
      <c r="K98" s="215"/>
    </row>
    <row r="99" spans="1:12">
      <c r="A99" s="1041" t="s">
        <v>466</v>
      </c>
      <c r="B99" s="476"/>
      <c r="C99" s="474">
        <v>6000000</v>
      </c>
      <c r="D99" s="476" t="s">
        <v>776</v>
      </c>
      <c r="E99" s="477"/>
      <c r="F99" s="477"/>
      <c r="G99" s="477"/>
      <c r="H99" s="477"/>
      <c r="I99" s="1133"/>
    </row>
    <row r="100" spans="1:12">
      <c r="A100" s="476" t="str">
        <f>A99</f>
        <v>HOME</v>
      </c>
      <c r="B100" s="476"/>
      <c r="C100" s="474">
        <v>137983</v>
      </c>
      <c r="D100" s="476" t="s">
        <v>779</v>
      </c>
      <c r="E100" s="477"/>
      <c r="F100" s="477"/>
      <c r="G100" s="477"/>
      <c r="H100" s="477"/>
      <c r="I100" s="1133"/>
    </row>
    <row r="101" spans="1:12">
      <c r="A101" s="476" t="str">
        <f>A100</f>
        <v>HOME</v>
      </c>
      <c r="B101" s="476"/>
      <c r="C101" s="474">
        <v>158177</v>
      </c>
      <c r="D101" s="476" t="s">
        <v>780</v>
      </c>
      <c r="E101" s="477"/>
      <c r="F101" s="477"/>
      <c r="G101" s="477"/>
      <c r="H101" s="477"/>
      <c r="I101" s="1133"/>
    </row>
    <row r="102" spans="1:12">
      <c r="A102" s="476" t="str">
        <f>A101</f>
        <v>HOME</v>
      </c>
      <c r="B102" s="476"/>
      <c r="C102" s="474">
        <v>192346</v>
      </c>
      <c r="D102" s="476" t="s">
        <v>781</v>
      </c>
      <c r="E102" s="477"/>
      <c r="F102" s="477"/>
      <c r="G102" s="477"/>
      <c r="H102" s="477"/>
      <c r="I102" s="1133"/>
    </row>
    <row r="103" spans="1:12">
      <c r="A103" s="476" t="str">
        <f>A102</f>
        <v>HOME</v>
      </c>
      <c r="B103" s="476"/>
      <c r="C103" s="474">
        <v>248834</v>
      </c>
      <c r="D103" s="476" t="s">
        <v>782</v>
      </c>
      <c r="E103" s="477"/>
      <c r="F103" s="477"/>
      <c r="G103" s="477"/>
      <c r="H103" s="477"/>
      <c r="I103" s="1133"/>
    </row>
    <row r="104" spans="1:12">
      <c r="A104" s="476" t="str">
        <f>A103</f>
        <v>HOME</v>
      </c>
      <c r="B104" s="476"/>
      <c r="C104" s="474">
        <v>273141</v>
      </c>
      <c r="D104" s="476" t="s">
        <v>783</v>
      </c>
      <c r="E104" s="477"/>
      <c r="F104" s="477"/>
      <c r="G104" s="477"/>
      <c r="H104" s="477"/>
      <c r="I104" s="1133"/>
    </row>
    <row r="105" spans="1:12">
      <c r="A105" s="1041" t="s">
        <v>1202</v>
      </c>
      <c r="B105" s="476"/>
      <c r="C105" s="474">
        <v>3822058</v>
      </c>
      <c r="D105" s="476" t="s">
        <v>776</v>
      </c>
      <c r="E105" s="477"/>
      <c r="G105" s="1040" t="s">
        <v>1204</v>
      </c>
      <c r="H105" s="1040" t="s">
        <v>1206</v>
      </c>
      <c r="I105" s="1040" t="s">
        <v>1205</v>
      </c>
      <c r="J105" s="215"/>
      <c r="K105" s="1628" t="s">
        <v>2091</v>
      </c>
      <c r="L105" s="1064" t="s">
        <v>676</v>
      </c>
    </row>
    <row r="106" spans="1:12">
      <c r="A106" s="476" t="str">
        <f>A105</f>
        <v>HOME-ARP</v>
      </c>
      <c r="B106" s="476"/>
      <c r="C106" s="1049">
        <f>IF(K$105=K$110,G106,IF(K$105=K$111,H106,I106))</f>
        <v>0</v>
      </c>
      <c r="D106" s="215" t="s">
        <v>777</v>
      </c>
      <c r="E106" s="218"/>
      <c r="F106" s="215"/>
      <c r="G106" s="1048">
        <f>VLOOKUP(County,DS_CountyData,12)</f>
        <v>0</v>
      </c>
      <c r="H106" s="1048">
        <f>VLOOKUP(County,DS_CountyData,13)</f>
        <v>0</v>
      </c>
      <c r="I106" s="1048">
        <f>Data1!W247</f>
        <v>0</v>
      </c>
      <c r="J106" s="215"/>
      <c r="K106" s="1629"/>
      <c r="L106" s="1621"/>
    </row>
    <row r="107" spans="1:12">
      <c r="A107" s="476" t="str">
        <f>A106</f>
        <v>HOME-ARP</v>
      </c>
      <c r="B107" s="476"/>
      <c r="C107" s="475"/>
      <c r="D107" s="476"/>
      <c r="E107" s="477"/>
      <c r="F107" s="215"/>
      <c r="G107" s="1624"/>
      <c r="H107" s="1624"/>
      <c r="I107" s="1624"/>
      <c r="J107" s="215"/>
      <c r="K107" s="1629"/>
      <c r="L107" s="1487"/>
    </row>
    <row r="108" spans="1:12">
      <c r="A108" s="1041" t="s">
        <v>619</v>
      </c>
      <c r="B108" s="476"/>
      <c r="C108" s="474">
        <v>2240000</v>
      </c>
      <c r="D108" s="476" t="s">
        <v>776</v>
      </c>
      <c r="E108" s="477"/>
      <c r="G108" s="1040" t="s">
        <v>1225</v>
      </c>
      <c r="H108" s="1040" t="s">
        <v>1226</v>
      </c>
      <c r="I108" s="1040" t="s">
        <v>1227</v>
      </c>
      <c r="K108" s="1628" t="s">
        <v>2091</v>
      </c>
      <c r="L108" s="1065" t="s">
        <v>676</v>
      </c>
    </row>
    <row r="109" spans="1:12">
      <c r="A109" s="476" t="str">
        <f>A108</f>
        <v>NHTF</v>
      </c>
      <c r="B109" s="476"/>
      <c r="C109" s="475">
        <f>IF(K$108=K$110,G109,IF(K$108=K$111,H109,I109))</f>
        <v>0</v>
      </c>
      <c r="D109" s="476" t="s">
        <v>777</v>
      </c>
      <c r="E109" s="477"/>
      <c r="G109" s="1049">
        <f>VLOOKUP(County,DS_CountyData,12)</f>
        <v>0</v>
      </c>
      <c r="H109" s="475">
        <f>VLOOKUP(County,DS_CountyData,13)</f>
        <v>0</v>
      </c>
      <c r="I109" s="1043">
        <f>IF(COUNTIF('Proposed Development Info'!H$59:H$73,MAX('Proposed Development Info'!H$59:H$73))=1,VLOOKUP(IF(OR(County="Broward",County="Miami-Dade",County="Palm Beach"),CHOOSE(IFERROR(MATCH(MAX('Proposed Development Info'!H$59:H$73),'Proposed Development Info'!H$59:H$73,0),0)+1," ","SFNCGAE","SFNCGAW","SFNCMRE","SFNCMRW","SFNCHRE","SFNCGAE","SFNCGAW","SFNCGAE","SFNCGAW","SFRCGA","SFRCGA","SFRCNGA","SFRCNGA","SFRCGA","SFRCGA"),CHOOSE(IFERROR(MATCH(MAX('Proposed Development Info'!H$59:H$73),'Proposed Development Info'!H$59:H$73,0),0)+1," ","PFNCGAE","PFNCGAW","PFNCMRE","PFNCMRW","PFNCHRE","PFNCGAE","PFNCGAW","PFNCGAE","PFNCGAW","PFRCGA","PFRCGA","PFRCNGA","PFRCNGA","PFRCGA","PFRCGA")),DS_Max_NHTF,IF(Data3!L$108=Data3!J$186,8,9)),MAX(VLOOKUP(IF(OR(County="Broward",County="Miami-Dade",County="Palm Beach"),CHOOSE(IFERROR(MATCH(MAX('Proposed Development Info'!H$59:H$73),'Proposed Development Info'!H$59:H$73,0),0)+1," ","SFNCGAE","SFNCGAW","SFNCMRE","SFNCMRW","SFNCHRE","SFNCGAE","SFNCGAW","SFNCGAE","SFNCGAW","SFRCGA","SFRCGA","SFRCNGA","SFRCNGA","SFRCGA","SFRCGA"),CHOOSE(IFERROR(MATCH(MAX('Proposed Development Info'!H$59:H$73),'Proposed Development Info'!H$59:H$73,0),0)+1," ","PFNCGAE","PFNCGAW","PFNCMRE","PFNCMRW","PFNCHRE","PFNCGAE","PFNCGAW","PFNCGAE","PFNCGAW","PFRCGA","PFRCGA","PFRCNGA","PFRCNGA","PFRCGA","PFRCGA")),DS_Max_NHTF,IF(Data3!L$108=Data3!J$186,8,9)),VLOOKUP(IF(OR(County="Broward",County="Miami-Dade",County="Palm Beach"),CHOOSE(IFERROR(MAX('Proposed Development Info'!A$59:A$73),0)+1," ","SFNCGAE","SFNCGAW","SFNCMRE","SFNCMRW","SFNCHRE","SFNCGAE","SFNCGAW","SFNCGAE","SFNCGAW","SFRCGA","SFRCGA","SFRCNGA","SFRCNGA","SFRCGA","SFRCGA"),CHOOSE(IFERROR(MAX('Proposed Development Info'!A$59:A$73),0)+1," ","PFNCGAE","PFNCGAW","PFNCMRE","PFNCMRW","PFNCHRE","PFNCGAE","PFNCGAW","PFNCGAE","PFNCGAW","PFRCGA","PFRCGA","PFRCNGA","PFRCNGA","PFRCGA","PFRCGA")),DS_Max_NHTF,IF(Data3!L$108=Data3!J$186,8,9))))</f>
        <v>0</v>
      </c>
      <c r="K109" s="1630" t="s">
        <v>2</v>
      </c>
      <c r="L109" s="1050" t="s">
        <v>2</v>
      </c>
    </row>
    <row r="110" spans="1:12">
      <c r="A110" s="476" t="str">
        <f>A109</f>
        <v>NHTF</v>
      </c>
      <c r="B110" s="476"/>
      <c r="C110" s="475"/>
      <c r="D110" s="476"/>
      <c r="E110" s="477"/>
      <c r="G110" s="1622" t="s">
        <v>1814</v>
      </c>
      <c r="H110" s="1623"/>
      <c r="I110" s="1624"/>
      <c r="K110" s="1630" t="s">
        <v>1207</v>
      </c>
      <c r="L110" s="1050" t="s">
        <v>1035</v>
      </c>
    </row>
    <row r="111" spans="1:12">
      <c r="A111" s="476" t="str">
        <f t="shared" ref="A111:A114" si="2">A110</f>
        <v>NHTF</v>
      </c>
      <c r="B111" s="476"/>
      <c r="C111" s="1706">
        <v>4</v>
      </c>
      <c r="D111" s="855" t="s">
        <v>1899</v>
      </c>
      <c r="E111" s="1707"/>
      <c r="F111" s="856"/>
      <c r="G111" s="1708" t="s">
        <v>1230</v>
      </c>
      <c r="H111" s="102" t="s">
        <v>191</v>
      </c>
      <c r="I111" s="1710"/>
      <c r="K111" s="1630" t="s">
        <v>1208</v>
      </c>
      <c r="L111" s="1051" t="s">
        <v>676</v>
      </c>
    </row>
    <row r="112" spans="1:12">
      <c r="A112" s="476" t="str">
        <f t="shared" si="2"/>
        <v>NHTF</v>
      </c>
      <c r="B112" s="476"/>
      <c r="C112" s="1706">
        <v>3</v>
      </c>
      <c r="D112" s="855" t="s">
        <v>1900</v>
      </c>
      <c r="E112" s="1707"/>
      <c r="F112" s="856"/>
      <c r="G112" s="1708" t="s">
        <v>1230</v>
      </c>
      <c r="H112" s="102" t="s">
        <v>191</v>
      </c>
      <c r="I112" s="1710"/>
      <c r="K112" s="1059" t="s">
        <v>2091</v>
      </c>
    </row>
    <row r="113" spans="1:11">
      <c r="A113" s="476" t="str">
        <f t="shared" si="2"/>
        <v>NHTF</v>
      </c>
      <c r="B113" s="476"/>
      <c r="C113" s="1239">
        <v>0.1</v>
      </c>
      <c r="D113" s="476" t="s">
        <v>1228</v>
      </c>
      <c r="E113" s="477"/>
      <c r="G113" s="1737" t="s">
        <v>1230</v>
      </c>
      <c r="H113" s="102" t="s">
        <v>1901</v>
      </c>
      <c r="I113" s="1708"/>
      <c r="J113" s="215"/>
    </row>
    <row r="114" spans="1:11">
      <c r="A114" s="476" t="str">
        <f t="shared" si="2"/>
        <v>NHTF</v>
      </c>
      <c r="B114" s="476"/>
      <c r="C114" s="1706">
        <v>10</v>
      </c>
      <c r="D114" s="476" t="s">
        <v>1229</v>
      </c>
      <c r="E114" s="477"/>
      <c r="G114" s="475" t="s">
        <v>1230</v>
      </c>
      <c r="H114" s="1709" t="str">
        <f>IF(H113="Yes","No",IF(H113="No","Yes",H113))</f>
        <v>Both</v>
      </c>
      <c r="I114" s="1708"/>
      <c r="J114" s="215"/>
    </row>
    <row r="115" spans="1:11">
      <c r="A115" s="476" t="s">
        <v>804</v>
      </c>
      <c r="B115" s="476"/>
      <c r="C115" s="474">
        <v>4600000</v>
      </c>
      <c r="D115" s="476" t="s">
        <v>776</v>
      </c>
      <c r="E115" s="477"/>
      <c r="F115" s="476"/>
      <c r="G115" s="476"/>
      <c r="I115" s="1601">
        <v>106</v>
      </c>
      <c r="J115" s="579" t="s">
        <v>861</v>
      </c>
    </row>
    <row r="116" spans="1:11">
      <c r="A116" s="476" t="s">
        <v>841</v>
      </c>
      <c r="B116" s="476"/>
      <c r="C116" s="474">
        <v>3458400</v>
      </c>
      <c r="D116" s="554" t="s">
        <v>844</v>
      </c>
      <c r="E116" s="545"/>
      <c r="F116" s="476"/>
      <c r="G116" s="476"/>
      <c r="I116" s="1601" t="s">
        <v>1818</v>
      </c>
      <c r="J116" t="s">
        <v>862</v>
      </c>
    </row>
    <row r="117" spans="1:11">
      <c r="A117" s="476" t="s">
        <v>841</v>
      </c>
      <c r="B117" s="476"/>
      <c r="C117" s="474">
        <v>2850000</v>
      </c>
      <c r="D117" s="554" t="s">
        <v>836</v>
      </c>
      <c r="E117" s="545"/>
      <c r="F117" s="476"/>
      <c r="G117" s="476"/>
      <c r="I117" s="1601">
        <v>202</v>
      </c>
      <c r="J117" t="s">
        <v>863</v>
      </c>
    </row>
    <row r="118" spans="1:11">
      <c r="A118" s="476" t="s">
        <v>841</v>
      </c>
      <c r="B118" s="476"/>
      <c r="C118" s="474">
        <v>2241600</v>
      </c>
      <c r="D118" s="554" t="s">
        <v>1817</v>
      </c>
      <c r="E118" s="545"/>
      <c r="F118" s="476"/>
      <c r="G118" s="476"/>
      <c r="I118" s="1601">
        <v>202</v>
      </c>
      <c r="J118" t="s">
        <v>49</v>
      </c>
    </row>
    <row r="119" spans="1:11">
      <c r="A119" s="476" t="s">
        <v>841</v>
      </c>
      <c r="B119" s="476"/>
      <c r="C119" s="474">
        <v>1007820</v>
      </c>
      <c r="D119" s="554" t="s">
        <v>838</v>
      </c>
      <c r="E119" s="545"/>
      <c r="F119" s="476"/>
      <c r="G119" s="476"/>
      <c r="I119" s="1601">
        <v>201</v>
      </c>
      <c r="J119" t="s">
        <v>865</v>
      </c>
    </row>
    <row r="120" spans="1:11">
      <c r="A120" s="476" t="s">
        <v>841</v>
      </c>
      <c r="B120" s="476"/>
      <c r="C120" s="474">
        <v>2040000</v>
      </c>
      <c r="D120" s="554" t="s">
        <v>837</v>
      </c>
      <c r="E120" s="545"/>
      <c r="F120" s="476"/>
      <c r="G120" s="476"/>
      <c r="I120" s="1601" t="s">
        <v>1816</v>
      </c>
      <c r="J120" t="s">
        <v>864</v>
      </c>
    </row>
    <row r="121" spans="1:11">
      <c r="A121" s="476" t="s">
        <v>841</v>
      </c>
      <c r="B121" s="476"/>
      <c r="C121" s="474">
        <v>2850000</v>
      </c>
      <c r="D121" s="554" t="s">
        <v>808</v>
      </c>
      <c r="E121" s="545"/>
      <c r="F121" s="476"/>
      <c r="G121" s="476"/>
      <c r="I121" s="1601"/>
      <c r="J121" t="s">
        <v>866</v>
      </c>
    </row>
    <row r="122" spans="1:11">
      <c r="A122" s="476" t="s">
        <v>841</v>
      </c>
      <c r="B122" s="476"/>
      <c r="C122" s="474">
        <v>2850000</v>
      </c>
      <c r="D122" s="554" t="s">
        <v>1822</v>
      </c>
      <c r="E122" s="545"/>
      <c r="F122" s="476"/>
      <c r="G122" s="476"/>
      <c r="I122" s="1601" t="s">
        <v>1814</v>
      </c>
      <c r="J122" t="s">
        <v>1821</v>
      </c>
    </row>
    <row r="123" spans="1:11">
      <c r="A123" s="476" t="s">
        <v>841</v>
      </c>
      <c r="B123" s="476"/>
      <c r="C123" s="474">
        <v>1490000</v>
      </c>
      <c r="D123" s="554" t="s">
        <v>839</v>
      </c>
      <c r="E123" s="545"/>
      <c r="F123" s="476"/>
      <c r="G123" s="476"/>
      <c r="J123" t="s">
        <v>867</v>
      </c>
      <c r="K123" s="1601"/>
    </row>
    <row r="124" spans="1:11">
      <c r="A124" s="476" t="s">
        <v>841</v>
      </c>
      <c r="B124" s="476"/>
      <c r="C124" s="474">
        <v>2980000</v>
      </c>
      <c r="D124" s="554" t="s">
        <v>840</v>
      </c>
      <c r="E124" s="545"/>
      <c r="F124" s="476"/>
      <c r="G124" s="476"/>
      <c r="J124" t="s">
        <v>868</v>
      </c>
      <c r="K124" s="1601"/>
    </row>
    <row r="125" spans="1:11">
      <c r="A125" s="476" t="s">
        <v>841</v>
      </c>
      <c r="B125" s="476"/>
      <c r="C125" s="474">
        <v>36000</v>
      </c>
      <c r="D125" s="554" t="s">
        <v>842</v>
      </c>
      <c r="E125" s="545"/>
      <c r="F125" s="476"/>
      <c r="G125" s="476"/>
      <c r="J125" t="s">
        <v>867</v>
      </c>
      <c r="K125" s="1601"/>
    </row>
    <row r="126" spans="1:11">
      <c r="A126" s="476" t="s">
        <v>841</v>
      </c>
      <c r="B126" s="476"/>
      <c r="C126" s="474">
        <v>25000</v>
      </c>
      <c r="D126" s="554" t="s">
        <v>843</v>
      </c>
      <c r="E126" s="545"/>
      <c r="F126" s="476"/>
      <c r="G126" s="476"/>
      <c r="J126" t="s">
        <v>868</v>
      </c>
      <c r="K126" s="1601"/>
    </row>
    <row r="129" spans="1:10">
      <c r="A129" s="2093" t="s">
        <v>871</v>
      </c>
      <c r="B129" s="2094"/>
      <c r="C129" s="2094"/>
      <c r="D129" s="2094"/>
      <c r="E129" s="2094"/>
      <c r="F129" s="2094"/>
      <c r="G129" s="2095"/>
      <c r="H129" s="1791" t="s">
        <v>1975</v>
      </c>
    </row>
    <row r="131" spans="1:10">
      <c r="A131" t="s">
        <v>872</v>
      </c>
      <c r="G131" s="582">
        <v>9</v>
      </c>
    </row>
    <row r="132" spans="1:10">
      <c r="A132" t="s">
        <v>885</v>
      </c>
      <c r="G132" s="583">
        <v>1.1499999999999999</v>
      </c>
      <c r="H132" t="s">
        <v>1974</v>
      </c>
    </row>
    <row r="133" spans="1:10">
      <c r="A133" t="s">
        <v>873</v>
      </c>
      <c r="G133" s="583">
        <v>0.88</v>
      </c>
    </row>
    <row r="134" spans="1:10">
      <c r="A134" t="s">
        <v>874</v>
      </c>
      <c r="G134" s="583">
        <v>0.93</v>
      </c>
    </row>
    <row r="135" spans="1:10">
      <c r="A135" t="s">
        <v>875</v>
      </c>
      <c r="G135" s="583">
        <v>0.87</v>
      </c>
    </row>
    <row r="136" spans="1:10">
      <c r="A136" t="s">
        <v>876</v>
      </c>
      <c r="G136" s="583">
        <v>0.82</v>
      </c>
    </row>
    <row r="137" spans="1:10">
      <c r="A137" t="s">
        <v>877</v>
      </c>
      <c r="G137" s="583">
        <v>0.85</v>
      </c>
    </row>
    <row r="138" spans="1:10">
      <c r="A138" t="s">
        <v>878</v>
      </c>
      <c r="G138" s="583">
        <v>0.92</v>
      </c>
    </row>
    <row r="139" spans="1:10">
      <c r="A139" t="s">
        <v>879</v>
      </c>
      <c r="G139" s="583">
        <v>1</v>
      </c>
    </row>
    <row r="141" spans="1:10">
      <c r="A141" s="2093" t="s">
        <v>910</v>
      </c>
      <c r="B141" s="2094"/>
      <c r="C141" s="2094"/>
      <c r="D141" s="2094"/>
      <c r="E141" s="2094"/>
      <c r="F141" s="2094"/>
      <c r="G141" s="2095"/>
      <c r="H141" s="1791" t="s">
        <v>1975</v>
      </c>
      <c r="J141" s="1886"/>
    </row>
    <row r="143" spans="1:10">
      <c r="A143" t="s">
        <v>903</v>
      </c>
      <c r="F143" s="1886"/>
      <c r="G143" s="583">
        <v>9.6</v>
      </c>
      <c r="H143" s="1886"/>
    </row>
    <row r="144" spans="1:10">
      <c r="A144" t="s">
        <v>904</v>
      </c>
      <c r="G144" s="583">
        <v>11</v>
      </c>
      <c r="H144" s="608" t="s">
        <v>909</v>
      </c>
    </row>
    <row r="145" spans="1:10">
      <c r="A145" t="s">
        <v>883</v>
      </c>
      <c r="G145" s="584">
        <v>3.1709999999999998</v>
      </c>
    </row>
    <row r="146" spans="1:10">
      <c r="A146" t="s">
        <v>882</v>
      </c>
      <c r="G146" s="584">
        <v>1.6020000000000001</v>
      </c>
    </row>
    <row r="147" spans="1:10">
      <c r="A147" t="s">
        <v>884</v>
      </c>
      <c r="G147" s="584">
        <v>2.5129999999999999</v>
      </c>
    </row>
    <row r="148" spans="1:10">
      <c r="A148" t="s">
        <v>881</v>
      </c>
      <c r="G148" s="584">
        <v>2.9260000000000002</v>
      </c>
    </row>
    <row r="149" spans="1:10">
      <c r="A149" t="s">
        <v>872</v>
      </c>
      <c r="G149" s="585">
        <f>G131</f>
        <v>9</v>
      </c>
    </row>
    <row r="150" spans="1:10">
      <c r="A150" t="s">
        <v>899</v>
      </c>
      <c r="G150" s="1636" t="str">
        <f>IF(Funding!L184=0,"No","Yes")</f>
        <v>No</v>
      </c>
      <c r="H150" s="165">
        <f>IF(DS_FLJobs_HC="Yes",1,0)</f>
        <v>0</v>
      </c>
    </row>
    <row r="151" spans="1:10">
      <c r="A151" t="s">
        <v>1294</v>
      </c>
      <c r="G151" s="1636" t="str">
        <f>IF(Funding!L15=0,"No","Yes")</f>
        <v>No</v>
      </c>
      <c r="H151" s="165">
        <f>IF(DS_FLJobs_Workforce="Yes",1,0)</f>
        <v>0</v>
      </c>
    </row>
    <row r="152" spans="1:10">
      <c r="A152" t="s">
        <v>901</v>
      </c>
      <c r="G152" s="1636" t="str">
        <f>IF(Funding!L42=0,"No","Yes")</f>
        <v>Yes</v>
      </c>
      <c r="H152" s="165">
        <f>IF(DS_FLJobs_SAIL="Yes",1,0)</f>
        <v>1</v>
      </c>
    </row>
    <row r="153" spans="1:10">
      <c r="A153" t="s">
        <v>902</v>
      </c>
      <c r="G153" s="1636" t="str">
        <f>IF(Funding!L73=0,"No","Yes")</f>
        <v>No</v>
      </c>
      <c r="H153" s="165">
        <f>IF(DS_FLJobs_HOME="Yes",1,0)</f>
        <v>0</v>
      </c>
    </row>
    <row r="154" spans="1:10">
      <c r="A154" t="s">
        <v>1295</v>
      </c>
      <c r="G154" s="1636" t="str">
        <f>IF(Funding!L116=0,"No","Yes")</f>
        <v>Yes</v>
      </c>
      <c r="H154" s="165">
        <f>IF(DS_FLJobs_HOME_ARP="Yes",1,0)</f>
        <v>1</v>
      </c>
    </row>
    <row r="155" spans="1:10">
      <c r="A155" t="s">
        <v>900</v>
      </c>
      <c r="G155" s="1636" t="str">
        <f>IF(Funding!L124=0,"No","Yes")</f>
        <v>No</v>
      </c>
      <c r="H155" s="165">
        <f>IF(DS_FLJobs_Grant="Yes",1,0)</f>
        <v>0</v>
      </c>
      <c r="I155" s="599" t="s">
        <v>905</v>
      </c>
    </row>
    <row r="156" spans="1:10">
      <c r="A156" t="s">
        <v>906</v>
      </c>
      <c r="G156" s="1240">
        <f>ROUND(IF(MIN(Competitive_HC_Request_Amount,N(Max_Competitive_HC))*DS_FLJobs_MP_HC*H150+MIN(Workforce_Request_Amount,N(Max_Workforce))*H151+MIN(SAIL_Request_Amount,N(Max_SAIL))*H152+MIN(HOME_Request_Amount,N(Max_HOME))*H153+MIN(HOME_ARP_Request_Amount,N(Max_ARP))*H154+MIN(Grant_Request_Amount,N(Max_Grant))*H155=0,0,((SUM('Proposed Development Info'!H59:H67)-SUM('Proposed Development Info'!H64:H65))*DS_FLJobs_MFNC+SUM('Proposed Development Info'!H64:H65)*DS_FLJobs_SFNC+SUM('Proposed Development Info'!H68:H73)*IF(Development_Category="Rehabilitation",DS_FLJobs_MFRO,DS_FLJobs_MFAR))*1000000/(MIN(Competitive_HC_Request_Amount,N(Max_Competitive_HC))*DS_FLJobs_MP_HC*H150+MIN(Workforce_Request_Amount,N(Max_Workforce))*H151+MIN(SAIL_Request_Amount,N(Max_SAIL))*H152+MIN(HOME_Request_Amount,N(Max_HOME))*H153+MIN(HOME_ARP_Request_Amount,N(Max_ARP))*H154+MIN(Grant_Request_Amount,N(Max_Grant))*H155)),2)</f>
        <v>0</v>
      </c>
      <c r="H156" s="599" t="s">
        <v>907</v>
      </c>
    </row>
    <row r="158" spans="1:10">
      <c r="A158" s="2093" t="s">
        <v>1104</v>
      </c>
      <c r="B158" s="2094"/>
      <c r="C158" s="2094"/>
      <c r="D158" s="2094"/>
      <c r="E158" s="2094"/>
      <c r="F158" s="2094"/>
      <c r="G158" s="2095"/>
      <c r="H158" s="1791" t="s">
        <v>1975</v>
      </c>
      <c r="J158" s="1886"/>
    </row>
    <row r="160" spans="1:10">
      <c r="A160" t="s">
        <v>1148</v>
      </c>
      <c r="E160" s="1889"/>
      <c r="G160" s="524">
        <v>0.14000000000000001</v>
      </c>
    </row>
    <row r="161" spans="1:10">
      <c r="A161" t="s">
        <v>1145</v>
      </c>
      <c r="E161" s="1889"/>
      <c r="G161" s="524">
        <v>0.05</v>
      </c>
    </row>
    <row r="162" spans="1:10">
      <c r="A162" t="s">
        <v>1146</v>
      </c>
      <c r="G162" s="524">
        <v>0.15</v>
      </c>
    </row>
    <row r="163" spans="1:10">
      <c r="A163" t="s">
        <v>1147</v>
      </c>
      <c r="E163" s="1889"/>
      <c r="G163" s="524">
        <v>0.05</v>
      </c>
    </row>
    <row r="164" spans="1:10">
      <c r="A164" t="s">
        <v>1139</v>
      </c>
      <c r="E164" s="1889"/>
      <c r="G164" s="524">
        <v>0.16</v>
      </c>
    </row>
    <row r="165" spans="1:10">
      <c r="A165" t="s">
        <v>1140</v>
      </c>
      <c r="E165" s="1889"/>
      <c r="G165" s="524">
        <f>DS_MaxDevFeeAcq_Percent</f>
        <v>0.16</v>
      </c>
    </row>
    <row r="166" spans="1:10">
      <c r="A166" t="s">
        <v>1141</v>
      </c>
      <c r="E166" s="1889"/>
      <c r="G166" s="524">
        <v>0</v>
      </c>
      <c r="H166" s="1795" t="s">
        <v>1976</v>
      </c>
    </row>
    <row r="167" spans="1:10">
      <c r="A167" t="s">
        <v>2101</v>
      </c>
      <c r="E167" s="1889"/>
      <c r="G167" s="524">
        <v>0.05</v>
      </c>
      <c r="H167" s="1795" t="s">
        <v>1976</v>
      </c>
    </row>
    <row r="168" spans="1:10">
      <c r="G168" s="1531"/>
    </row>
    <row r="169" spans="1:10">
      <c r="A169" s="980" t="s">
        <v>1180</v>
      </c>
      <c r="B169" s="982"/>
      <c r="C169" s="982"/>
      <c r="D169" s="982"/>
      <c r="E169" s="983"/>
      <c r="F169" s="981" t="s">
        <v>4</v>
      </c>
      <c r="G169" s="107" t="s">
        <v>5</v>
      </c>
      <c r="H169" s="107" t="s">
        <v>6</v>
      </c>
      <c r="I169" s="1886"/>
      <c r="J169" s="984" t="s">
        <v>190</v>
      </c>
    </row>
    <row r="170" spans="1:10">
      <c r="A170" s="640" t="s">
        <v>650</v>
      </c>
      <c r="B170" s="640"/>
      <c r="C170" s="640"/>
      <c r="F170" s="102">
        <v>0</v>
      </c>
      <c r="G170" s="105" t="str">
        <f>IF(F170&lt;&gt;1,"",SUM(F$170:F170))</f>
        <v/>
      </c>
      <c r="H170" s="102">
        <v>1</v>
      </c>
      <c r="J170" s="163" t="str">
        <f>IF(COUNTA($A170:$A$170)&lt;=MAX(DS_ProAppSource_Sequence)=TRUE,LOOKUP(COUNTA($A170:$A$170),DS_ProAppSource_Sequence,DS_ProAppSource_Name),"")</f>
        <v>Regulated Mortgage Lender</v>
      </c>
    </row>
    <row r="171" spans="1:10">
      <c r="A171" s="640" t="s">
        <v>651</v>
      </c>
      <c r="B171" s="640"/>
      <c r="C171" s="640"/>
      <c r="F171" s="102">
        <v>0</v>
      </c>
      <c r="G171" s="105" t="str">
        <f>IF(F171&lt;&gt;1,"",SUM(F$170:F171))</f>
        <v/>
      </c>
      <c r="H171" s="102">
        <v>2</v>
      </c>
      <c r="J171" s="163" t="str">
        <f>IF(COUNTA($A$170:$A171)&lt;=MAX(DS_ProAppSource_Sequence)=TRUE,LOOKUP(COUNTA($A$170:$A171),DS_ProAppSource_Sequence,DS_ProAppSource_Name),"")</f>
        <v>Local Government Subsidy</v>
      </c>
    </row>
    <row r="172" spans="1:10">
      <c r="A172" s="640" t="s">
        <v>658</v>
      </c>
      <c r="B172" s="640"/>
      <c r="C172" s="640"/>
      <c r="F172" s="102">
        <v>1</v>
      </c>
      <c r="G172" s="105">
        <f>IF(F172&lt;&gt;1,"",SUM(F$170:F172))</f>
        <v>1</v>
      </c>
      <c r="H172" s="102">
        <v>3</v>
      </c>
      <c r="J172" s="163" t="str">
        <f>IF(COUNTA($A$170:$A172)&lt;=MAX(DS_ProAppSource_Sequence)=TRUE,LOOKUP(COUNTA($A$170:$A172),DS_ProAppSource_Sequence,DS_ProAppSource_Name),"")</f>
        <v>Seller Financing</v>
      </c>
    </row>
    <row r="173" spans="1:10">
      <c r="A173" s="640" t="s">
        <v>657</v>
      </c>
      <c r="B173" s="640"/>
      <c r="C173" s="640"/>
      <c r="F173" s="102">
        <v>1</v>
      </c>
      <c r="G173" s="105">
        <f>IF(F173&lt;&gt;1,"",SUM(F$170:F173))</f>
        <v>2</v>
      </c>
      <c r="H173" s="102">
        <v>4</v>
      </c>
      <c r="J173" s="163" t="str">
        <f>IF(COUNTA($A$170:$A173)&lt;=MAX(DS_ProAppSource_Sequence)=TRUE,LOOKUP(COUNTA($A$170:$A173),DS_ProAppSource_Sequence,DS_ProAppSource_Name),"")</f>
        <v>State Legislation</v>
      </c>
    </row>
    <row r="174" spans="1:10">
      <c r="A174" s="640" t="s">
        <v>804</v>
      </c>
      <c r="B174" s="640"/>
      <c r="C174" s="640"/>
      <c r="F174" s="102">
        <v>0</v>
      </c>
      <c r="G174" s="105" t="str">
        <f>IF(F174&lt;&gt;1,"",SUM(F$170:F174))</f>
        <v/>
      </c>
      <c r="H174" s="102">
        <v>5</v>
      </c>
      <c r="J174" s="163" t="str">
        <f>IF(COUNTA($A$170:$A174)&lt;=MAX(DS_ProAppSource_Sequence)=TRUE,LOOKUP(COUNTA($A$170:$A174),DS_ProAppSource_Sequence,DS_ProAppSource_Name),"")</f>
        <v>Deferred Development Costs</v>
      </c>
    </row>
    <row r="175" spans="1:10">
      <c r="A175" s="640" t="s">
        <v>1820</v>
      </c>
      <c r="B175" s="640"/>
      <c r="C175" s="640"/>
      <c r="F175" s="102">
        <v>0</v>
      </c>
      <c r="G175" s="105" t="str">
        <f>IF(F175&lt;&gt;1,"",SUM(F$170:F175))</f>
        <v/>
      </c>
      <c r="H175" s="102">
        <v>6</v>
      </c>
      <c r="J175" s="163" t="str">
        <f>IF(COUNTA($A$170:$A175)&lt;=MAX(DS_ProAppSource_Sequence)=TRUE,LOOKUP(COUNTA($A$170:$A175),DS_ProAppSource_Sequence,DS_ProAppSource_Name),"")</f>
        <v>Other</v>
      </c>
    </row>
    <row r="176" spans="1:10">
      <c r="A176" s="640" t="s">
        <v>1819</v>
      </c>
      <c r="B176" s="640"/>
      <c r="C176" s="640"/>
      <c r="F176" s="102">
        <v>0</v>
      </c>
      <c r="G176" s="105" t="str">
        <f>IF(F176&lt;&gt;1,"",SUM(F$170:F176))</f>
        <v/>
      </c>
      <c r="H176" s="102">
        <v>7</v>
      </c>
      <c r="J176" s="163" t="str">
        <f>IF(COUNTA($A$170:$A176)&lt;=MAX(DS_ProAppSource_Sequence)=TRUE,LOOKUP(COUNTA($A$170:$A176),DS_ProAppSource_Sequence,DS_ProAppSource_Name),"")</f>
        <v/>
      </c>
    </row>
    <row r="177" spans="1:11">
      <c r="A177" s="640" t="s">
        <v>652</v>
      </c>
      <c r="B177" s="640"/>
      <c r="C177" s="640"/>
      <c r="F177" s="102">
        <v>1</v>
      </c>
      <c r="G177" s="105">
        <f>IF(F177&lt;&gt;1,"",SUM(F$170:F177))</f>
        <v>3</v>
      </c>
      <c r="H177" s="102">
        <v>8</v>
      </c>
      <c r="J177" s="163" t="str">
        <f>IF(COUNTA($A$170:$A177)&lt;=MAX(DS_ProAppSource_Sequence)=TRUE,LOOKUP(COUNTA($A$170:$A177),DS_ProAppSource_Sequence,DS_ProAppSource_Name),"")</f>
        <v/>
      </c>
    </row>
    <row r="178" spans="1:11">
      <c r="A178" s="640" t="s">
        <v>653</v>
      </c>
      <c r="B178" s="640"/>
      <c r="C178" s="640"/>
      <c r="F178" s="102">
        <v>1</v>
      </c>
      <c r="G178" s="105">
        <f>IF(F178&lt;&gt;1,"",SUM(F$170:F178))</f>
        <v>4</v>
      </c>
      <c r="H178" s="102">
        <v>9</v>
      </c>
      <c r="J178" s="163" t="str">
        <f>IF(COUNTA($A$170:$A178)&lt;=MAX(DS_ProAppSource_Sequence)=TRUE,LOOKUP(COUNTA($A$170:$A178),DS_ProAppSource_Sequence,DS_ProAppSource_Name),"")</f>
        <v/>
      </c>
    </row>
    <row r="179" spans="1:11">
      <c r="A179" s="640" t="s">
        <v>656</v>
      </c>
      <c r="B179" s="640"/>
      <c r="C179" s="640"/>
      <c r="F179" s="102">
        <v>0</v>
      </c>
      <c r="G179" s="105" t="str">
        <f>IF(F179&lt;&gt;1,"",SUM(F$170:F179))</f>
        <v/>
      </c>
      <c r="H179" s="102">
        <v>10</v>
      </c>
      <c r="J179" s="163" t="str">
        <f>IF(COUNTA($A$170:$A179)&lt;=MAX(DS_ProAppSource_Sequence)=TRUE,LOOKUP(COUNTA($A$170:$A179),DS_ProAppSource_Sequence,DS_ProAppSource_Name),"")</f>
        <v/>
      </c>
    </row>
    <row r="180" spans="1:11">
      <c r="A180" s="640" t="s">
        <v>655</v>
      </c>
      <c r="B180" s="640"/>
      <c r="C180" s="640"/>
      <c r="F180" s="102">
        <v>0</v>
      </c>
      <c r="G180" s="105" t="str">
        <f>IF(F180&lt;&gt;1,"",SUM(F$170:F180))</f>
        <v/>
      </c>
      <c r="H180" s="102">
        <v>11</v>
      </c>
      <c r="J180" s="163" t="str">
        <f>IF(COUNTA($A$170:$A180)&lt;=MAX(DS_ProAppSource_Sequence)=TRUE,LOOKUP(COUNTA($A$170:$A180),DS_ProAppSource_Sequence,DS_ProAppSource_Name),"")</f>
        <v/>
      </c>
    </row>
    <row r="181" spans="1:11">
      <c r="A181" s="640" t="s">
        <v>654</v>
      </c>
      <c r="B181" s="640"/>
      <c r="C181" s="640"/>
      <c r="F181" s="102">
        <v>0</v>
      </c>
      <c r="G181" s="105" t="str">
        <f>IF(F181&lt;&gt;1,"",SUM(F$170:F181))</f>
        <v/>
      </c>
      <c r="H181" s="102">
        <v>12</v>
      </c>
      <c r="J181" s="163" t="str">
        <f>IF(COUNTA($A$170:$A181)&lt;=MAX(DS_ProAppSource_Sequence)=TRUE,LOOKUP(COUNTA($A$170:$A181),DS_ProAppSource_Sequence,DS_ProAppSource_Name),"")</f>
        <v/>
      </c>
    </row>
    <row r="182" spans="1:11">
      <c r="A182" s="640" t="s">
        <v>1203</v>
      </c>
      <c r="B182" s="640"/>
      <c r="C182" s="640"/>
      <c r="F182" s="102">
        <v>1</v>
      </c>
      <c r="G182" s="105">
        <f>IF(F182&lt;&gt;1,"",SUM(F$170:F182))</f>
        <v>5</v>
      </c>
      <c r="H182" s="102">
        <v>13</v>
      </c>
      <c r="J182" s="163" t="str">
        <f>IF(COUNTA($A$170:$A182)&lt;=MAX(DS_ProAppSource_Sequence)=TRUE,LOOKUP(COUNTA($A$170:$A182),DS_ProAppSource_Sequence,DS_ProAppSource_Name),"")</f>
        <v/>
      </c>
    </row>
    <row r="183" spans="1:11">
      <c r="A183" s="640" t="s">
        <v>118</v>
      </c>
      <c r="B183" s="640"/>
      <c r="C183" s="640"/>
      <c r="F183" s="102">
        <v>1</v>
      </c>
      <c r="G183" s="105">
        <f>IF(F183&lt;&gt;1,"",SUM(F$170:F183))</f>
        <v>6</v>
      </c>
      <c r="H183" s="102">
        <v>14</v>
      </c>
      <c r="J183" s="163" t="str">
        <f>IF(COUNTA($A$170:$A183)&lt;=MAX(DS_ProAppSource_Sequence)=TRUE,LOOKUP(COUNTA($A$170:$A183),DS_ProAppSource_Sequence,DS_ProAppSource_Name),"")</f>
        <v/>
      </c>
    </row>
    <row r="185" spans="1:11">
      <c r="A185" s="2093" t="s">
        <v>886</v>
      </c>
      <c r="B185" s="2094"/>
      <c r="C185" s="2094"/>
      <c r="D185" s="2094"/>
      <c r="E185" s="2094"/>
      <c r="F185" s="2094"/>
      <c r="G185" s="2095"/>
      <c r="H185" s="203"/>
      <c r="I185" s="1886"/>
      <c r="J185" s="2079" t="s">
        <v>1169</v>
      </c>
      <c r="K185" s="2080"/>
    </row>
    <row r="186" spans="1:11">
      <c r="G186" s="736" t="s">
        <v>1035</v>
      </c>
      <c r="H186" s="737" t="s">
        <v>676</v>
      </c>
      <c r="I186" s="402"/>
      <c r="J186" s="736" t="s">
        <v>1035</v>
      </c>
      <c r="K186" s="737" t="s">
        <v>676</v>
      </c>
    </row>
    <row r="187" spans="1:11">
      <c r="C187" t="s">
        <v>606</v>
      </c>
      <c r="G187" s="583">
        <v>0</v>
      </c>
      <c r="H187" s="734">
        <v>0</v>
      </c>
      <c r="J187" s="583"/>
      <c r="K187" s="734">
        <v>0</v>
      </c>
    </row>
    <row r="188" spans="1:11">
      <c r="A188" t="s">
        <v>675</v>
      </c>
      <c r="C188" t="s">
        <v>1213</v>
      </c>
      <c r="G188" s="583">
        <v>370000</v>
      </c>
      <c r="H188" s="734">
        <v>311900</v>
      </c>
      <c r="J188" s="583"/>
      <c r="K188" s="734">
        <f>275000+IF(K$202="Yes",5000,0)</f>
        <v>275000</v>
      </c>
    </row>
    <row r="189" spans="1:11">
      <c r="A189" t="s">
        <v>674</v>
      </c>
      <c r="C189" t="s">
        <v>1214</v>
      </c>
      <c r="G189" s="583">
        <v>320000</v>
      </c>
      <c r="H189" s="734">
        <v>270100</v>
      </c>
      <c r="J189" s="583"/>
      <c r="K189" s="734">
        <f>260000+IF(K$202="Yes",5000,0)</f>
        <v>260000</v>
      </c>
    </row>
    <row r="190" spans="1:11">
      <c r="A190" t="s">
        <v>673</v>
      </c>
      <c r="C190" t="s">
        <v>1209</v>
      </c>
      <c r="G190" s="583">
        <v>420000</v>
      </c>
      <c r="H190" s="734">
        <v>358000</v>
      </c>
      <c r="J190" s="583"/>
      <c r="K190" s="734">
        <f>335000+IF(K$202="Yes",5000,0)</f>
        <v>335000</v>
      </c>
    </row>
    <row r="191" spans="1:11">
      <c r="A191" t="s">
        <v>672</v>
      </c>
      <c r="C191" t="s">
        <v>1210</v>
      </c>
      <c r="G191" s="583">
        <v>410000</v>
      </c>
      <c r="H191" s="734">
        <v>344700</v>
      </c>
      <c r="J191" s="583"/>
      <c r="K191" s="734">
        <f>290000+IF(K$202="Yes",5000,0)</f>
        <v>290000</v>
      </c>
    </row>
    <row r="192" spans="1:11">
      <c r="A192" t="s">
        <v>671</v>
      </c>
      <c r="C192" t="s">
        <v>1211</v>
      </c>
      <c r="G192" s="583">
        <v>370000</v>
      </c>
      <c r="H192" s="734">
        <v>311900</v>
      </c>
      <c r="J192" s="583"/>
      <c r="K192" s="734">
        <f>275000+IF(K$202="Yes",5000,0)</f>
        <v>275000</v>
      </c>
    </row>
    <row r="193" spans="1:15">
      <c r="A193" t="s">
        <v>670</v>
      </c>
      <c r="C193" t="s">
        <v>1212</v>
      </c>
      <c r="G193" s="583">
        <v>170000</v>
      </c>
      <c r="H193" s="734">
        <v>146900</v>
      </c>
      <c r="J193" s="962"/>
      <c r="K193" s="962"/>
    </row>
    <row r="194" spans="1:15">
      <c r="A194" s="592" t="s">
        <v>669</v>
      </c>
      <c r="B194" s="1037"/>
      <c r="C194" s="1037" t="s">
        <v>1215</v>
      </c>
      <c r="D194" s="592"/>
      <c r="E194" s="593"/>
      <c r="F194" s="592"/>
      <c r="G194" s="594">
        <v>260000</v>
      </c>
      <c r="H194" s="735">
        <v>221600</v>
      </c>
      <c r="J194" s="963"/>
      <c r="K194" s="963"/>
    </row>
    <row r="195" spans="1:15">
      <c r="A195" t="s">
        <v>668</v>
      </c>
      <c r="C195" t="s">
        <v>1216</v>
      </c>
      <c r="G195" s="583">
        <v>390000</v>
      </c>
      <c r="H195" s="734">
        <v>327100</v>
      </c>
      <c r="J195" s="583"/>
      <c r="K195" s="734">
        <f>295000+IF(K$202="Yes",5000,0)</f>
        <v>295000</v>
      </c>
      <c r="N195" s="1044"/>
      <c r="O195" s="1044"/>
    </row>
    <row r="196" spans="1:15">
      <c r="A196" t="s">
        <v>667</v>
      </c>
      <c r="C196" t="s">
        <v>1217</v>
      </c>
      <c r="G196" s="583">
        <v>340000</v>
      </c>
      <c r="H196" s="734">
        <v>284500</v>
      </c>
      <c r="J196" s="962"/>
      <c r="K196" s="962"/>
    </row>
    <row r="197" spans="1:15">
      <c r="A197" t="s">
        <v>666</v>
      </c>
      <c r="C197" t="s">
        <v>1218</v>
      </c>
      <c r="G197" s="583">
        <v>440000</v>
      </c>
      <c r="H197" s="734">
        <v>374700</v>
      </c>
      <c r="J197" s="583"/>
      <c r="K197" s="734">
        <f>370000+IF(K$202="Yes",5000,0)</f>
        <v>370000</v>
      </c>
    </row>
    <row r="198" spans="1:15">
      <c r="A198" t="s">
        <v>665</v>
      </c>
      <c r="C198" t="s">
        <v>1219</v>
      </c>
      <c r="G198" s="583">
        <v>430000</v>
      </c>
      <c r="H198" s="734">
        <v>361000</v>
      </c>
      <c r="J198" s="583"/>
      <c r="K198" s="734">
        <f>315000+IF(K$202="Yes",5000,0)</f>
        <v>315000</v>
      </c>
    </row>
    <row r="199" spans="1:15">
      <c r="A199" t="s">
        <v>664</v>
      </c>
      <c r="C199" t="s">
        <v>1220</v>
      </c>
      <c r="G199" s="583">
        <v>390000</v>
      </c>
      <c r="H199" s="734">
        <v>327100</v>
      </c>
      <c r="J199" s="962"/>
      <c r="K199" s="962"/>
    </row>
    <row r="200" spans="1:15">
      <c r="A200" t="s">
        <v>663</v>
      </c>
      <c r="C200" t="s">
        <v>1221</v>
      </c>
      <c r="G200" s="583">
        <v>180000</v>
      </c>
      <c r="H200" s="734">
        <v>153600</v>
      </c>
      <c r="J200" s="962"/>
      <c r="K200" s="962"/>
    </row>
    <row r="201" spans="1:15">
      <c r="A201" t="s">
        <v>662</v>
      </c>
      <c r="C201" t="s">
        <v>1222</v>
      </c>
      <c r="G201" s="583">
        <v>270000</v>
      </c>
      <c r="H201" s="734">
        <v>232600</v>
      </c>
      <c r="J201" s="962"/>
      <c r="K201" s="962"/>
    </row>
    <row r="202" spans="1:15">
      <c r="J202" s="137" t="s">
        <v>1239</v>
      </c>
      <c r="K202" s="1428" t="str">
        <f>IF(AND(DS_Add_On_1=1,OR(PHA_land_lease="Yes",PHA_as_Principal="Yes",AND(OR(HOME_Request_Amount&gt;0,HOME_ARP_Request_Amount&gt;0),Total_Units&gt;11))),"Yes","No")</f>
        <v>No</v>
      </c>
    </row>
    <row r="205" spans="1:15">
      <c r="A205" s="2093" t="s">
        <v>919</v>
      </c>
      <c r="B205" s="2094"/>
      <c r="C205" s="2094"/>
      <c r="D205" s="2094"/>
      <c r="E205" s="2094"/>
      <c r="F205" s="2094"/>
      <c r="G205" s="2095"/>
      <c r="H205" s="1791" t="s">
        <v>1975</v>
      </c>
      <c r="J205" s="1886"/>
    </row>
    <row r="206" spans="1:15">
      <c r="F206" s="613" t="s">
        <v>4</v>
      </c>
      <c r="H206" s="201"/>
    </row>
    <row r="207" spans="1:15">
      <c r="A207" t="s">
        <v>887</v>
      </c>
      <c r="F207" s="102">
        <v>1</v>
      </c>
      <c r="G207" s="102">
        <v>7500</v>
      </c>
      <c r="H207" s="203"/>
    </row>
    <row r="208" spans="1:15">
      <c r="A208" t="s">
        <v>888</v>
      </c>
      <c r="F208" s="102">
        <v>0</v>
      </c>
      <c r="G208" s="102">
        <v>7500</v>
      </c>
    </row>
    <row r="209" spans="1:8">
      <c r="A209" t="s">
        <v>1972</v>
      </c>
      <c r="F209" s="102">
        <v>0</v>
      </c>
      <c r="G209" s="102">
        <v>0.95</v>
      </c>
    </row>
    <row r="210" spans="1:8">
      <c r="A210" t="s">
        <v>1973</v>
      </c>
      <c r="F210" s="102">
        <v>1</v>
      </c>
      <c r="G210" s="102">
        <v>0.9</v>
      </c>
    </row>
    <row r="211" spans="1:8">
      <c r="A211" s="12" t="s">
        <v>917</v>
      </c>
      <c r="B211" s="12"/>
      <c r="C211" s="12"/>
      <c r="D211" s="12"/>
      <c r="F211" s="102">
        <v>0</v>
      </c>
      <c r="G211" s="102">
        <v>0.9</v>
      </c>
    </row>
    <row r="212" spans="1:8">
      <c r="A212" s="12" t="s">
        <v>918</v>
      </c>
      <c r="B212" s="12"/>
      <c r="C212" s="12"/>
      <c r="D212" s="12"/>
      <c r="F212" s="102">
        <v>0</v>
      </c>
      <c r="G212" s="102">
        <v>0.95</v>
      </c>
    </row>
    <row r="213" spans="1:8">
      <c r="A213" t="s">
        <v>889</v>
      </c>
      <c r="F213" s="102">
        <v>0</v>
      </c>
      <c r="G213" s="102">
        <v>0.6</v>
      </c>
    </row>
    <row r="214" spans="1:8">
      <c r="A214" t="s">
        <v>890</v>
      </c>
      <c r="D214" t="s">
        <v>920</v>
      </c>
      <c r="F214" s="102">
        <v>1</v>
      </c>
      <c r="G214" s="102">
        <v>0.65</v>
      </c>
    </row>
    <row r="215" spans="1:8">
      <c r="A215" t="s">
        <v>891</v>
      </c>
      <c r="D215" t="s">
        <v>920</v>
      </c>
      <c r="F215" s="102">
        <v>1</v>
      </c>
      <c r="G215" s="102">
        <v>0.5</v>
      </c>
    </row>
    <row r="216" spans="1:8">
      <c r="A216" t="s">
        <v>1255</v>
      </c>
      <c r="F216" s="102">
        <v>0</v>
      </c>
      <c r="G216" s="102">
        <v>1</v>
      </c>
    </row>
    <row r="217" spans="1:8">
      <c r="A217" t="s">
        <v>1256</v>
      </c>
      <c r="F217" s="102">
        <v>0</v>
      </c>
      <c r="G217" s="102">
        <v>1</v>
      </c>
    </row>
    <row r="221" spans="1:8">
      <c r="A221" t="s">
        <v>1100</v>
      </c>
    </row>
    <row r="223" spans="1:8">
      <c r="H223" s="608" t="s">
        <v>1522</v>
      </c>
    </row>
    <row r="225" spans="1:14">
      <c r="A225" s="2093" t="s">
        <v>1293</v>
      </c>
      <c r="B225" s="2094"/>
      <c r="C225" s="2094"/>
      <c r="D225" s="2094"/>
      <c r="E225" s="2094"/>
      <c r="F225" s="2094"/>
      <c r="G225" s="2095"/>
      <c r="H225" s="1248" t="s">
        <v>4</v>
      </c>
      <c r="I225" s="1249" t="s">
        <v>1488</v>
      </c>
      <c r="J225" s="1124" t="s">
        <v>825</v>
      </c>
      <c r="K225" s="1791" t="s">
        <v>1975</v>
      </c>
      <c r="M225" s="1886"/>
    </row>
    <row r="226" spans="1:14">
      <c r="A226" s="203" t="s">
        <v>1285</v>
      </c>
      <c r="B226" s="1245" t="s">
        <v>1286</v>
      </c>
      <c r="C226" s="1123"/>
      <c r="D226" s="1123"/>
      <c r="E226" s="1123"/>
      <c r="F226" s="1123"/>
      <c r="G226" s="1123"/>
      <c r="H226" s="569">
        <v>1</v>
      </c>
      <c r="I226" s="102">
        <v>4</v>
      </c>
      <c r="J226" s="1207" t="str">
        <f>IF(N(FLJobs_Score)&gt;=N(DS_FLJobs_Min_Score1),"Yes",IF(N(FLJobs_Score)&lt;N(DS_FLJobs_Min_Score1),"No","NA"))</f>
        <v>No</v>
      </c>
      <c r="K226" s="14" t="str">
        <f t="shared" ref="K226:K236" si="3">IF(H226="","",IF(H226=0,"Not ","")&amp;"Applicable to this RFA")</f>
        <v>Applicable to this RFA</v>
      </c>
      <c r="M226" s="42"/>
    </row>
    <row r="227" spans="1:14">
      <c r="A227" s="203" t="s">
        <v>1285</v>
      </c>
      <c r="B227" s="1246" t="s">
        <v>1005</v>
      </c>
      <c r="C227" s="516"/>
      <c r="D227" s="516"/>
      <c r="E227" s="516"/>
      <c r="F227" s="516"/>
      <c r="G227" s="516"/>
      <c r="H227" s="569">
        <v>1</v>
      </c>
      <c r="I227" s="102">
        <v>1</v>
      </c>
      <c r="J227" s="1207" t="str">
        <f>IF(Qualified_Fin_Assist_Pref_Met="TBD","",Qualified_Fin_Assist_Pref_Met)</f>
        <v/>
      </c>
      <c r="K227" s="14" t="str">
        <f t="shared" si="3"/>
        <v>Applicable to this RFA</v>
      </c>
      <c r="M227" s="42"/>
    </row>
    <row r="228" spans="1:14">
      <c r="A228" s="203" t="s">
        <v>1285</v>
      </c>
      <c r="B228" s="1246" t="s">
        <v>426</v>
      </c>
      <c r="C228" s="516"/>
      <c r="D228" s="516"/>
      <c r="E228" s="516"/>
      <c r="F228" s="516"/>
      <c r="G228" s="516"/>
      <c r="H228" s="569">
        <v>0</v>
      </c>
      <c r="I228" s="102"/>
      <c r="J228" s="201" t="str">
        <f>PerUnitConstFundingPref</f>
        <v/>
      </c>
      <c r="K228" s="14" t="str">
        <f t="shared" si="3"/>
        <v>Not Applicable to this RFA</v>
      </c>
    </row>
    <row r="229" spans="1:14">
      <c r="A229" s="203" t="s">
        <v>1285</v>
      </c>
      <c r="B229" s="1246" t="s">
        <v>1287</v>
      </c>
      <c r="C229" s="516"/>
      <c r="D229" s="516"/>
      <c r="E229" s="516"/>
      <c r="F229" s="516"/>
      <c r="G229" s="516"/>
      <c r="H229" s="569">
        <v>0</v>
      </c>
      <c r="I229" s="102"/>
      <c r="J229" s="1247"/>
      <c r="K229" s="14" t="str">
        <f t="shared" si="3"/>
        <v>Not Applicable to this RFA</v>
      </c>
    </row>
    <row r="230" spans="1:14">
      <c r="A230" s="203" t="s">
        <v>1285</v>
      </c>
      <c r="B230" s="1246" t="s">
        <v>1288</v>
      </c>
      <c r="C230" s="516"/>
      <c r="D230" s="516"/>
      <c r="E230" s="516"/>
      <c r="F230" s="516"/>
      <c r="G230" s="516"/>
      <c r="H230" s="569">
        <v>0</v>
      </c>
      <c r="I230" s="102"/>
      <c r="J230" s="1247"/>
      <c r="K230" s="14" t="str">
        <f t="shared" si="3"/>
        <v>Not Applicable to this RFA</v>
      </c>
    </row>
    <row r="231" spans="1:14">
      <c r="A231" s="203" t="s">
        <v>1285</v>
      </c>
      <c r="B231" s="1246" t="s">
        <v>1289</v>
      </c>
      <c r="C231" s="516"/>
      <c r="D231" s="516"/>
      <c r="E231" s="516"/>
      <c r="F231" s="516"/>
      <c r="G231" s="516"/>
      <c r="H231" s="569">
        <v>0</v>
      </c>
      <c r="I231" s="102"/>
      <c r="J231" s="1793">
        <f>Total_Corp_Funding_PSAU</f>
        <v>0</v>
      </c>
      <c r="K231" s="14" t="str">
        <f t="shared" si="3"/>
        <v>Not Applicable to this RFA</v>
      </c>
    </row>
    <row r="232" spans="1:14">
      <c r="A232" s="203" t="s">
        <v>1285</v>
      </c>
      <c r="B232" s="515" t="s">
        <v>1731</v>
      </c>
      <c r="C232" s="516"/>
      <c r="D232" s="516"/>
      <c r="E232" s="516"/>
      <c r="F232" s="516"/>
      <c r="G232" s="516"/>
      <c r="H232" s="569">
        <v>1</v>
      </c>
      <c r="I232" s="102">
        <v>2</v>
      </c>
      <c r="J232" s="1888">
        <f>IF(H232=0,"",IFERROR(((N(Eligible_SAIL_Request_Amount)+N(Eligible_HOME_ARP_Request_Amount))/N(Total_Units)),0))</f>
        <v>0</v>
      </c>
      <c r="K232" s="14" t="str">
        <f t="shared" si="3"/>
        <v>Applicable to this RFA</v>
      </c>
      <c r="M232" s="1887" t="s">
        <v>2098</v>
      </c>
    </row>
    <row r="233" spans="1:14">
      <c r="A233" s="203" t="s">
        <v>1285</v>
      </c>
      <c r="B233" s="515" t="s">
        <v>1732</v>
      </c>
      <c r="C233" s="516"/>
      <c r="D233" s="516"/>
      <c r="E233" s="516"/>
      <c r="F233" s="516"/>
      <c r="G233" s="516"/>
      <c r="H233" s="569">
        <v>1</v>
      </c>
      <c r="I233" s="102">
        <v>3</v>
      </c>
      <c r="J233" s="1792" t="str">
        <f>IF(H233=0,"",IFERROR(IF((N(Eligible_SAIL_Request_Amount)+N(Eligible_HOME_ARP_Request_Amount))/N(TDC_total)&lt;=0.9,"Yes","No"),"TBD"))</f>
        <v>TBD</v>
      </c>
      <c r="K233" s="14" t="str">
        <f t="shared" si="3"/>
        <v>Applicable to this RFA</v>
      </c>
    </row>
    <row r="234" spans="1:14">
      <c r="A234" s="203" t="s">
        <v>1285</v>
      </c>
      <c r="B234" s="1246" t="s">
        <v>1290</v>
      </c>
      <c r="C234" s="516"/>
      <c r="D234" s="516"/>
      <c r="E234" s="516"/>
      <c r="F234" s="516"/>
      <c r="G234" s="516"/>
      <c r="H234" s="569">
        <v>0</v>
      </c>
      <c r="I234" s="102"/>
      <c r="J234" s="1247"/>
      <c r="K234" s="14" t="str">
        <f t="shared" si="3"/>
        <v>Not Applicable to this RFA</v>
      </c>
      <c r="M234" s="42"/>
    </row>
    <row r="235" spans="1:14">
      <c r="A235" t="s">
        <v>1285</v>
      </c>
      <c r="B235" s="515" t="s">
        <v>1291</v>
      </c>
      <c r="C235" s="516"/>
      <c r="D235" s="516"/>
      <c r="E235" s="516"/>
      <c r="F235" s="516"/>
      <c r="G235" s="516"/>
      <c r="H235" s="569">
        <v>0</v>
      </c>
      <c r="I235" s="102"/>
      <c r="J235" s="1247"/>
      <c r="K235" s="14" t="str">
        <f t="shared" si="3"/>
        <v>Not Applicable to this RFA</v>
      </c>
      <c r="M235" s="42"/>
    </row>
    <row r="236" spans="1:14">
      <c r="A236" t="s">
        <v>1285</v>
      </c>
      <c r="B236" s="515" t="s">
        <v>1292</v>
      </c>
      <c r="C236" s="516"/>
      <c r="D236" s="516"/>
      <c r="E236" s="516"/>
      <c r="F236" s="516"/>
      <c r="G236" s="516"/>
      <c r="H236" s="569">
        <v>0</v>
      </c>
      <c r="I236" s="102"/>
      <c r="J236" s="1247"/>
      <c r="K236" s="14" t="str">
        <f t="shared" si="3"/>
        <v>Not Applicable to this RFA</v>
      </c>
      <c r="M236" s="42"/>
    </row>
    <row r="237" spans="1:14" s="203" customFormat="1">
      <c r="A237" s="1455" t="s">
        <v>1285</v>
      </c>
      <c r="B237" s="1456"/>
      <c r="C237" s="1456"/>
      <c r="D237" s="1456"/>
      <c r="E237" s="1456"/>
      <c r="F237" s="1456"/>
      <c r="G237" s="1456"/>
      <c r="H237" s="1457"/>
      <c r="I237" s="1457"/>
      <c r="J237" s="1458"/>
      <c r="K237" s="1459" t="s">
        <v>1704</v>
      </c>
      <c r="L237" s="1460"/>
      <c r="M237" s="45"/>
      <c r="N237" s="19"/>
    </row>
    <row r="238" spans="1:14" s="203" customFormat="1">
      <c r="A238" s="1455" t="s">
        <v>1285</v>
      </c>
      <c r="B238" s="1461"/>
      <c r="C238" s="1461"/>
      <c r="D238" s="1461"/>
      <c r="E238" s="1461"/>
      <c r="F238" s="1461"/>
      <c r="G238" s="1461"/>
      <c r="H238" s="1462"/>
      <c r="I238" s="1462"/>
      <c r="J238" s="1462"/>
      <c r="K238" s="1459" t="s">
        <v>1704</v>
      </c>
      <c r="L238" s="1460"/>
      <c r="M238" s="3"/>
      <c r="N238" s="11"/>
    </row>
    <row r="239" spans="1:14" s="203" customFormat="1">
      <c r="A239" s="1455" t="s">
        <v>1285</v>
      </c>
      <c r="B239" s="1461"/>
      <c r="C239" s="1461"/>
      <c r="D239" s="1461"/>
      <c r="E239" s="1461"/>
      <c r="F239" s="1461"/>
      <c r="G239" s="1461"/>
      <c r="H239" s="1461"/>
      <c r="I239" s="1461"/>
      <c r="J239" s="1462"/>
      <c r="K239" s="1459" t="s">
        <v>1704</v>
      </c>
      <c r="L239" s="1462"/>
      <c r="M239" s="691"/>
      <c r="N239" s="691"/>
    </row>
    <row r="240" spans="1:14" s="203" customFormat="1">
      <c r="A240" s="1455" t="s">
        <v>1285</v>
      </c>
      <c r="B240" s="1461"/>
      <c r="C240" s="1461"/>
      <c r="D240" s="1461"/>
      <c r="E240" s="1461"/>
      <c r="F240" s="1461"/>
      <c r="G240" s="1461"/>
      <c r="H240" s="1461"/>
      <c r="I240" s="1461"/>
      <c r="J240" s="1462"/>
      <c r="K240" s="1459" t="s">
        <v>1704</v>
      </c>
      <c r="L240" s="1462"/>
      <c r="M240" s="691"/>
      <c r="N240" s="691"/>
    </row>
    <row r="241" spans="1:14" s="203" customFormat="1">
      <c r="A241" s="1455" t="s">
        <v>1285</v>
      </c>
      <c r="B241" s="1461"/>
      <c r="C241" s="1461"/>
      <c r="D241" s="1461"/>
      <c r="E241" s="1461"/>
      <c r="F241" s="1461"/>
      <c r="G241" s="1461"/>
      <c r="H241" s="1461"/>
      <c r="I241" s="1461"/>
      <c r="J241" s="1462"/>
      <c r="K241" s="1459" t="s">
        <v>1704</v>
      </c>
      <c r="L241" s="1462"/>
      <c r="M241" s="691"/>
      <c r="N241" s="691"/>
    </row>
    <row r="242" spans="1:14" s="203" customFormat="1">
      <c r="B242" s="691"/>
      <c r="C242" s="691"/>
      <c r="D242" s="691"/>
      <c r="E242" s="985"/>
      <c r="F242" s="691"/>
      <c r="G242" s="691"/>
      <c r="H242" s="691"/>
      <c r="I242" s="691"/>
      <c r="J242" s="691"/>
      <c r="K242" s="691"/>
      <c r="L242" s="691"/>
      <c r="M242" s="691"/>
      <c r="N242" s="691"/>
    </row>
    <row r="245" spans="1:14">
      <c r="E245" s="218"/>
    </row>
  </sheetData>
  <sheetProtection algorithmName="SHA-512" hashValue="xlbP2xuRg1T3vLGl4aJA5i5QKRNGBEeJtBFPehq/pDy8lQIgK8RgSBzpL4RkQ5v9xiKg4Bvh7A8Ojm6XiqKdwg==" saltValue="RwARAenYKDbvqHSE+P2+vA==" spinCount="100000" sheet="1" objects="1" scenarios="1" formatRows="0" selectLockedCells="1"/>
  <sortState xmlns:xlrd2="http://schemas.microsoft.com/office/spreadsheetml/2017/richdata2" ref="M85:M91">
    <sortCondition ref="M85:M91"/>
  </sortState>
  <mergeCells count="11">
    <mergeCell ref="A225:G225"/>
    <mergeCell ref="A205:G205"/>
    <mergeCell ref="L6:M6"/>
    <mergeCell ref="A129:G129"/>
    <mergeCell ref="A185:G185"/>
    <mergeCell ref="A141:G141"/>
    <mergeCell ref="E2:E8"/>
    <mergeCell ref="A78:G78"/>
    <mergeCell ref="G6:K6"/>
    <mergeCell ref="A158:G158"/>
    <mergeCell ref="J185:K185"/>
  </mergeCells>
  <conditionalFormatting sqref="A10:C76 F10:K76">
    <cfRule type="expression" dxfId="703" priority="104">
      <formula>$G10="Small"</formula>
    </cfRule>
  </conditionalFormatting>
  <conditionalFormatting sqref="E10:E76">
    <cfRule type="cellIs" dxfId="702" priority="103" operator="equal">
      <formula>"Y"</formula>
    </cfRule>
  </conditionalFormatting>
  <conditionalFormatting sqref="E10:E76">
    <cfRule type="expression" dxfId="701" priority="102">
      <formula>$G10="Small"</formula>
    </cfRule>
  </conditionalFormatting>
  <conditionalFormatting sqref="D10:D76">
    <cfRule type="expression" dxfId="700" priority="100">
      <formula>$G10="Small"</formula>
    </cfRule>
  </conditionalFormatting>
  <conditionalFormatting sqref="L10:P76">
    <cfRule type="expression" dxfId="699" priority="95">
      <formula>$G10="Small"</formula>
    </cfRule>
  </conditionalFormatting>
  <conditionalFormatting sqref="F207:G217">
    <cfRule type="expression" dxfId="698" priority="62">
      <formula>ROUND(COUNTA($A$148:$A207)/2,0)=COUNTA($A$148:$A207)/2</formula>
    </cfRule>
  </conditionalFormatting>
  <conditionalFormatting sqref="H226:I236 F170:H183">
    <cfRule type="expression" dxfId="697" priority="60">
      <formula>ROUND(COUNTA(#REF!)/2,0)=COUNTA(#REF!)/2</formula>
    </cfRule>
  </conditionalFormatting>
  <conditionalFormatting sqref="A170:A183">
    <cfRule type="expression" dxfId="696" priority="904">
      <formula>ROUND(COUNTA(#REF!)/2,0)=COUNTA(#REF!)/2</formula>
    </cfRule>
  </conditionalFormatting>
  <conditionalFormatting sqref="B226:G231 I226:J236 B234:G236 C232:G233">
    <cfRule type="expression" dxfId="695" priority="983">
      <formula>$H226=0</formula>
    </cfRule>
  </conditionalFormatting>
  <conditionalFormatting sqref="B232:B233">
    <cfRule type="expression" dxfId="694" priority="13">
      <formula>$H232=0</formula>
    </cfRule>
  </conditionalFormatting>
  <conditionalFormatting sqref="A80:I114 A115:K126">
    <cfRule type="expression" dxfId="693" priority="2">
      <formula>$A80&lt;&gt;$A81</formula>
    </cfRule>
    <cfRule type="expression" dxfId="692" priority="3">
      <formula>ROUND(COUNTA($A$80:$A80)/2,0)=COUNTA($A$80:$A80)/2</formula>
    </cfRule>
  </conditionalFormatting>
  <dataValidations count="5">
    <dataValidation type="list" allowBlank="1" showInputMessage="1" showErrorMessage="1" sqref="C98 H111:H112" xr:uid="{4D4503F3-E7F5-4330-B713-A61C75F4DF4F}">
      <formula1>"&lt;select one&gt;, Yes, No"</formula1>
    </dataValidation>
    <dataValidation type="list" allowBlank="1" showInputMessage="1" showErrorMessage="1" sqref="J85:J86" xr:uid="{1C5BE22F-F565-405A-86FC-D9E9E365EE86}">
      <formula1>DS_Limiting_DevCat_Menu</formula1>
    </dataValidation>
    <dataValidation type="list" allowBlank="1" showInputMessage="1" showErrorMessage="1" sqref="K105 K108" xr:uid="{AA509987-C050-44BB-9DDA-A3ED9823FEC9}">
      <formula1>$K$109:$K$112</formula1>
    </dataValidation>
    <dataValidation type="list" allowBlank="1" showInputMessage="1" showErrorMessage="1" sqref="L105 L108" xr:uid="{71FF403A-7E6D-4699-8F54-102FBA77D328}">
      <formula1>$L$109:$L$111</formula1>
    </dataValidation>
    <dataValidation type="list" allowBlank="1" showInputMessage="1" showErrorMessage="1" sqref="H113" xr:uid="{DF505602-0E6E-4611-88FA-2E13AE9E3E7B}">
      <formula1>"&lt;select one&gt;, Yes, No, Both"</formula1>
    </dataValidation>
  </dataValidations>
  <pageMargins left="0.7" right="0.7" top="0.75" bottom="0.75" header="0.3" footer="0.3"/>
  <pageSetup scale="8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9" id="{4721F7E3-F699-473C-81F1-6A3C6AE215EF}">
            <xm:f>Funding!$O7=0</xm:f>
            <x14:dxf>
              <fill>
                <patternFill patternType="darkUp">
                  <fgColor theme="0" tint="-0.24994659260841701"/>
                </patternFill>
              </fill>
            </x14:dxf>
          </x14:cfRule>
          <xm:sqref>D80:J84</xm:sqref>
        </x14:conditionalFormatting>
        <x14:conditionalFormatting xmlns:xm="http://schemas.microsoft.com/office/excel/2006/main">
          <x14:cfRule type="expression" priority="10" id="{E3B4CAA6-9D75-444A-9E4C-D7F9A96D9603}">
            <xm:f>Funding!$L$15=0</xm:f>
            <x14:dxf>
              <fill>
                <patternFill patternType="darkUp">
                  <fgColor theme="0" tint="-0.24994659260841701"/>
                </patternFill>
              </fill>
            </x14:dxf>
          </x14:cfRule>
          <xm:sqref>A80:A84</xm:sqref>
        </x14:conditionalFormatting>
        <x14:conditionalFormatting xmlns:xm="http://schemas.microsoft.com/office/excel/2006/main">
          <x14:cfRule type="expression" priority="11" id="{1F4B23C8-798B-490B-91FD-1D5A0130D2D1}">
            <xm:f>Funding!$L$42=0</xm:f>
            <x14:dxf>
              <fill>
                <patternFill patternType="darkUp">
                  <fgColor theme="0" tint="-0.24994659260841701"/>
                </patternFill>
              </fill>
            </x14:dxf>
          </x14:cfRule>
          <xm:sqref>A85:A93</xm:sqref>
        </x14:conditionalFormatting>
        <x14:conditionalFormatting xmlns:xm="http://schemas.microsoft.com/office/excel/2006/main">
          <x14:cfRule type="expression" priority="4" id="{E20FBB53-0291-4F9D-8764-D03093009955}">
            <xm:f>Funding!$O22=0</xm:f>
            <x14:dxf>
              <fill>
                <patternFill patternType="darkUp">
                  <fgColor theme="0" tint="-0.24994659260841701"/>
                </patternFill>
              </fill>
            </x14:dxf>
          </x14:cfRule>
          <xm:sqref>D85:J85</xm:sqref>
        </x14:conditionalFormatting>
        <x14:conditionalFormatting xmlns:xm="http://schemas.microsoft.com/office/excel/2006/main">
          <x14:cfRule type="expression" priority="51" id="{4A9B7885-092F-4CC2-8DAD-27B5E3C1F0C4}">
            <xm:f>Funding!$O$37=0</xm:f>
            <x14:dxf>
              <fill>
                <patternFill patternType="darkUp">
                  <fgColor theme="0" tint="-0.24994659260841701"/>
                </patternFill>
              </fill>
            </x14:dxf>
          </x14:cfRule>
          <xm:sqref>J96:J98</xm:sqref>
        </x14:conditionalFormatting>
        <x14:conditionalFormatting xmlns:xm="http://schemas.microsoft.com/office/excel/2006/main">
          <x14:cfRule type="expression" priority="45" id="{CF3BC589-C663-4DE9-B577-040FCBD0544A}">
            <xm:f>Funding!$L$52=0</xm:f>
            <x14:dxf>
              <fill>
                <patternFill patternType="darkUp">
                  <fgColor theme="0" tint="-0.24994659260841701"/>
                </patternFill>
              </fill>
            </x14:dxf>
          </x14:cfRule>
          <xm:sqref>A94:A95</xm:sqref>
        </x14:conditionalFormatting>
        <x14:conditionalFormatting xmlns:xm="http://schemas.microsoft.com/office/excel/2006/main">
          <x14:cfRule type="expression" priority="52" id="{721C3AA3-1B1E-470C-B94B-222782F73F63}">
            <xm:f>Funding!$L$73=0</xm:f>
            <x14:dxf>
              <fill>
                <patternFill patternType="darkUp">
                  <fgColor theme="0" tint="-0.24994659260841701"/>
                </patternFill>
              </fill>
            </x14:dxf>
          </x14:cfRule>
          <xm:sqref>A99:A104</xm:sqref>
        </x14:conditionalFormatting>
        <x14:conditionalFormatting xmlns:xm="http://schemas.microsoft.com/office/excel/2006/main">
          <x14:cfRule type="expression" priority="53" id="{6B68BD9A-36BF-4C89-B178-FBB44E6A066F}">
            <xm:f>Funding!$O61=0</xm:f>
            <x14:dxf>
              <fill>
                <patternFill patternType="darkUp">
                  <fgColor theme="0" tint="-0.24994659260841701"/>
                </patternFill>
              </fill>
            </x14:dxf>
          </x14:cfRule>
          <xm:sqref>D100:J104</xm:sqref>
        </x14:conditionalFormatting>
        <x14:conditionalFormatting xmlns:xm="http://schemas.microsoft.com/office/excel/2006/main">
          <x14:cfRule type="expression" priority="1752" id="{1A3F739D-68B5-4232-88B8-4C239A6894F4}">
            <xm:f>Funding!$L$124=0</xm:f>
            <x14:dxf>
              <fill>
                <patternFill patternType="darkUp">
                  <fgColor theme="0" tint="-0.24994659260841701"/>
                </patternFill>
              </fill>
            </x14:dxf>
          </x14:cfRule>
          <xm:sqref>A115 D115:K115</xm:sqref>
        </x14:conditionalFormatting>
        <x14:conditionalFormatting xmlns:xm="http://schemas.microsoft.com/office/excel/2006/main">
          <x14:cfRule type="expression" priority="55" id="{2AE9E148-7443-41FB-9593-C46977F9409F}">
            <xm:f>Funding!$L$116=0</xm:f>
            <x14:dxf>
              <fill>
                <patternFill patternType="darkUp">
                  <fgColor theme="0" tint="-0.24994659260841701"/>
                </patternFill>
              </fill>
            </x14:dxf>
          </x14:cfRule>
          <xm:sqref>A105:A107</xm:sqref>
        </x14:conditionalFormatting>
        <x14:conditionalFormatting xmlns:xm="http://schemas.microsoft.com/office/excel/2006/main">
          <x14:cfRule type="expression" priority="56" id="{0421B522-1729-4075-B050-8F896731FDAF}">
            <xm:f>Funding!$L$148=0</xm:f>
            <x14:dxf>
              <fill>
                <patternFill patternType="darkUp">
                  <fgColor theme="0" tint="-0.24994659260841701"/>
                </patternFill>
              </fill>
            </x14:dxf>
          </x14:cfRule>
          <xm:sqref>A108:A110</xm:sqref>
        </x14:conditionalFormatting>
        <x14:conditionalFormatting xmlns:xm="http://schemas.microsoft.com/office/excel/2006/main">
          <x14:cfRule type="expression" priority="28" id="{E20FBB53-0291-4F9D-8764-D03093009955}">
            <xm:f>Funding!$O32=0</xm:f>
            <x14:dxf>
              <fill>
                <patternFill patternType="darkUp">
                  <fgColor theme="0" tint="-0.24994659260841701"/>
                </patternFill>
              </fill>
            </x14:dxf>
          </x14:cfRule>
          <xm:sqref>D90:J92</xm:sqref>
        </x14:conditionalFormatting>
        <x14:conditionalFormatting xmlns:xm="http://schemas.microsoft.com/office/excel/2006/main">
          <x14:cfRule type="expression" priority="8" id="{E20FBB53-0291-4F9D-8764-D03093009955}">
            <xm:f>Funding!$O30=0</xm:f>
            <x14:dxf>
              <fill>
                <patternFill patternType="darkUp">
                  <fgColor theme="0" tint="-0.24994659260841701"/>
                </patternFill>
              </fill>
            </x14:dxf>
          </x14:cfRule>
          <xm:sqref>D87:J87 D93:J93</xm:sqref>
        </x14:conditionalFormatting>
        <x14:conditionalFormatting xmlns:xm="http://schemas.microsoft.com/office/excel/2006/main">
          <x14:cfRule type="expression" priority="7" id="{E20FBB53-0291-4F9D-8764-D03093009955}">
            <xm:f>Funding!$O24=0</xm:f>
            <x14:dxf>
              <fill>
                <patternFill patternType="darkUp">
                  <fgColor theme="0" tint="-0.24994659260841701"/>
                </patternFill>
              </fill>
            </x14:dxf>
          </x14:cfRule>
          <xm:sqref>D86:J86 D88:J88</xm:sqref>
        </x14:conditionalFormatting>
        <x14:conditionalFormatting xmlns:xm="http://schemas.microsoft.com/office/excel/2006/main">
          <x14:cfRule type="expression" priority="6" id="{5879753D-3AB6-4870-BB6E-887BDC6C24EA}">
            <xm:f>Funding!$L$129=0</xm:f>
            <x14:dxf>
              <fill>
                <patternFill patternType="darkUp">
                  <fgColor theme="0" tint="-0.24994659260841701"/>
                </patternFill>
              </fill>
            </x14:dxf>
          </x14:cfRule>
          <xm:sqref>A111:A114</xm:sqref>
        </x14:conditionalFormatting>
        <x14:conditionalFormatting xmlns:xm="http://schemas.microsoft.com/office/excel/2006/main">
          <x14:cfRule type="expression" priority="5" id="{6F9881CF-78F7-4D5D-B169-A67F95152158}">
            <xm:f>AND(Funding!$L$42=0,Funding!$L$52=0)</xm:f>
            <x14:dxf>
              <fill>
                <patternFill patternType="darkUp">
                  <fgColor theme="0" tint="-0.24994659260841701"/>
                </patternFill>
              </fill>
            </x14:dxf>
          </x14:cfRule>
          <xm:sqref>A96:A98</xm:sqref>
        </x14:conditionalFormatting>
        <x14:conditionalFormatting xmlns:xm="http://schemas.microsoft.com/office/excel/2006/main">
          <x14:cfRule type="expression" priority="1971" id="{E20FBB53-0291-4F9D-8764-D03093009955}">
            <xm:f>Funding!$O28=0</xm:f>
            <x14:dxf>
              <fill>
                <patternFill patternType="darkUp">
                  <fgColor theme="0" tint="-0.24994659260841701"/>
                </patternFill>
              </fill>
            </x14:dxf>
          </x14:cfRule>
          <xm:sqref>D89:J89</xm:sqref>
        </x14:conditionalFormatting>
        <x14:conditionalFormatting xmlns:xm="http://schemas.microsoft.com/office/excel/2006/main">
          <x14:cfRule type="expression" priority="1" id="{3A902472-4755-4F1D-A4AF-4DAEE827A839}">
            <xm:f>Funding!$L$184=0</xm:f>
            <x14:dxf>
              <fill>
                <patternFill patternType="darkUp">
                  <fgColor theme="0" tint="-0.24994659260841701"/>
                </patternFill>
              </fill>
            </x14:dxf>
          </x14:cfRule>
          <xm:sqref>A116:A126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180"/>
  <sheetViews>
    <sheetView showGridLines="0" tabSelected="1" zoomScaleNormal="100" zoomScaleSheetLayoutView="100" workbookViewId="0">
      <selection activeCell="H27" sqref="H27"/>
    </sheetView>
  </sheetViews>
  <sheetFormatPr defaultColWidth="9.1796875" defaultRowHeight="14.5"/>
  <cols>
    <col min="1" max="1" width="3" style="14" customWidth="1"/>
    <col min="2" max="3" width="3.54296875" style="14" customWidth="1"/>
    <col min="4" max="4" width="4.453125" style="14" customWidth="1"/>
    <col min="5" max="5" width="18.81640625" style="14" customWidth="1"/>
    <col min="6" max="6" width="33.54296875" style="14" customWidth="1"/>
    <col min="7" max="7" width="24" style="14" customWidth="1"/>
    <col min="8" max="8" width="20.81640625" style="14" customWidth="1"/>
    <col min="9" max="9" width="8.81640625" style="16" customWidth="1"/>
    <col min="10" max="10" width="3.54296875" style="574" customWidth="1"/>
    <col min="11" max="12" width="3.54296875" style="16" hidden="1" customWidth="1"/>
    <col min="13" max="13" width="35.81640625" style="16" hidden="1" customWidth="1"/>
    <col min="14" max="14" width="3.54296875" style="14" hidden="1" customWidth="1"/>
    <col min="15" max="16384" width="9.1796875" style="14"/>
  </cols>
  <sheetData>
    <row r="1" spans="1:27" ht="14.5" customHeight="1">
      <c r="A1" s="2111" t="s">
        <v>2003</v>
      </c>
      <c r="B1" s="2111"/>
      <c r="C1" s="2111"/>
      <c r="D1" s="2111"/>
      <c r="E1" s="2111"/>
      <c r="F1" s="2111"/>
      <c r="G1" s="2111"/>
      <c r="H1" s="2111"/>
      <c r="K1" s="383"/>
      <c r="L1" s="383"/>
    </row>
    <row r="2" spans="1:27">
      <c r="A2" s="2111"/>
      <c r="B2" s="2111"/>
      <c r="C2" s="2111"/>
      <c r="D2" s="2111"/>
      <c r="E2" s="2111"/>
      <c r="F2" s="2111"/>
      <c r="G2" s="2111"/>
      <c r="H2" s="2111"/>
      <c r="K2" s="1568" t="s">
        <v>2124</v>
      </c>
      <c r="L2" s="383"/>
    </row>
    <row r="3" spans="1:27" ht="14.5" customHeight="1" thickBot="1">
      <c r="K3" s="1568" t="s">
        <v>1776</v>
      </c>
      <c r="L3" s="383"/>
    </row>
    <row r="4" spans="1:27" ht="35.9" customHeight="1" thickBot="1">
      <c r="A4" s="2115" t="s">
        <v>202</v>
      </c>
      <c r="B4" s="2116"/>
      <c r="C4" s="2116"/>
      <c r="D4" s="2116"/>
      <c r="E4" s="2116"/>
      <c r="F4" s="2116"/>
      <c r="G4" s="2116"/>
      <c r="H4" s="2117"/>
      <c r="J4" s="381"/>
      <c r="K4" s="384"/>
      <c r="L4" s="384"/>
      <c r="M4" s="74"/>
    </row>
    <row r="5" spans="1:27" ht="14.5" customHeight="1">
      <c r="A5" s="151"/>
      <c r="B5" s="151"/>
      <c r="C5" s="151"/>
      <c r="D5" s="151"/>
      <c r="E5" s="15"/>
      <c r="F5" s="15"/>
      <c r="G5" s="15"/>
      <c r="H5" s="16"/>
      <c r="K5" s="383"/>
      <c r="L5" s="383"/>
    </row>
    <row r="6" spans="1:27" ht="80.150000000000006" customHeight="1">
      <c r="A6" s="2114" t="s">
        <v>2112</v>
      </c>
      <c r="B6" s="2114"/>
      <c r="C6" s="2114"/>
      <c r="D6" s="2114"/>
      <c r="E6" s="2114"/>
      <c r="F6" s="2114"/>
      <c r="G6" s="2114"/>
      <c r="H6" s="2114"/>
      <c r="I6" s="1317"/>
      <c r="J6" s="573"/>
      <c r="K6" s="385"/>
      <c r="L6" s="385"/>
      <c r="M6" s="149"/>
    </row>
    <row r="7" spans="1:27" ht="14.5" customHeight="1" thickBot="1">
      <c r="A7" s="16"/>
      <c r="B7" s="16"/>
      <c r="C7" s="16"/>
      <c r="D7" s="16"/>
      <c r="E7" s="16"/>
      <c r="F7" s="16"/>
      <c r="G7" s="16"/>
      <c r="H7" s="16"/>
      <c r="K7" s="387"/>
      <c r="L7" s="387"/>
    </row>
    <row r="8" spans="1:27" ht="35.9" customHeight="1" thickBot="1">
      <c r="A8" s="2115" t="s">
        <v>203</v>
      </c>
      <c r="B8" s="2116"/>
      <c r="C8" s="2116"/>
      <c r="D8" s="2116"/>
      <c r="E8" s="2116"/>
      <c r="F8" s="2116"/>
      <c r="G8" s="2116"/>
      <c r="H8" s="2117"/>
      <c r="I8" s="71"/>
      <c r="J8" s="2142" t="str">
        <f>"There are "&amp;TEXT(COUNTIF($K$10:$K$166,"=1"),"0")&amp;" required input fields and "&amp;TEXT(COUNTIF($K$10:$K$166,"=2")+IF($K$112&lt;&gt;0,1,0)+IF($K$119&lt;&gt;0,1,0)+IF($K$145&lt;&gt;0,1,0)+IF($K$152&lt;&gt;0,1,0)+IF($K$158&lt;&gt;0,1,0)+IF($K$165&lt;&gt;0,1,0),"0")&amp;" optional input fields tracked on this tab."&amp;CHAR(10)&amp;"There "&amp;IF(COUNTIFS($K$10:$K$166,"=1",$L$10:$L$166,"=1")=1,"is 1 required input field with an entry","are "&amp;TEXT(COUNTIFS($K$10:$K$166,"=1",$L$10:$L$166,"=1"),"0")&amp;" required input fields")&amp;" and "&amp;TEXT(COUNTIFS($K$10:$K$166,"=2",$L$10:$L$166,"=2")+IF(AND($K$112&lt;&gt;0,$H$112&lt;&gt;""),1,0)+IF(AND($K$119&lt;&gt;0,$H$119&lt;&gt;""),1,0)+IF(AND($K$145&lt;&gt;0,$H$145&lt;&gt;""),1,0)+IF(AND($K$152&lt;&gt;0,$H$152&lt;&gt;""),1,0)+IF(AND($K$158&lt;&gt;0,$H$158&lt;&gt;""),1,0)+IF(AND($K$165&lt;&gt;0,$H$165&lt;&gt;""),1,0),"0")&amp;" optional input field"&amp;IF(COUNTIFS($K$10:$K$166,"=2",$L$10:$L$166,"=2")+IF(AND($K$112&lt;&gt;0,$H$112&lt;&gt;""),1,0)+IF(AND($K$119&lt;&gt;0,$H$119&lt;&gt;""),1,0)+IF(AND($K$145&lt;&gt;0,$H$145&lt;&gt;""),1,0)+IF(AND($K$152&lt;&gt;0,$H$152&lt;&gt;""),1,0)+IF(AND($K$158&lt;&gt;0,$H$158&lt;&gt;""),1,0)+IF(AND($K$165&lt;&gt;0,$H$165&lt;&gt;""),1,0)=1," with an entry","s with entries")&amp;" tracked on this tab."&amp;CHAR(10)&amp;"There "&amp;IF(Data1!G602=1,"is ","are ")&amp;TEXT(Data1!G602,"0")&amp;" required input field"&amp;IF(Data1!G602=1," that need an entry","s that need entries")&amp;" and "&amp;TEXT(Data1!H602,"0")&amp;" optional input field"&amp;IF(Data1!H602=1," that may or may not need an entry","s that may or may not need entries")&amp;" tracked on this tab."</f>
        <v>There are 31 required input fields and 23 optional input fields tracked on this tab.
There is 1 required input field with an entry and 0 optional input fields with entries tracked on this tab.
There are 30 required input fields that need entries and 23 optional input fields that may or may not need entries tracked on this tab.</v>
      </c>
      <c r="K8" s="2142"/>
      <c r="L8" s="2142"/>
      <c r="M8" s="2142"/>
      <c r="N8" s="2142"/>
      <c r="O8" s="2142"/>
      <c r="P8" s="2142"/>
      <c r="Q8" s="2142"/>
      <c r="R8" s="2142"/>
      <c r="S8" s="2142"/>
      <c r="T8" s="2142"/>
      <c r="U8" s="2142"/>
      <c r="V8" s="2142"/>
      <c r="W8" s="2142"/>
      <c r="X8" s="2142"/>
      <c r="Y8" s="2142"/>
      <c r="Z8" s="2142"/>
      <c r="AA8" s="2142"/>
    </row>
    <row r="9" spans="1:27" ht="14.5" customHeight="1">
      <c r="A9" s="17"/>
      <c r="B9" s="17"/>
      <c r="C9" s="17"/>
      <c r="D9" s="17"/>
      <c r="E9" s="15"/>
      <c r="F9" s="15"/>
      <c r="G9" s="15"/>
      <c r="H9" s="16"/>
      <c r="J9" s="2142"/>
      <c r="K9" s="2142"/>
      <c r="L9" s="2142"/>
      <c r="M9" s="2142"/>
      <c r="N9" s="2142"/>
      <c r="O9" s="2142"/>
      <c r="P9" s="2142"/>
      <c r="Q9" s="2142"/>
      <c r="R9" s="2142"/>
      <c r="S9" s="2142"/>
      <c r="T9" s="2142"/>
      <c r="U9" s="2142"/>
      <c r="V9" s="2142"/>
      <c r="W9" s="2142"/>
      <c r="X9" s="2142"/>
      <c r="Y9" s="2142"/>
      <c r="Z9" s="2142"/>
      <c r="AA9" s="2142"/>
    </row>
    <row r="10" spans="1:27" ht="17.5" customHeight="1">
      <c r="A10" s="2114" t="s">
        <v>204</v>
      </c>
      <c r="B10" s="2114"/>
      <c r="C10" s="2114"/>
      <c r="D10" s="2114"/>
      <c r="E10" s="2114"/>
      <c r="F10" s="2121" t="s">
        <v>13</v>
      </c>
      <c r="G10" s="2121"/>
      <c r="K10" s="569">
        <v>1</v>
      </c>
      <c r="L10" s="387">
        <f>IF(AND(K10&lt;&gt;0,AND(F10&lt;&gt;"&lt;select one&gt;",F10&lt;&gt;"")),K10,0)</f>
        <v>1</v>
      </c>
      <c r="M10" s="1583" t="str">
        <f>CHOOSE(K10+1,"Not to be included in this RFA","A REQUIRED input field for this RFA","An OPTIONAL input field for this RFA")</f>
        <v>A REQUIRED input field for this RFA</v>
      </c>
    </row>
    <row r="11" spans="1:27" ht="17.5" customHeight="1">
      <c r="A11" s="1261"/>
      <c r="B11" s="1261"/>
      <c r="C11" s="1261"/>
      <c r="D11" s="1261"/>
      <c r="E11" s="1261"/>
      <c r="F11" s="1261"/>
      <c r="G11" s="2122" t="str">
        <f>IF(AND(K34&lt;&gt;0,Self_Sourced_Applicant="Yes"),IF(Demographic&lt;&gt;"Family","Self-Sourced Applicants must select Family",""),"")</f>
        <v/>
      </c>
      <c r="H11" s="2122"/>
      <c r="I11" s="1260"/>
      <c r="J11" s="1260"/>
      <c r="K11" s="2147" t="s">
        <v>1772</v>
      </c>
      <c r="L11" s="2147"/>
      <c r="M11" s="2147"/>
      <c r="N11" s="2147"/>
    </row>
    <row r="12" spans="1:27" ht="17.5" customHeight="1">
      <c r="A12" s="1292" t="str">
        <f>IF($M12=0,"","a")</f>
        <v>a</v>
      </c>
      <c r="B12" s="2106" t="s">
        <v>1489</v>
      </c>
      <c r="C12" s="2106"/>
      <c r="D12" s="2106"/>
      <c r="E12" s="2106"/>
      <c r="F12" s="2106"/>
      <c r="G12" s="2106"/>
      <c r="H12" s="2106"/>
      <c r="I12" s="1260"/>
      <c r="J12" s="1260"/>
      <c r="K12" s="1260"/>
      <c r="L12" s="1259"/>
      <c r="M12" s="1110">
        <v>1</v>
      </c>
    </row>
    <row r="13" spans="1:27" ht="10.4" customHeight="1">
      <c r="A13" s="1261"/>
      <c r="B13" s="1261"/>
      <c r="C13" s="1261"/>
      <c r="D13" s="1261"/>
      <c r="E13" s="1261"/>
      <c r="F13" s="1261"/>
      <c r="G13" s="1261"/>
      <c r="H13" s="1261"/>
      <c r="I13" s="1280"/>
      <c r="J13" s="1260"/>
      <c r="K13" s="1260"/>
      <c r="L13" s="1259"/>
      <c r="M13" s="1258"/>
    </row>
    <row r="14" spans="1:27" ht="63" customHeight="1">
      <c r="A14" s="1577" t="str">
        <f>IF(Data1!$B25=TRUE,"Yes","No")</f>
        <v>No</v>
      </c>
      <c r="B14" s="1263"/>
      <c r="C14" s="1262" t="s">
        <v>208</v>
      </c>
      <c r="D14" s="2118" t="s">
        <v>2135</v>
      </c>
      <c r="E14" s="2118"/>
      <c r="F14" s="2118"/>
      <c r="G14" s="2118"/>
      <c r="H14" s="2118"/>
      <c r="J14" s="1260"/>
      <c r="K14" s="1711">
        <f>IF(M$12=0,0,1)</f>
        <v>1</v>
      </c>
      <c r="L14" s="606">
        <f>IF(AND(K14&lt;&gt;0,DS_ExcelCheckBox_LessThan80=TRUE),K14,0)</f>
        <v>0</v>
      </c>
      <c r="M14" s="1584" t="str">
        <f>CHOOSE(K14+1,"Not to be included in this RFA","A REQUIRED input field for this RFA","An OPTIONAL input field for this RFA")</f>
        <v>A REQUIRED input field for this RFA</v>
      </c>
      <c r="O14" s="1965"/>
    </row>
    <row r="15" spans="1:27" ht="59.5" customHeight="1">
      <c r="A15" s="1577" t="str">
        <f>IF(Data1!$B26=TRUE,"Yes","No")</f>
        <v>No</v>
      </c>
      <c r="B15" s="1263"/>
      <c r="C15" s="1262" t="s">
        <v>210</v>
      </c>
      <c r="D15" s="2118" t="s">
        <v>2136</v>
      </c>
      <c r="E15" s="2118"/>
      <c r="F15" s="2118"/>
      <c r="G15" s="2118"/>
      <c r="H15" s="2118"/>
      <c r="J15" s="1260"/>
      <c r="K15" s="1711">
        <f>IF(M$12=0,0,2)</f>
        <v>2</v>
      </c>
      <c r="L15" s="606">
        <f>IF(AND(K15&lt;&gt;0,DS_ExcelCheckBox_AtLeast80=TRUE),K15,0)</f>
        <v>0</v>
      </c>
      <c r="M15" s="1584" t="str">
        <f>CHOOSE(K15+1,"Not to be included in this RFA","A REQUIRED input field for this RFA","An OPTIONAL input field for this RFA")</f>
        <v>An OPTIONAL input field for this RFA</v>
      </c>
    </row>
    <row r="16" spans="1:27" ht="14.5" customHeight="1">
      <c r="A16" s="1261"/>
      <c r="B16" s="1261"/>
      <c r="C16" s="1261"/>
      <c r="D16" s="1261"/>
      <c r="E16" s="1261"/>
      <c r="F16" s="1261"/>
      <c r="G16" s="1261"/>
      <c r="H16" s="1261"/>
      <c r="J16" s="1260"/>
      <c r="K16" s="108"/>
      <c r="L16" s="1259"/>
      <c r="M16" s="1258"/>
      <c r="N16" s="94"/>
    </row>
    <row r="17" spans="1:14" ht="29" customHeight="1">
      <c r="A17" s="1292" t="str">
        <f>IF($M17=0,"",CHOOSE($M$12+$M$17,"a","b"))</f>
        <v>b</v>
      </c>
      <c r="B17" s="2106" t="str">
        <f>"Select at least one box from options (1) through ("&amp;TEXT(MAX(C19:C23),"0")&amp;") below that specifies the defined Persons with Special Needs population(s) that the Applicant proposes to serve.  The Applicant may serve more than one of the populations below."</f>
        <v>Select at least one box from options (1) through (5) below that specifies the defined Persons with Special Needs population(s) that the Applicant proposes to serve.  The Applicant may serve more than one of the populations below.</v>
      </c>
      <c r="C17" s="2106"/>
      <c r="D17" s="2106"/>
      <c r="E17" s="2106"/>
      <c r="F17" s="2106"/>
      <c r="G17" s="2106"/>
      <c r="H17" s="2106"/>
      <c r="J17" s="1260"/>
      <c r="K17" s="108"/>
      <c r="L17" s="1259"/>
      <c r="M17" s="1110">
        <v>1</v>
      </c>
      <c r="N17" s="94"/>
    </row>
    <row r="18" spans="1:14" ht="10.4" customHeight="1">
      <c r="A18" s="108"/>
      <c r="B18" s="108"/>
      <c r="C18" s="108"/>
      <c r="D18" s="108"/>
      <c r="E18" s="108"/>
      <c r="F18" s="108"/>
      <c r="G18" s="108"/>
      <c r="H18" s="166"/>
      <c r="J18" s="1260"/>
      <c r="K18" s="108"/>
      <c r="L18" s="1259"/>
      <c r="M18" s="1258"/>
      <c r="N18" s="94"/>
    </row>
    <row r="19" spans="1:14" ht="30" customHeight="1">
      <c r="A19" s="1577" t="str">
        <f>IF(Data1!$B28=TRUE,"Yes","No")</f>
        <v>No</v>
      </c>
      <c r="B19" s="1264"/>
      <c r="C19" s="1818">
        <f>IF($K19=0,"",MAX(C$18:C18)+1)</f>
        <v>1</v>
      </c>
      <c r="D19" s="2101" t="s">
        <v>1490</v>
      </c>
      <c r="E19" s="2101"/>
      <c r="F19" s="2101"/>
      <c r="G19" s="2101"/>
      <c r="H19" s="2101"/>
      <c r="J19" s="1260"/>
      <c r="K19" s="1815">
        <f>IF(M$17=0,0,IF($N19=0,0,2))</f>
        <v>2</v>
      </c>
      <c r="L19" s="606">
        <f>IF(AND(K19&lt;&gt;0,DS_ExcelCheckBox_DC_Impaired=TRUE),K19,0)</f>
        <v>0</v>
      </c>
      <c r="M19" s="1584" t="str">
        <f>CHOOSE(K19+1,"Not to be included in this RFA","A REQUIRED input field for this RFA","An OPTIONAL input field for this RFA")</f>
        <v>An OPTIONAL input field for this RFA</v>
      </c>
      <c r="N19" s="1816">
        <v>1</v>
      </c>
    </row>
    <row r="20" spans="1:14" ht="30" customHeight="1">
      <c r="A20" s="1577" t="str">
        <f>IF(Data1!$B29=TRUE,"Yes","No")</f>
        <v>No</v>
      </c>
      <c r="B20" s="1264"/>
      <c r="C20" s="1818">
        <f>IF($K20=0,"",MAX(C$18:C19)+1)</f>
        <v>2</v>
      </c>
      <c r="D20" s="2101" t="s">
        <v>1491</v>
      </c>
      <c r="E20" s="2101"/>
      <c r="F20" s="2101"/>
      <c r="G20" s="2101"/>
      <c r="H20" s="2101"/>
      <c r="J20" s="1260"/>
      <c r="K20" s="1815">
        <f>IF(M$17=0,0,IF($N20=0,0,2))</f>
        <v>2</v>
      </c>
      <c r="L20" s="606">
        <f>IF(AND(K20&lt;&gt;0,DS_ExcelCheckBox_SSI=TRUE),K20,0)</f>
        <v>0</v>
      </c>
      <c r="M20" s="1584" t="str">
        <f>CHOOSE(K20+1,"Not to be included in this RFA","A REQUIRED input field for this RFA","An OPTIONAL input field for this RFA")</f>
        <v>An OPTIONAL input field for this RFA</v>
      </c>
      <c r="N20" s="1816">
        <v>1</v>
      </c>
    </row>
    <row r="21" spans="1:14" ht="44" customHeight="1">
      <c r="A21" s="1577" t="str">
        <f>IF(Data1!$B30=TRUE,"Yes","No")</f>
        <v>No</v>
      </c>
      <c r="B21" s="1264"/>
      <c r="C21" s="1818">
        <f>IF($K21=0,"",MAX(C$18:C20)+1)</f>
        <v>3</v>
      </c>
      <c r="D21" s="2101" t="s">
        <v>1492</v>
      </c>
      <c r="E21" s="2101"/>
      <c r="F21" s="2101"/>
      <c r="G21" s="2101"/>
      <c r="H21" s="2101"/>
      <c r="J21" s="1260"/>
      <c r="K21" s="1815">
        <f>IF(M$17=0,0,IF($N21=0,0,2))</f>
        <v>2</v>
      </c>
      <c r="L21" s="606">
        <f>IF(AND(K21&lt;&gt;0,DS_ExcelCheckBox_DC_Not_Impaired=TRUE),K21,0)</f>
        <v>0</v>
      </c>
      <c r="M21" s="1584" t="str">
        <f>CHOOSE(K21+1,"Not to be included in this RFA","A REQUIRED input field for this RFA","An OPTIONAL input field for this RFA")</f>
        <v>An OPTIONAL input field for this RFA</v>
      </c>
      <c r="N21" s="1816">
        <v>1</v>
      </c>
    </row>
    <row r="22" spans="1:14" ht="17.5" customHeight="1">
      <c r="A22" s="1577" t="str">
        <f>IF(Data1!$B31=TRUE,"Yes","No")</f>
        <v>No</v>
      </c>
      <c r="B22" s="1264"/>
      <c r="C22" s="1818">
        <f>IF($K22=0,"",MAX(C$18:C21)+1)</f>
        <v>4</v>
      </c>
      <c r="D22" s="2101" t="s">
        <v>1494</v>
      </c>
      <c r="E22" s="2101"/>
      <c r="F22" s="2101"/>
      <c r="G22" s="2101"/>
      <c r="H22" s="2101"/>
      <c r="J22" s="1260"/>
      <c r="K22" s="1815">
        <f>IF(M$17=0,0,IF($N22=0,0,2))</f>
        <v>2</v>
      </c>
      <c r="L22" s="606">
        <f>IF(AND(K22&lt;&gt;0,DS_ExcelCheckBox_YouthAgingOut=TRUE),K22,0)</f>
        <v>0</v>
      </c>
      <c r="M22" s="1584" t="str">
        <f>CHOOSE(K22+1,"Not to be included in this RFA","A REQUIRED input field for this RFA","An OPTIONAL input field for this RFA")</f>
        <v>An OPTIONAL input field for this RFA</v>
      </c>
      <c r="N22" s="1816">
        <v>1</v>
      </c>
    </row>
    <row r="23" spans="1:14" ht="17.5" customHeight="1">
      <c r="A23" s="1577" t="str">
        <f>IF(Data1!$B32=TRUE,"Yes","No")</f>
        <v>No</v>
      </c>
      <c r="B23" s="1264"/>
      <c r="C23" s="1818">
        <f>IF($K23=0,"",MAX(C$18:C22)+1)</f>
        <v>5</v>
      </c>
      <c r="D23" s="2101" t="s">
        <v>1496</v>
      </c>
      <c r="E23" s="2101"/>
      <c r="F23" s="2101"/>
      <c r="G23" s="2101"/>
      <c r="H23" s="2101"/>
      <c r="J23" s="1260"/>
      <c r="K23" s="1815">
        <f>IF(M$17=0,0,IF($N23=0,0,2))</f>
        <v>2</v>
      </c>
      <c r="L23" s="606">
        <f>IF(AND(K23&lt;&gt;0,DS_ExcelCheckBox_Survivors=TRUE),K23,0)</f>
        <v>0</v>
      </c>
      <c r="M23" s="1584" t="str">
        <f>CHOOSE(K23+1,"Not to be included in this RFA","A REQUIRED input field for this RFA","An OPTIONAL input field for this RFA")</f>
        <v>An OPTIONAL input field for this RFA</v>
      </c>
      <c r="N23" s="1816">
        <v>1</v>
      </c>
    </row>
    <row r="24" spans="1:14" ht="14.5" customHeight="1">
      <c r="A24" s="16"/>
      <c r="B24" s="16"/>
      <c r="C24" s="16"/>
      <c r="D24" s="16"/>
      <c r="E24" s="16"/>
      <c r="F24" s="16"/>
      <c r="G24" s="16"/>
      <c r="H24" s="15"/>
      <c r="I24" s="1265"/>
      <c r="K24" s="108"/>
      <c r="L24" s="387"/>
      <c r="M24" s="368"/>
    </row>
    <row r="25" spans="1:14" ht="14.5" customHeight="1">
      <c r="A25" s="1292" t="str">
        <f>IF($K27=0,"",CHOOSE($M$12+$M$17+$K$27,"a","b","c"))</f>
        <v>c</v>
      </c>
      <c r="B25" s="2106" t="s">
        <v>2070</v>
      </c>
      <c r="C25" s="2106"/>
      <c r="D25" s="2106"/>
      <c r="E25" s="2106"/>
      <c r="F25" s="2106"/>
      <c r="G25" s="2106"/>
      <c r="H25" s="2106"/>
      <c r="I25" s="1265"/>
      <c r="J25" s="1869"/>
      <c r="K25" s="108"/>
      <c r="L25" s="1867"/>
      <c r="M25" s="1866"/>
    </row>
    <row r="26" spans="1:14" ht="10.4" customHeight="1">
      <c r="A26" s="1869"/>
      <c r="B26" s="1869"/>
      <c r="C26" s="1869"/>
      <c r="D26" s="1869"/>
      <c r="E26" s="1869"/>
      <c r="F26" s="1869"/>
      <c r="G26" s="1869"/>
      <c r="H26" s="15"/>
      <c r="I26" s="1265"/>
      <c r="J26" s="1869"/>
      <c r="K26" s="108"/>
      <c r="L26" s="1867"/>
      <c r="M26" s="1866"/>
    </row>
    <row r="27" spans="1:14" ht="30" customHeight="1">
      <c r="A27" s="1869"/>
      <c r="B27" s="923"/>
      <c r="C27" s="2101" t="s">
        <v>2071</v>
      </c>
      <c r="D27" s="2101"/>
      <c r="E27" s="2101"/>
      <c r="F27" s="2101"/>
      <c r="G27" s="2101"/>
      <c r="H27" s="1431" t="s">
        <v>2</v>
      </c>
      <c r="I27" s="1265"/>
      <c r="J27" s="1869"/>
      <c r="K27" s="569">
        <v>1</v>
      </c>
      <c r="L27" s="1867">
        <f>IF(AND(K27&lt;&gt;0,AND(H27&lt;&gt;"&lt;select one&gt;",H27&lt;&gt;"")),K27,0)</f>
        <v>0</v>
      </c>
      <c r="M27" s="1866" t="str">
        <f>CHOOSE(K27+1,"Not to be included in this RFA","A REQUIRED input field for this RFA","An OPTIONAL input field for this RFA")</f>
        <v>A REQUIRED input field for this RFA</v>
      </c>
    </row>
    <row r="28" spans="1:14" ht="14.5" customHeight="1" thickBot="1">
      <c r="A28" s="1869"/>
      <c r="B28" s="1869"/>
      <c r="C28" s="1869"/>
      <c r="D28" s="1869"/>
      <c r="E28" s="1869"/>
      <c r="F28" s="1869"/>
      <c r="G28" s="1869"/>
      <c r="H28" s="15"/>
      <c r="I28" s="1265"/>
      <c r="J28" s="1869"/>
      <c r="K28" s="108"/>
      <c r="L28" s="1867"/>
      <c r="M28" s="1866"/>
    </row>
    <row r="29" spans="1:14" ht="35.9" customHeight="1" thickBot="1">
      <c r="A29" s="2115" t="s">
        <v>205</v>
      </c>
      <c r="B29" s="2116"/>
      <c r="C29" s="2116"/>
      <c r="D29" s="2116"/>
      <c r="E29" s="2116"/>
      <c r="F29" s="2116"/>
      <c r="G29" s="2116"/>
      <c r="H29" s="2117"/>
      <c r="I29" s="71"/>
      <c r="J29" s="71"/>
      <c r="K29" s="1712"/>
      <c r="L29" s="636"/>
      <c r="M29" s="15"/>
    </row>
    <row r="30" spans="1:14" ht="14.5" customHeight="1">
      <c r="A30" s="74"/>
      <c r="B30" s="74"/>
      <c r="C30" s="74"/>
      <c r="D30" s="74"/>
      <c r="E30" s="15"/>
      <c r="F30" s="15"/>
      <c r="G30" s="15"/>
      <c r="H30" s="15"/>
      <c r="I30" s="71"/>
      <c r="J30" s="15"/>
      <c r="K30" s="606"/>
      <c r="L30" s="387"/>
      <c r="M30" s="15"/>
    </row>
    <row r="31" spans="1:14" ht="14.5" customHeight="1">
      <c r="A31" s="164" t="s">
        <v>206</v>
      </c>
      <c r="B31" s="2146" t="s">
        <v>207</v>
      </c>
      <c r="C31" s="2146"/>
      <c r="D31" s="2146"/>
      <c r="E31" s="2146"/>
      <c r="F31" s="2146"/>
      <c r="G31" s="2146"/>
      <c r="H31" s="2146"/>
      <c r="I31" s="71"/>
      <c r="J31" s="15"/>
      <c r="K31" s="606"/>
      <c r="L31" s="387"/>
      <c r="M31" s="15"/>
    </row>
    <row r="32" spans="1:14" ht="17.5" customHeight="1">
      <c r="A32" s="16"/>
      <c r="B32" s="175">
        <f>IF(K32=0,"",1)</f>
        <v>1</v>
      </c>
      <c r="C32" s="135" t="s">
        <v>217</v>
      </c>
      <c r="D32" s="466" t="s">
        <v>209</v>
      </c>
      <c r="E32" s="466"/>
      <c r="F32" s="2109"/>
      <c r="G32" s="2109"/>
      <c r="H32" s="2109"/>
      <c r="K32" s="1713">
        <v>1</v>
      </c>
      <c r="L32" s="387">
        <f>IF(AND(K32&lt;&gt;0,F32&lt;&gt;""),K32,0)</f>
        <v>0</v>
      </c>
      <c r="M32" s="1583" t="str">
        <f>CHOOSE(K32+1,"Not to be included in this RFA","A REQUIRED input field for this RFA","An OPTIONAL input field for this RFA")</f>
        <v>A REQUIRED input field for this RFA</v>
      </c>
    </row>
    <row r="33" spans="1:14" s="19" customFormat="1" ht="14.5" customHeight="1">
      <c r="A33" s="11"/>
      <c r="B33" s="18"/>
      <c r="C33" s="1419" t="str">
        <f>IF(F32="","(The Name of the Applicant must have an entry to turn on some of the validation formulas in Exhibit A)","")</f>
        <v>(The Name of the Applicant must have an entry to turn on some of the validation formulas in Exhibit A)</v>
      </c>
      <c r="D33" s="18"/>
      <c r="E33" s="11"/>
      <c r="F33" s="11"/>
      <c r="G33" s="11"/>
      <c r="H33" s="142"/>
      <c r="I33" s="11"/>
      <c r="J33" s="11"/>
      <c r="K33" s="386"/>
      <c r="L33" s="386"/>
      <c r="M33" s="11"/>
    </row>
    <row r="34" spans="1:14" s="19" customFormat="1" ht="17.5" hidden="1" customHeight="1">
      <c r="A34" s="11"/>
      <c r="B34" s="18"/>
      <c r="C34" s="135" t="s">
        <v>229</v>
      </c>
      <c r="D34" s="18" t="s">
        <v>815</v>
      </c>
      <c r="E34" s="11"/>
      <c r="F34" s="11"/>
      <c r="G34" s="1431" t="s">
        <v>2</v>
      </c>
      <c r="H34" s="25"/>
      <c r="I34" s="11"/>
      <c r="J34" s="11"/>
      <c r="K34" s="569">
        <v>0</v>
      </c>
      <c r="L34" s="467">
        <f>IF(AND(K34&lt;&gt;0,AND(G34&lt;&gt;"&lt;select one&gt;",G34&lt;&gt;"")),K34,0)</f>
        <v>0</v>
      </c>
      <c r="M34" s="468" t="str">
        <f>CHOOSE(K34+1,"Not to be included in this RFA","A REQUIRED input field for this RFA","An OPTIONAL input field for this RFA")</f>
        <v>Not to be included in this RFA</v>
      </c>
    </row>
    <row r="35" spans="1:14" s="19" customFormat="1" ht="10.4" hidden="1" customHeight="1">
      <c r="A35" s="11"/>
      <c r="B35" s="18"/>
      <c r="C35" s="18"/>
      <c r="D35" s="18"/>
      <c r="E35" s="11"/>
      <c r="F35" s="11"/>
      <c r="G35" s="11"/>
      <c r="H35" s="469"/>
      <c r="I35" s="11"/>
      <c r="J35" s="11"/>
      <c r="K35" s="386"/>
      <c r="L35" s="386"/>
      <c r="M35" s="11"/>
    </row>
    <row r="36" spans="1:14" ht="30" customHeight="1">
      <c r="A36" s="74"/>
      <c r="B36" s="1266">
        <f>IF($K$40=0,"",MAX(B$32:B35)+1)</f>
        <v>2</v>
      </c>
      <c r="C36" s="2103" t="s">
        <v>211</v>
      </c>
      <c r="D36" s="2103"/>
      <c r="E36" s="2103"/>
      <c r="F36" s="2103"/>
      <c r="G36" s="2103"/>
      <c r="H36" s="2103"/>
      <c r="I36" s="71"/>
      <c r="J36" s="576"/>
      <c r="K36" s="387"/>
      <c r="L36" s="387"/>
      <c r="M36" s="142"/>
    </row>
    <row r="37" spans="1:14" ht="10.4" customHeight="1">
      <c r="A37" s="74"/>
      <c r="B37" s="20"/>
      <c r="C37" s="20"/>
      <c r="D37" s="20"/>
      <c r="E37" s="142"/>
      <c r="F37" s="142"/>
      <c r="G37" s="142"/>
      <c r="H37" s="15"/>
      <c r="I37" s="71"/>
      <c r="J37" s="576"/>
      <c r="K37" s="387"/>
      <c r="L37" s="387"/>
      <c r="M37" s="142"/>
    </row>
    <row r="38" spans="1:14" ht="17.5" customHeight="1">
      <c r="A38" s="74"/>
      <c r="B38" s="1266">
        <f>IF($K$40=0,"",MAX(B$32:B37)+1)</f>
        <v>3</v>
      </c>
      <c r="C38" s="2103" t="s">
        <v>213</v>
      </c>
      <c r="D38" s="2103"/>
      <c r="E38" s="2103"/>
      <c r="F38" s="2103"/>
      <c r="G38" s="2103"/>
      <c r="H38" s="2103"/>
      <c r="I38" s="71"/>
      <c r="J38" s="15"/>
      <c r="K38" s="387"/>
      <c r="L38" s="387"/>
      <c r="M38" s="15"/>
    </row>
    <row r="39" spans="1:14" ht="30" customHeight="1">
      <c r="A39" s="13"/>
      <c r="B39" s="13"/>
      <c r="C39" s="13"/>
      <c r="D39" s="2107" t="s">
        <v>214</v>
      </c>
      <c r="E39" s="2107"/>
      <c r="F39" s="2107"/>
      <c r="G39" s="2107"/>
      <c r="H39" s="2107"/>
      <c r="I39" s="1336"/>
      <c r="J39" s="21"/>
      <c r="K39" s="387"/>
      <c r="L39" s="387"/>
      <c r="M39" s="13"/>
    </row>
    <row r="40" spans="1:14" ht="17.5" customHeight="1">
      <c r="A40" s="13"/>
      <c r="B40" s="1282"/>
      <c r="C40" s="1282"/>
      <c r="D40" s="2109" t="s">
        <v>2</v>
      </c>
      <c r="E40" s="2109"/>
      <c r="F40" s="1283"/>
      <c r="G40" s="1283"/>
      <c r="H40" s="1283"/>
      <c r="I40" s="1337"/>
      <c r="J40" s="1284"/>
      <c r="K40" s="403">
        <v>1</v>
      </c>
      <c r="L40" s="606">
        <f>IF(AND(K40&lt;&gt;0,AND(D40&lt;&gt;"&lt;select one&gt;",D40&lt;&gt;"")),K40,0)</f>
        <v>0</v>
      </c>
      <c r="M40" s="1272" t="str">
        <f>CHOOSE(K40+1,"Not to be included in this RFA","A REQUIRED input field for this RFA","An OPTIONAL input field for this RFA")</f>
        <v>A REQUIRED input field for this RFA</v>
      </c>
    </row>
    <row r="41" spans="1:14" ht="10.4" hidden="1" customHeight="1">
      <c r="A41" s="13"/>
      <c r="B41" s="1283"/>
      <c r="C41" s="1283"/>
      <c r="D41" s="1285"/>
      <c r="E41" s="1285"/>
      <c r="F41" s="1285"/>
      <c r="G41" s="1285"/>
      <c r="H41" s="1285"/>
      <c r="I41" s="1337"/>
      <c r="J41" s="1284"/>
      <c r="K41" s="606"/>
      <c r="L41" s="606"/>
      <c r="M41" s="1272"/>
    </row>
    <row r="42" spans="1:14" ht="17.5" hidden="1" customHeight="1">
      <c r="A42" s="13"/>
      <c r="B42" s="1283"/>
      <c r="C42" s="1283" t="s">
        <v>1499</v>
      </c>
      <c r="D42" s="1285"/>
      <c r="E42" s="1285"/>
      <c r="F42" s="1285"/>
      <c r="G42" s="1285"/>
      <c r="H42" s="1285"/>
      <c r="I42" s="1337"/>
      <c r="J42" s="1284"/>
      <c r="K42" s="606"/>
      <c r="L42" s="606"/>
      <c r="M42" s="1110">
        <v>0</v>
      </c>
    </row>
    <row r="43" spans="1:14" ht="17.5" hidden="1" customHeight="1">
      <c r="A43" s="13"/>
      <c r="B43" s="1283"/>
      <c r="C43" s="131" t="s">
        <v>217</v>
      </c>
      <c r="D43" s="108" t="s">
        <v>1500</v>
      </c>
      <c r="E43" s="1285"/>
      <c r="F43" s="1285"/>
      <c r="G43" s="1285"/>
      <c r="H43" s="1285"/>
      <c r="I43" s="1337"/>
      <c r="J43" s="1284"/>
      <c r="K43" s="606"/>
      <c r="L43" s="606"/>
      <c r="M43" s="1272"/>
    </row>
    <row r="44" spans="1:14" ht="35.15" customHeight="1">
      <c r="A44" s="13"/>
      <c r="B44" s="1283"/>
      <c r="C44" s="131"/>
      <c r="D44" s="2110" t="s">
        <v>2130</v>
      </c>
      <c r="E44" s="2110"/>
      <c r="F44" s="2110"/>
      <c r="G44" s="2110"/>
      <c r="H44" s="2110"/>
      <c r="I44" s="1337"/>
      <c r="J44" s="1284"/>
      <c r="K44" s="606"/>
      <c r="L44" s="606"/>
      <c r="M44" s="1272"/>
    </row>
    <row r="45" spans="1:14" ht="17.5" hidden="1" customHeight="1">
      <c r="A45" s="13"/>
      <c r="B45" s="1283"/>
      <c r="C45" s="1283"/>
      <c r="D45" s="1946" t="s">
        <v>1902</v>
      </c>
      <c r="E45" s="1947"/>
      <c r="F45" s="1947"/>
      <c r="G45" s="1947"/>
      <c r="H45" s="1947"/>
      <c r="I45" s="1337"/>
      <c r="J45" s="1284"/>
      <c r="K45" s="606"/>
      <c r="L45" s="606"/>
      <c r="M45" s="1272"/>
    </row>
    <row r="46" spans="1:14" ht="10.4" hidden="1" customHeight="1">
      <c r="A46" s="13"/>
      <c r="B46" s="1283"/>
      <c r="C46" s="1283"/>
      <c r="D46" s="1287"/>
      <c r="E46" s="1285"/>
      <c r="F46" s="1285"/>
      <c r="G46" s="1285"/>
      <c r="H46" s="1285"/>
      <c r="I46" s="1337"/>
      <c r="J46" s="1284"/>
      <c r="K46" s="606"/>
      <c r="L46" s="606"/>
      <c r="M46" s="1272"/>
    </row>
    <row r="47" spans="1:14" ht="17.5" hidden="1" customHeight="1">
      <c r="A47" s="13"/>
      <c r="B47" s="1283"/>
      <c r="C47" s="131" t="s">
        <v>229</v>
      </c>
      <c r="D47" s="2101" t="s">
        <v>1501</v>
      </c>
      <c r="E47" s="2101"/>
      <c r="F47" s="2101"/>
      <c r="G47" s="2101"/>
      <c r="H47" s="2101"/>
      <c r="I47" s="1337"/>
      <c r="J47" s="1284"/>
      <c r="K47" s="606"/>
      <c r="L47" s="606"/>
    </row>
    <row r="48" spans="1:14" ht="65.150000000000006" hidden="1" customHeight="1">
      <c r="A48" s="13"/>
      <c r="B48" s="1283"/>
      <c r="C48" s="1283"/>
      <c r="D48" s="2101" t="str">
        <f>IF($M$48=0,"Provide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as Attachment 2.</v>
      </c>
      <c r="E48" s="2101"/>
      <c r="F48" s="2101"/>
      <c r="G48" s="2101"/>
      <c r="H48" s="2101"/>
      <c r="I48" s="1337"/>
      <c r="J48" s="1284"/>
      <c r="K48" s="606"/>
      <c r="L48" s="606"/>
      <c r="M48" s="1766">
        <v>1</v>
      </c>
      <c r="N48" s="14" t="s">
        <v>2069</v>
      </c>
    </row>
    <row r="49" spans="1:13" ht="35.15" hidden="1" customHeight="1">
      <c r="A49" s="13"/>
      <c r="B49" s="1283"/>
      <c r="C49" s="131" t="str">
        <f>IF(M42=0,"","(C)")</f>
        <v/>
      </c>
      <c r="D49" s="2101" t="s">
        <v>2072</v>
      </c>
      <c r="E49" s="2101"/>
      <c r="F49" s="2101"/>
      <c r="G49" s="2101"/>
      <c r="H49" s="1876"/>
      <c r="I49" s="1337"/>
      <c r="J49" s="1284"/>
      <c r="K49" s="1871">
        <v>0</v>
      </c>
      <c r="L49" s="606">
        <f>IF(AND(K49&lt;&gt;0,H49&lt;&gt;""),K49,0)</f>
        <v>0</v>
      </c>
      <c r="M49" s="1669" t="str">
        <f>CHOOSE(K49+1,"Not to be included in this RFA","A REQUIRED input field for this RFA","An OPTIONAL input field for this RFA")</f>
        <v>Not to be included in this RFA</v>
      </c>
    </row>
    <row r="50" spans="1:13" ht="17.5" hidden="1" customHeight="1">
      <c r="A50" s="13"/>
      <c r="B50" s="1283"/>
      <c r="C50" s="1283"/>
      <c r="D50" s="1875" t="str">
        <f>"This Applicant qualifies as a Tier "&amp;IF(H49=1,"1","2")&amp;" Application."</f>
        <v>This Applicant qualifies as a Tier 2 Application.</v>
      </c>
      <c r="E50" s="1864"/>
      <c r="F50" s="1864"/>
      <c r="G50" s="1864"/>
      <c r="H50" s="1864"/>
      <c r="I50" s="1337"/>
      <c r="J50" s="1284"/>
      <c r="K50" s="606"/>
      <c r="L50" s="606"/>
      <c r="M50" s="1669"/>
    </row>
    <row r="51" spans="1:13" ht="10.4" customHeight="1">
      <c r="A51" s="13"/>
      <c r="B51" s="1283"/>
      <c r="C51" s="1283"/>
      <c r="D51" s="1864"/>
      <c r="E51" s="1864"/>
      <c r="F51" s="1864"/>
      <c r="G51" s="1864"/>
      <c r="H51" s="1864"/>
      <c r="I51" s="1337"/>
      <c r="J51" s="1284"/>
      <c r="K51" s="606"/>
      <c r="L51" s="606"/>
      <c r="M51" s="1669"/>
    </row>
    <row r="52" spans="1:13" ht="17.5" customHeight="1">
      <c r="A52" s="13"/>
      <c r="B52" s="1288">
        <f>IF($M$52=0,"",MAX(B$32:B48)+1)</f>
        <v>4</v>
      </c>
      <c r="C52" s="1275" t="s">
        <v>1502</v>
      </c>
      <c r="D52" s="1286"/>
      <c r="E52" s="1286"/>
      <c r="F52" s="1286"/>
      <c r="G52" s="1285"/>
      <c r="H52" s="1285"/>
      <c r="I52" s="1337"/>
      <c r="J52" s="1284"/>
      <c r="K52" s="606"/>
      <c r="L52" s="606"/>
      <c r="M52" s="1110">
        <v>1</v>
      </c>
    </row>
    <row r="53" spans="1:13" ht="63" customHeight="1">
      <c r="A53" s="13"/>
      <c r="B53" s="1283"/>
      <c r="C53" s="1283"/>
      <c r="D53" s="2101" t="s">
        <v>1503</v>
      </c>
      <c r="E53" s="2101"/>
      <c r="F53" s="2101"/>
      <c r="G53" s="2101"/>
      <c r="H53" s="2101"/>
      <c r="I53" s="1337"/>
      <c r="J53" s="1284"/>
      <c r="K53" s="606"/>
      <c r="L53" s="606"/>
      <c r="M53" s="1272"/>
    </row>
    <row r="54" spans="1:13" ht="17.5" customHeight="1">
      <c r="A54" s="13"/>
      <c r="B54" s="1288">
        <f>IF($M$54=0,"",MAX(B$32:B53)+1)</f>
        <v>5</v>
      </c>
      <c r="C54" s="1283" t="s">
        <v>1958</v>
      </c>
      <c r="D54" s="1775"/>
      <c r="E54" s="1775"/>
      <c r="F54" s="1775"/>
      <c r="G54" s="1775"/>
      <c r="H54" s="1775"/>
      <c r="I54" s="1337"/>
      <c r="J54" s="1284"/>
      <c r="K54" s="606"/>
      <c r="L54" s="606"/>
      <c r="M54" s="1110">
        <v>1</v>
      </c>
    </row>
    <row r="55" spans="1:13" ht="35.15" customHeight="1">
      <c r="A55" s="13"/>
      <c r="B55" s="1283"/>
      <c r="C55" s="1283"/>
      <c r="D55" s="2101" t="s">
        <v>1959</v>
      </c>
      <c r="E55" s="2101"/>
      <c r="F55" s="2101"/>
      <c r="G55" s="2101"/>
      <c r="H55" s="2101"/>
      <c r="I55" s="1337"/>
      <c r="J55" s="1284"/>
      <c r="K55" s="606"/>
      <c r="L55" s="606"/>
      <c r="M55" s="1669"/>
    </row>
    <row r="56" spans="1:13" ht="17.5" customHeight="1">
      <c r="A56" s="13"/>
      <c r="B56" s="1288">
        <f>IF($M$56=0,"",MAX(B$32:B55)+1)</f>
        <v>6</v>
      </c>
      <c r="C56" s="1275" t="s">
        <v>1504</v>
      </c>
      <c r="D56" s="1285"/>
      <c r="E56" s="1285"/>
      <c r="F56" s="1285"/>
      <c r="G56" s="1285"/>
      <c r="H56" s="1285"/>
      <c r="I56" s="1337"/>
      <c r="J56" s="1284"/>
      <c r="K56" s="606"/>
      <c r="L56" s="606"/>
      <c r="M56" s="1110">
        <v>1</v>
      </c>
    </row>
    <row r="57" spans="1:13" ht="30" customHeight="1">
      <c r="A57" s="13"/>
      <c r="B57" s="1283"/>
      <c r="C57" s="1283"/>
      <c r="D57" s="2101" t="s">
        <v>1505</v>
      </c>
      <c r="E57" s="2101"/>
      <c r="F57" s="2101"/>
      <c r="G57" s="2101"/>
      <c r="H57" s="2101"/>
      <c r="I57" s="1337"/>
      <c r="J57" s="1284"/>
      <c r="K57" s="606"/>
      <c r="L57" s="606"/>
      <c r="M57" s="1272"/>
    </row>
    <row r="58" spans="1:13" ht="10.4" customHeight="1">
      <c r="A58" s="13"/>
      <c r="B58" s="1282"/>
      <c r="C58" s="1282"/>
      <c r="D58" s="1282"/>
      <c r="E58" s="1282"/>
      <c r="F58" s="1282"/>
      <c r="G58" s="1282"/>
      <c r="H58" s="1282"/>
      <c r="I58" s="1143"/>
      <c r="J58" s="1282"/>
      <c r="K58" s="606"/>
      <c r="L58" s="606"/>
      <c r="M58" s="1282"/>
    </row>
    <row r="59" spans="1:13" ht="14.5" customHeight="1">
      <c r="A59" s="1066" t="str" cm="1">
        <f t="array" ref="A59">IF(SUM($K61:$K$94)=0,"",CHAR(CODE(LOOKUP(2,1/(COUNTIF(A$31:A58,"&gt;"&amp;A$31:A58&amp;"*")=0),A$31:A58))+1))</f>
        <v>b</v>
      </c>
      <c r="B59" s="2146" t="s">
        <v>216</v>
      </c>
      <c r="C59" s="2146"/>
      <c r="D59" s="2146"/>
      <c r="E59" s="2146"/>
      <c r="F59" s="2146"/>
      <c r="G59" s="2146"/>
      <c r="H59" s="2146"/>
      <c r="I59" s="71"/>
      <c r="J59" s="13"/>
      <c r="K59" s="387"/>
      <c r="L59" s="387"/>
      <c r="M59" s="13"/>
    </row>
    <row r="60" spans="1:13" ht="20.25" customHeight="1">
      <c r="A60" s="13"/>
      <c r="B60" s="117" t="s">
        <v>208</v>
      </c>
      <c r="C60" s="2103" t="s">
        <v>911</v>
      </c>
      <c r="D60" s="2103"/>
      <c r="E60" s="2103"/>
      <c r="F60" s="2103"/>
      <c r="G60" s="2103"/>
      <c r="H60" s="2103"/>
      <c r="I60" s="71"/>
      <c r="J60" s="13"/>
      <c r="K60" s="387"/>
      <c r="L60" s="387"/>
      <c r="M60" s="13"/>
    </row>
    <row r="61" spans="1:13" ht="17.5" customHeight="1">
      <c r="A61" s="13"/>
      <c r="B61" s="22"/>
      <c r="C61" s="22"/>
      <c r="D61" s="2105"/>
      <c r="E61" s="2105"/>
      <c r="F61" s="2105"/>
      <c r="G61" s="2105"/>
      <c r="H61" s="2105"/>
      <c r="I61" s="71"/>
      <c r="J61" s="13"/>
      <c r="K61" s="569">
        <v>1</v>
      </c>
      <c r="L61" s="387">
        <f>IF(AND(K61&lt;&gt;0,D61&lt;&gt;""),K61,0)</f>
        <v>0</v>
      </c>
      <c r="M61" s="1583" t="str">
        <f>CHOOSE(K61+1,"Not to be included in this RFA","A REQUIRED input field for this RFA","An OPTIONAL input field for this RFA")</f>
        <v>A REQUIRED input field for this RFA</v>
      </c>
    </row>
    <row r="62" spans="1:13" ht="17.5" customHeight="1">
      <c r="A62" s="13"/>
      <c r="B62" s="22"/>
      <c r="C62" s="22"/>
      <c r="D62" s="2102"/>
      <c r="E62" s="2102"/>
      <c r="F62" s="2102"/>
      <c r="G62" s="2102"/>
      <c r="H62" s="2102"/>
      <c r="I62" s="71"/>
      <c r="J62" s="13"/>
      <c r="K62" s="630">
        <v>2</v>
      </c>
      <c r="L62" s="387">
        <f>IF(AND(K62&lt;&gt;0,D62&lt;&gt;""),K62,0)</f>
        <v>0</v>
      </c>
      <c r="M62" s="1583" t="str">
        <f>CHOOSE(K62+1,"Not to be included in this RFA","A REQUIRED input field for this RFA","An OPTIONAL input field for this RFA")</f>
        <v>An OPTIONAL input field for this RFA</v>
      </c>
    </row>
    <row r="63" spans="1:13" ht="17.5" customHeight="1">
      <c r="A63" s="13"/>
      <c r="B63" s="22"/>
      <c r="C63" s="22"/>
      <c r="D63" s="2102"/>
      <c r="E63" s="2102"/>
      <c r="F63" s="2102"/>
      <c r="G63" s="2102"/>
      <c r="H63" s="2102"/>
      <c r="I63" s="71"/>
      <c r="J63" s="13"/>
      <c r="K63" s="630">
        <v>2</v>
      </c>
      <c r="L63" s="387">
        <f>IF(AND(K63&lt;&gt;0,D63&lt;&gt;""),K63,0)</f>
        <v>0</v>
      </c>
      <c r="M63" s="1583" t="str">
        <f>CHOOSE(K63+1,"Not to be included in this RFA","A REQUIRED input field for this RFA","An OPTIONAL input field for this RFA")</f>
        <v>An OPTIONAL input field for this RFA</v>
      </c>
    </row>
    <row r="64" spans="1:13" ht="10.4" customHeight="1">
      <c r="A64" s="13"/>
      <c r="B64" s="13"/>
      <c r="C64" s="13"/>
      <c r="D64" s="13"/>
      <c r="E64" s="142"/>
      <c r="F64" s="142"/>
      <c r="G64" s="142"/>
      <c r="H64" s="142"/>
      <c r="I64" s="71"/>
      <c r="J64" s="13"/>
      <c r="K64" s="387"/>
      <c r="L64" s="387"/>
      <c r="M64" s="13"/>
    </row>
    <row r="65" spans="1:13" ht="45" customHeight="1">
      <c r="A65" s="13"/>
      <c r="B65" s="117" t="s">
        <v>210</v>
      </c>
      <c r="C65" s="2103" t="s">
        <v>2073</v>
      </c>
      <c r="D65" s="2103"/>
      <c r="E65" s="2103"/>
      <c r="F65" s="2103"/>
      <c r="G65" s="2103"/>
      <c r="H65" s="2103"/>
      <c r="I65" s="71"/>
      <c r="J65" s="576"/>
      <c r="K65" s="387"/>
      <c r="L65" s="387"/>
      <c r="M65" s="142"/>
    </row>
    <row r="66" spans="1:13" ht="10.4" customHeight="1">
      <c r="A66" s="13"/>
      <c r="B66" s="13"/>
      <c r="C66" s="13"/>
      <c r="D66" s="13"/>
      <c r="E66" s="142"/>
      <c r="F66" s="142"/>
      <c r="G66" s="142"/>
      <c r="H66" s="13"/>
      <c r="I66" s="71"/>
      <c r="J66" s="13"/>
      <c r="K66" s="387"/>
      <c r="L66" s="387"/>
      <c r="M66" s="13"/>
    </row>
    <row r="67" spans="1:13" ht="17.5" customHeight="1">
      <c r="A67" s="13"/>
      <c r="B67" s="117" t="s">
        <v>212</v>
      </c>
      <c r="C67" s="2103" t="s">
        <v>2093</v>
      </c>
      <c r="D67" s="2103"/>
      <c r="E67" s="2103"/>
      <c r="F67" s="2103"/>
      <c r="G67" s="2103"/>
      <c r="H67" s="142"/>
      <c r="I67" s="71"/>
      <c r="J67" s="13"/>
      <c r="K67" s="387"/>
      <c r="L67" s="387"/>
      <c r="M67" s="13"/>
    </row>
    <row r="68" spans="1:13" ht="47.25" customHeight="1">
      <c r="A68" s="13"/>
      <c r="B68" s="13"/>
      <c r="C68" s="135" t="s">
        <v>217</v>
      </c>
      <c r="D68" s="2103" t="s">
        <v>218</v>
      </c>
      <c r="E68" s="2103"/>
      <c r="F68" s="2103"/>
      <c r="G68" s="2103"/>
      <c r="H68" s="2103"/>
      <c r="I68" s="71"/>
      <c r="J68" s="576"/>
      <c r="K68" s="387"/>
      <c r="L68" s="387"/>
      <c r="M68" s="142"/>
    </row>
    <row r="69" spans="1:13" ht="32.15" customHeight="1">
      <c r="A69" s="13"/>
      <c r="B69" s="13"/>
      <c r="C69" s="13"/>
      <c r="D69" s="2107" t="s">
        <v>219</v>
      </c>
      <c r="E69" s="2107"/>
      <c r="F69" s="2107"/>
      <c r="G69" s="2139"/>
      <c r="H69" s="2139"/>
      <c r="I69" s="71"/>
      <c r="J69" s="13"/>
      <c r="K69" s="569">
        <v>1</v>
      </c>
      <c r="L69" s="387">
        <f>IF(AND(K69&lt;&gt;0,G69&lt;&gt;""),K69,0)</f>
        <v>0</v>
      </c>
      <c r="M69" s="1583" t="str">
        <f>CHOOSE(K69+1,"Not to be included in this RFA","A REQUIRED input field for this RFA","An OPTIONAL input field for this RFA")</f>
        <v>A REQUIRED input field for this RFA</v>
      </c>
    </row>
    <row r="70" spans="1:13" ht="32.15" customHeight="1">
      <c r="A70" s="13"/>
      <c r="B70" s="13"/>
      <c r="C70" s="13"/>
      <c r="D70" s="2107" t="s">
        <v>220</v>
      </c>
      <c r="E70" s="2107"/>
      <c r="F70" s="2107"/>
      <c r="G70" s="2113"/>
      <c r="H70" s="2113"/>
      <c r="I70" s="71"/>
      <c r="J70" s="13"/>
      <c r="K70" s="569">
        <v>1</v>
      </c>
      <c r="L70" s="387">
        <f>IF(AND(K70&lt;&gt;0,G70&lt;&gt;""),K70,0)</f>
        <v>0</v>
      </c>
      <c r="M70" s="1583" t="str">
        <f>CHOOSE(K70+1,"Not to be included in this RFA","A REQUIRED input field for this RFA","An OPTIONAL input field for this RFA")</f>
        <v>A REQUIRED input field for this RFA</v>
      </c>
    </row>
    <row r="71" spans="1:13" ht="10.4" customHeight="1">
      <c r="A71" s="13"/>
      <c r="B71" s="13"/>
      <c r="C71" s="13"/>
      <c r="D71" s="13"/>
      <c r="E71" s="142"/>
      <c r="F71" s="142"/>
      <c r="G71" s="142"/>
      <c r="H71" s="142"/>
      <c r="I71" s="71"/>
      <c r="J71" s="13"/>
      <c r="K71" s="387"/>
      <c r="L71" s="387"/>
      <c r="M71" s="13"/>
    </row>
    <row r="72" spans="1:13" ht="36" customHeight="1">
      <c r="A72" s="13"/>
      <c r="B72" s="13"/>
      <c r="C72" s="13"/>
      <c r="D72" s="167" t="s">
        <v>221</v>
      </c>
      <c r="E72" s="2108" t="s">
        <v>2092</v>
      </c>
      <c r="F72" s="2108"/>
      <c r="G72" s="2108"/>
      <c r="H72" s="2108"/>
      <c r="I72" s="25"/>
      <c r="J72" s="382"/>
      <c r="K72" s="386"/>
      <c r="L72" s="386"/>
      <c r="M72" s="382"/>
    </row>
    <row r="73" spans="1:13" ht="17.5" customHeight="1">
      <c r="A73" s="13"/>
      <c r="B73" s="13"/>
      <c r="C73" s="2100" t="s">
        <v>222</v>
      </c>
      <c r="D73" s="2100"/>
      <c r="E73" s="2100"/>
      <c r="F73" s="2125"/>
      <c r="G73" s="2125"/>
      <c r="H73" s="2125"/>
      <c r="I73" s="173"/>
      <c r="J73" s="148"/>
      <c r="K73" s="569">
        <v>1</v>
      </c>
      <c r="L73" s="387">
        <f>IF(AND(K73&lt;&gt;0,F73&lt;&gt;""),K73,0)</f>
        <v>0</v>
      </c>
      <c r="M73" s="1583" t="str">
        <f t="shared" ref="M73:M78" si="0">CHOOSE(K73+1,"Not to be included in this RFA","A REQUIRED input field for this RFA","An OPTIONAL input field for this RFA")</f>
        <v>A REQUIRED input field for this RFA</v>
      </c>
    </row>
    <row r="74" spans="1:13" ht="35.15" customHeight="1">
      <c r="A74" s="13"/>
      <c r="B74" s="13"/>
      <c r="C74" s="2119" t="s">
        <v>223</v>
      </c>
      <c r="D74" s="2119"/>
      <c r="E74" s="2119"/>
      <c r="F74" s="2104"/>
      <c r="G74" s="2104"/>
      <c r="H74" s="2104"/>
      <c r="I74" s="173"/>
      <c r="J74" s="148"/>
      <c r="K74" s="1827">
        <v>1</v>
      </c>
      <c r="L74" s="1830">
        <f>IF(AND(K74&lt;&gt;0,F74&lt;&gt;""),K74,0)</f>
        <v>0</v>
      </c>
      <c r="M74" s="1832" t="str">
        <f t="shared" si="0"/>
        <v>A REQUIRED input field for this RFA</v>
      </c>
    </row>
    <row r="75" spans="1:13" ht="32.15" hidden="1" customHeight="1">
      <c r="A75" s="13"/>
      <c r="B75" s="13"/>
      <c r="C75" s="2100" t="s">
        <v>940</v>
      </c>
      <c r="D75" s="2100"/>
      <c r="E75" s="2100"/>
      <c r="F75" s="1833" t="s">
        <v>2</v>
      </c>
      <c r="G75" s="2120"/>
      <c r="H75" s="2120"/>
      <c r="I75" s="173"/>
      <c r="J75" s="13"/>
      <c r="K75" s="630">
        <v>0</v>
      </c>
      <c r="L75" s="387">
        <f>IF(AND(K75&lt;&gt;0,F75&lt;&gt;"&lt;select one&gt;",F75&lt;&gt;""),K75,0)</f>
        <v>0</v>
      </c>
      <c r="M75" s="378" t="str">
        <f>CHOOSE(K88+1,"Not to be included in this RFA","A REQUIRED input field for this RFA","An OPTIONAL input field for this RFA","Not tracked in this RFA")&amp;IF(K88=3," (Locked Cell)",IF(K88=1," (Unlocked Cell)",""))</f>
        <v>Not to be included in this RFA</v>
      </c>
    </row>
    <row r="76" spans="1:13" ht="40.25" hidden="1" customHeight="1">
      <c r="A76" s="13"/>
      <c r="B76" s="13"/>
      <c r="C76" s="2100" t="s">
        <v>2015</v>
      </c>
      <c r="D76" s="2100"/>
      <c r="E76" s="2100"/>
      <c r="F76" s="2125"/>
      <c r="G76" s="2125"/>
      <c r="H76" s="2125"/>
      <c r="I76" s="173"/>
      <c r="J76" s="13"/>
      <c r="K76" s="630">
        <v>0</v>
      </c>
      <c r="L76" s="615">
        <f>IF(AND(K76&lt;&gt;0,F76&lt;&gt;""),K76,0)</f>
        <v>0</v>
      </c>
      <c r="M76" s="616" t="str">
        <f t="shared" si="0"/>
        <v>Not to be included in this RFA</v>
      </c>
    </row>
    <row r="77" spans="1:13" ht="17.5" customHeight="1">
      <c r="A77" s="13"/>
      <c r="B77" s="13"/>
      <c r="C77" s="2100" t="s">
        <v>224</v>
      </c>
      <c r="D77" s="2100"/>
      <c r="E77" s="2100"/>
      <c r="F77" s="1432"/>
      <c r="G77" s="2145" t="str">
        <f>IF(F77="","",IF(Data1!E$77="Percentage",IF(N(Total_Units)=0,"Please enter Total Units at Section 4.A.6.(a)",IF(Total_Units*Data1!E$75&gt;F77,"Units do not meet the minimum percentage requirement","")),IF(F77&lt;Data1!E$76,"Units do not meet the minimum # of units requirement","")))</f>
        <v/>
      </c>
      <c r="H77" s="2145"/>
      <c r="I77" s="173"/>
      <c r="J77" s="13"/>
      <c r="K77" s="569">
        <v>1</v>
      </c>
      <c r="L77" s="387">
        <f>IF(AND(K77&lt;&gt;0,F77&lt;&gt;""),K77,0)</f>
        <v>0</v>
      </c>
      <c r="M77" s="1583" t="str">
        <f t="shared" si="0"/>
        <v>A REQUIRED input field for this RFA</v>
      </c>
    </row>
    <row r="78" spans="1:13" ht="40" customHeight="1">
      <c r="A78" s="13"/>
      <c r="B78" s="13"/>
      <c r="C78" s="2100" t="str">
        <f>"Year Completed:
(can be no earlier than "&amp;TEXT(IF(DevExp_first_Dev_program=DS_DevExpPrgm,DS_DevExpPrgm_Date,DS_DevExpDate),"yyyy")&amp;")"</f>
        <v>Year Completed:
(can be no earlier than 2003)</v>
      </c>
      <c r="D78" s="2100"/>
      <c r="E78" s="2100"/>
      <c r="F78" s="1433"/>
      <c r="G78" s="2120" t="str">
        <f ca="1">IF(F78="","",IF(N(F78)&gt;44790,"Please enter only the year the development was completed.",IF(N(F78)&gt;YEAR(NOW()),"Please enter an appropriate year.",IF(DevExp_first_Dev_program=DS_DevExpPrgm,IF(N(F78)&lt;YEAR(DS_DevExpPrgm_Date),"This "&amp;DS_DevExpPrgm&amp;" Development must have been completed since "&amp;TEXT(DS_DevExpPrgm_Date,"mmmm d, yyyy"),""),IF(N(F78)&lt;YEAR(DS_DevExpDate),"The year is prior to "&amp;TEXT(DS_DevExpDate,"mmmm d, yyyy"),"")))))</f>
        <v/>
      </c>
      <c r="H78" s="2120"/>
      <c r="I78" s="173"/>
      <c r="J78" s="13"/>
      <c r="K78" s="630">
        <v>1</v>
      </c>
      <c r="L78" s="387">
        <f>IF(AND(K78&lt;&gt;0,F78&lt;&gt;""),K78,0)</f>
        <v>0</v>
      </c>
      <c r="M78" s="1583" t="str">
        <f t="shared" si="0"/>
        <v>A REQUIRED input field for this RFA</v>
      </c>
    </row>
    <row r="79" spans="1:13" ht="10.4" customHeight="1">
      <c r="A79" s="13"/>
      <c r="B79" s="13"/>
      <c r="C79" s="13"/>
      <c r="D79" s="13"/>
      <c r="E79" s="140"/>
      <c r="F79" s="162"/>
      <c r="G79" s="23"/>
      <c r="H79" s="75"/>
      <c r="I79" s="173"/>
      <c r="J79" s="13"/>
      <c r="K79" s="387"/>
      <c r="L79" s="387"/>
      <c r="M79" s="13"/>
    </row>
    <row r="80" spans="1:13" ht="32.15" hidden="1" customHeight="1">
      <c r="A80" s="13"/>
      <c r="B80" s="13"/>
      <c r="C80" s="13"/>
      <c r="D80" s="167" t="s">
        <v>225</v>
      </c>
      <c r="E80" s="2108" t="s">
        <v>226</v>
      </c>
      <c r="F80" s="2108"/>
      <c r="G80" s="2108"/>
      <c r="H80" s="2108"/>
      <c r="I80" s="173"/>
      <c r="J80" s="13"/>
      <c r="K80" s="387"/>
      <c r="L80" s="387"/>
      <c r="M80" s="1110">
        <v>0</v>
      </c>
    </row>
    <row r="81" spans="1:14" ht="17.5" hidden="1" customHeight="1">
      <c r="A81" s="13"/>
      <c r="B81" s="13"/>
      <c r="C81" s="2100" t="s">
        <v>222</v>
      </c>
      <c r="D81" s="2100"/>
      <c r="E81" s="2100"/>
      <c r="F81" s="2139"/>
      <c r="G81" s="2139"/>
      <c r="H81" s="2139"/>
      <c r="I81" s="173"/>
      <c r="J81" s="13"/>
      <c r="K81" s="1711">
        <f>IF(M$80=0,0,N81)</f>
        <v>0</v>
      </c>
      <c r="L81" s="387">
        <f>IF(AND(K81&lt;&gt;0,F81&lt;&gt;""),K81,0)</f>
        <v>0</v>
      </c>
      <c r="M81" s="378" t="str">
        <f t="shared" ref="M81:M86" si="1">CHOOSE(K81+1,"Not to be included in this RFA","A REQUIRED input field for this RFA","An OPTIONAL input field for this RFA")</f>
        <v>Not to be included in this RFA</v>
      </c>
      <c r="N81" s="403">
        <v>0</v>
      </c>
    </row>
    <row r="82" spans="1:14" ht="35.15" hidden="1" customHeight="1">
      <c r="A82" s="13"/>
      <c r="B82" s="13"/>
      <c r="C82" s="2119" t="s">
        <v>223</v>
      </c>
      <c r="D82" s="2119"/>
      <c r="E82" s="2119"/>
      <c r="F82" s="2113"/>
      <c r="G82" s="2113"/>
      <c r="H82" s="2113"/>
      <c r="I82" s="173"/>
      <c r="J82" s="13"/>
      <c r="K82" s="1828">
        <f>IF(M$80=0,0,N82)</f>
        <v>0</v>
      </c>
      <c r="L82" s="1830">
        <f>IF(AND(K82&lt;&gt;0,F82&lt;&gt;""),K82,0)</f>
        <v>0</v>
      </c>
      <c r="M82" s="1831" t="str">
        <f t="shared" si="1"/>
        <v>Not to be included in this RFA</v>
      </c>
      <c r="N82" s="1885">
        <v>0</v>
      </c>
    </row>
    <row r="83" spans="1:14" ht="32.15" hidden="1" customHeight="1">
      <c r="A83" s="13"/>
      <c r="B83" s="13"/>
      <c r="C83" s="2100" t="s">
        <v>940</v>
      </c>
      <c r="D83" s="2100"/>
      <c r="E83" s="2100"/>
      <c r="F83" s="1833" t="s">
        <v>2</v>
      </c>
      <c r="G83" s="2120" t="s">
        <v>2016</v>
      </c>
      <c r="H83" s="2120"/>
      <c r="I83" s="173"/>
      <c r="J83" s="13"/>
      <c r="K83" s="1711">
        <f>IF(M$80=0,0,IF(AND(F83="&lt;select one&gt;",F84&lt;&gt;""),2,N83))</f>
        <v>0</v>
      </c>
      <c r="L83" s="387">
        <f>IF(AND(K83&lt;&gt;0,F83&lt;&gt;"&lt;select one&gt;",F83&lt;&gt;""),K83,0)</f>
        <v>0</v>
      </c>
      <c r="M83" s="378" t="str">
        <f t="shared" si="1"/>
        <v>Not to be included in this RFA</v>
      </c>
      <c r="N83" s="1885">
        <v>0</v>
      </c>
    </row>
    <row r="84" spans="1:14" ht="40.25" hidden="1" customHeight="1">
      <c r="A84" s="13"/>
      <c r="B84" s="13"/>
      <c r="C84" s="2100" t="s">
        <v>2015</v>
      </c>
      <c r="D84" s="2100"/>
      <c r="E84" s="2100"/>
      <c r="F84" s="2125"/>
      <c r="G84" s="2125"/>
      <c r="H84" s="2125"/>
      <c r="I84" s="173"/>
      <c r="J84" s="13"/>
      <c r="K84" s="1711">
        <f>IF(M$80=0,0,IF(AND(F83&lt;&gt;"&lt;select one&gt;",F84=""),2,IF(AND(F83="&lt;select one&gt;",F84&lt;&gt;""),N83,N84)))</f>
        <v>0</v>
      </c>
      <c r="L84" s="615">
        <f>IF(AND(K84&lt;&gt;0,F84&lt;&gt;""),K84,0)</f>
        <v>0</v>
      </c>
      <c r="M84" s="616" t="str">
        <f t="shared" si="1"/>
        <v>Not to be included in this RFA</v>
      </c>
      <c r="N84" s="1885">
        <v>0</v>
      </c>
    </row>
    <row r="85" spans="1:14" ht="17.5" hidden="1" customHeight="1">
      <c r="A85" s="13"/>
      <c r="B85" s="13"/>
      <c r="C85" s="2100" t="s">
        <v>224</v>
      </c>
      <c r="D85" s="2100"/>
      <c r="E85" s="2100"/>
      <c r="F85" s="1432"/>
      <c r="G85" s="2145" t="str">
        <f>IF(F85="","",IF(Data1!E$77="Percentage",IF(N(Total_Units)=0,"Please enter Total Units at Section 4.A.6.(a)",IF(Total_Units*Data1!E$75&gt;F85,"Units do not meet the minimum percentage requirement","")),IF(F85&lt;Data1!E$76,"Units do not meet the minimum # of units requirement","")))</f>
        <v/>
      </c>
      <c r="H85" s="2145"/>
      <c r="I85" s="173"/>
      <c r="J85" s="13"/>
      <c r="K85" s="1711">
        <f>IF(M$80=0,0,N85)</f>
        <v>0</v>
      </c>
      <c r="L85" s="387">
        <f>IF(AND(K85&lt;&gt;0,F85&lt;&gt;""),K85,0)</f>
        <v>0</v>
      </c>
      <c r="M85" s="378" t="str">
        <f t="shared" si="1"/>
        <v>Not to be included in this RFA</v>
      </c>
      <c r="N85" s="1885">
        <v>0</v>
      </c>
    </row>
    <row r="86" spans="1:14" ht="40" hidden="1" customHeight="1">
      <c r="A86" s="13"/>
      <c r="B86" s="13"/>
      <c r="C86" s="2100" t="str">
        <f>"Year Completed:
(can be no earlier than "&amp;TEXT(DS_DevExpDate,"yyyy")&amp;")"</f>
        <v>Year Completed:
(can be no earlier than 2003)</v>
      </c>
      <c r="D86" s="2100"/>
      <c r="E86" s="2100"/>
      <c r="F86" s="1433"/>
      <c r="G86" s="2120" t="str">
        <f ca="1">IF(F86="","",IF(N(F86)&gt;44790,"Please enter only the year the development was completed.",IF(N(F86)&gt;YEAR(NOW()),"Please enter an appropriate year.",IF(N(F86)&lt;YEAR(DS_DevExpDate),"The year is prior to "&amp;TEXT(DS_DevExpDate,"mmmm d, yyyy"),""))))</f>
        <v/>
      </c>
      <c r="H86" s="2120"/>
      <c r="I86" s="173"/>
      <c r="J86" s="13"/>
      <c r="K86" s="1711">
        <f>IF(M$80=0,0,N86)</f>
        <v>0</v>
      </c>
      <c r="L86" s="387">
        <f>IF(AND(K86&lt;&gt;0,F86&lt;&gt;""),K86,0)</f>
        <v>0</v>
      </c>
      <c r="M86" s="378" t="str">
        <f t="shared" si="1"/>
        <v>Not to be included in this RFA</v>
      </c>
      <c r="N86" s="1885">
        <v>0</v>
      </c>
    </row>
    <row r="87" spans="1:14" ht="10.4" hidden="1" customHeight="1">
      <c r="A87" s="13"/>
      <c r="B87" s="13"/>
      <c r="C87" s="13"/>
      <c r="D87" s="13"/>
      <c r="E87" s="140"/>
      <c r="F87" s="162"/>
      <c r="G87" s="23"/>
      <c r="H87" s="75"/>
      <c r="I87" s="173"/>
      <c r="J87" s="13"/>
      <c r="K87" s="606"/>
      <c r="L87" s="387"/>
      <c r="M87" s="13"/>
      <c r="N87" s="108"/>
    </row>
    <row r="88" spans="1:14" ht="32.15" hidden="1" customHeight="1">
      <c r="A88" s="13"/>
      <c r="B88" s="13"/>
      <c r="C88" s="13"/>
      <c r="D88" s="167" t="s">
        <v>227</v>
      </c>
      <c r="E88" s="2108" t="s">
        <v>228</v>
      </c>
      <c r="F88" s="2108"/>
      <c r="G88" s="2108"/>
      <c r="H88" s="2108"/>
      <c r="I88" s="173"/>
      <c r="J88" s="13"/>
      <c r="K88" s="606"/>
      <c r="L88" s="387"/>
      <c r="M88" s="1110">
        <v>0</v>
      </c>
      <c r="N88" s="108"/>
    </row>
    <row r="89" spans="1:14" ht="17.5" hidden="1" customHeight="1">
      <c r="A89" s="13"/>
      <c r="B89" s="13"/>
      <c r="C89" s="2100" t="s">
        <v>222</v>
      </c>
      <c r="D89" s="2100"/>
      <c r="E89" s="2100"/>
      <c r="F89" s="2125"/>
      <c r="G89" s="2125"/>
      <c r="H89" s="2125"/>
      <c r="I89" s="173"/>
      <c r="J89" s="13"/>
      <c r="K89" s="1711">
        <f>IF(M$88=0,0,N89)</f>
        <v>0</v>
      </c>
      <c r="L89" s="387">
        <f>IF(AND(K89&lt;&gt;0,F89&lt;&gt;""),K89,0)</f>
        <v>0</v>
      </c>
      <c r="M89" s="1583" t="str">
        <f t="shared" ref="M89:M94" si="2">CHOOSE(K89+1,"Not to be included in this RFA","A REQUIRED input field for this RFA","An OPTIONAL input field for this RFA")</f>
        <v>Not to be included in this RFA</v>
      </c>
      <c r="N89" s="403">
        <v>1</v>
      </c>
    </row>
    <row r="90" spans="1:14" ht="35.15" hidden="1" customHeight="1">
      <c r="A90" s="13"/>
      <c r="B90" s="13"/>
      <c r="C90" s="2119" t="s">
        <v>223</v>
      </c>
      <c r="D90" s="2119"/>
      <c r="E90" s="2119"/>
      <c r="F90" s="2104"/>
      <c r="G90" s="2104"/>
      <c r="H90" s="2104"/>
      <c r="I90" s="173"/>
      <c r="J90" s="13"/>
      <c r="K90" s="1828">
        <f>IF(M$88=0,0,N90)</f>
        <v>0</v>
      </c>
      <c r="L90" s="1830">
        <f>IF(AND(K90&lt;&gt;0,F90&lt;&gt;""),K90,0)</f>
        <v>0</v>
      </c>
      <c r="M90" s="1832" t="str">
        <f t="shared" si="2"/>
        <v>Not to be included in this RFA</v>
      </c>
      <c r="N90" s="1829">
        <v>1</v>
      </c>
    </row>
    <row r="91" spans="1:14" ht="32.15" hidden="1" customHeight="1">
      <c r="A91" s="13"/>
      <c r="B91" s="13"/>
      <c r="C91" s="2100" t="s">
        <v>940</v>
      </c>
      <c r="D91" s="2100"/>
      <c r="E91" s="2100"/>
      <c r="F91" s="1833" t="s">
        <v>2</v>
      </c>
      <c r="G91" s="2120" t="s">
        <v>2016</v>
      </c>
      <c r="H91" s="2120"/>
      <c r="I91" s="173"/>
      <c r="J91" s="13"/>
      <c r="K91" s="1711">
        <f>IF(M$88=0,0,IF(AND(F91="&lt;select one&gt;",F92&lt;&gt;""),2,N91))</f>
        <v>0</v>
      </c>
      <c r="L91" s="615">
        <f>IF(AND(K91&lt;&gt;0,F91&lt;&gt;"&lt;select one&gt;",F91&lt;&gt;""),K91,0)</f>
        <v>0</v>
      </c>
      <c r="M91" s="616" t="str">
        <f t="shared" si="2"/>
        <v>Not to be included in this RFA</v>
      </c>
      <c r="N91" s="404">
        <v>1</v>
      </c>
    </row>
    <row r="92" spans="1:14" ht="40.25" hidden="1" customHeight="1">
      <c r="A92" s="13"/>
      <c r="B92" s="13"/>
      <c r="C92" s="2100" t="s">
        <v>2015</v>
      </c>
      <c r="D92" s="2100"/>
      <c r="E92" s="2100"/>
      <c r="F92" s="2125"/>
      <c r="G92" s="2125"/>
      <c r="H92" s="2125"/>
      <c r="I92" s="173"/>
      <c r="J92" s="13"/>
      <c r="K92" s="1711">
        <f>IF(M$88=0,0,IF(AND(F91&lt;&gt;"&lt;select one&gt;",F92=""),2,IF(AND(F91="&lt;select one&gt;",F92&lt;&gt;""),N91,N92)))</f>
        <v>0</v>
      </c>
      <c r="L92" s="615">
        <f>IF(AND(K92&lt;&gt;0,F92&lt;&gt;""),K92,0)</f>
        <v>0</v>
      </c>
      <c r="M92" s="616" t="str">
        <f t="shared" si="2"/>
        <v>Not to be included in this RFA</v>
      </c>
      <c r="N92" s="404">
        <v>2</v>
      </c>
    </row>
    <row r="93" spans="1:14" ht="17.5" hidden="1" customHeight="1">
      <c r="A93" s="13"/>
      <c r="B93" s="13"/>
      <c r="C93" s="2100" t="s">
        <v>224</v>
      </c>
      <c r="D93" s="2100"/>
      <c r="E93" s="2100"/>
      <c r="F93" s="1432"/>
      <c r="G93" s="2145" t="str">
        <f>IF(F93="","",IF(Data1!E$77="Percentage",IF(N(Total_Units)=0,"Please enter Total Units at Section 4.A.6.(a)",IF(Total_Units*Data1!E$75&gt;F93,"Units do not meet the minimum percentage requirement","")),IF(F93&lt;Data1!E$76,"Units do not meet the minimum # of units requirement","")))</f>
        <v/>
      </c>
      <c r="H93" s="2145"/>
      <c r="I93" s="173"/>
      <c r="J93" s="13"/>
      <c r="K93" s="1711">
        <f>IF(M$88=0,0,N93)</f>
        <v>0</v>
      </c>
      <c r="L93" s="387">
        <f>IF(AND(K93&lt;&gt;0,F93&lt;&gt;""),K93,0)</f>
        <v>0</v>
      </c>
      <c r="M93" s="1583" t="str">
        <f t="shared" si="2"/>
        <v>Not to be included in this RFA</v>
      </c>
      <c r="N93" s="404">
        <v>1</v>
      </c>
    </row>
    <row r="94" spans="1:14" ht="40" hidden="1" customHeight="1">
      <c r="A94" s="13"/>
      <c r="B94" s="13"/>
      <c r="C94" s="2100" t="str">
        <f>"Year Completed:
(can be no earlier than "&amp;TEXT(DS_DevExpDate,"yyyy")&amp;")"</f>
        <v>Year Completed:
(can be no earlier than 2003)</v>
      </c>
      <c r="D94" s="2100"/>
      <c r="E94" s="2100"/>
      <c r="F94" s="1433"/>
      <c r="G94" s="2120" t="str">
        <f ca="1">IF(F94="","",IF(N(F94)&gt;44790,"Please enter only the year the development was completed.",IF(N(F94)&gt;YEAR(NOW()),"Please enter an appropriate year.",IF(N(F94)&lt;YEAR(DS_DevExpDate),"The year is prior to "&amp;TEXT(DS_DevExpDate,"mmmm d, yyyy"),""))))</f>
        <v/>
      </c>
      <c r="H94" s="2120"/>
      <c r="I94" s="173"/>
      <c r="J94" s="13"/>
      <c r="K94" s="1711">
        <f>IF(M$88=0,0,N94)</f>
        <v>0</v>
      </c>
      <c r="L94" s="387">
        <f>IF(AND(K94&lt;&gt;0,F94&lt;&gt;""),K94,0)</f>
        <v>0</v>
      </c>
      <c r="M94" s="1583" t="str">
        <f t="shared" si="2"/>
        <v>Not to be included in this RFA</v>
      </c>
      <c r="N94" s="404">
        <v>1</v>
      </c>
    </row>
    <row r="95" spans="1:14" ht="10.4" hidden="1" customHeight="1">
      <c r="A95" s="13"/>
      <c r="B95" s="13"/>
      <c r="C95" s="13"/>
      <c r="D95" s="13"/>
      <c r="E95" s="140"/>
      <c r="F95" s="162"/>
      <c r="G95" s="118"/>
      <c r="H95" s="119"/>
      <c r="I95" s="173"/>
      <c r="J95" s="13"/>
      <c r="K95" s="387"/>
      <c r="L95" s="387"/>
      <c r="M95" s="13"/>
    </row>
    <row r="96" spans="1:14" s="19" customFormat="1" ht="17.5" hidden="1" customHeight="1">
      <c r="A96" s="24"/>
      <c r="B96" s="24"/>
      <c r="C96" s="135" t="str">
        <f>IF(SUM(K69:K94)=0,"(a)","(b)")</f>
        <v>(b)</v>
      </c>
      <c r="D96" s="2112" t="s">
        <v>2075</v>
      </c>
      <c r="E96" s="2112"/>
      <c r="F96" s="2112"/>
      <c r="G96" s="2112"/>
      <c r="H96" s="2112"/>
      <c r="I96" s="173"/>
      <c r="J96" s="24"/>
      <c r="K96" s="386"/>
      <c r="L96" s="386"/>
      <c r="M96" s="561">
        <v>0</v>
      </c>
    </row>
    <row r="97" spans="1:13" s="19" customFormat="1" ht="32.15" hidden="1" customHeight="1">
      <c r="A97" s="24"/>
      <c r="B97" s="24"/>
      <c r="C97" s="24"/>
      <c r="D97" s="24"/>
      <c r="E97" s="2112" t="s">
        <v>230</v>
      </c>
      <c r="F97" s="2112"/>
      <c r="G97" s="2112"/>
      <c r="H97" s="2112"/>
      <c r="I97" s="173"/>
      <c r="J97" s="101"/>
      <c r="K97" s="386"/>
      <c r="L97" s="386"/>
      <c r="M97" s="24"/>
    </row>
    <row r="98" spans="1:13" s="19" customFormat="1" ht="10.4" hidden="1" customHeight="1">
      <c r="A98" s="24"/>
      <c r="B98" s="24"/>
      <c r="C98" s="24"/>
      <c r="D98" s="24"/>
      <c r="E98" s="101"/>
      <c r="F98" s="101"/>
      <c r="G98" s="101"/>
      <c r="H98" s="100"/>
      <c r="I98" s="173"/>
      <c r="J98" s="101"/>
      <c r="K98" s="386"/>
      <c r="L98" s="386"/>
      <c r="M98" s="24"/>
    </row>
    <row r="99" spans="1:13" s="19" customFormat="1" ht="14.5" customHeight="1">
      <c r="A99" s="1066" t="str" cm="1">
        <f t="array" ref="A99">CHAR(CODE(LOOKUP(2,1/(COUNTIF(A$31:A98,"&gt;"&amp;A$31:A98&amp;"*")=0),A$31:A98))+1)</f>
        <v>c</v>
      </c>
      <c r="B99" s="2144" t="s">
        <v>2076</v>
      </c>
      <c r="C99" s="2144"/>
      <c r="D99" s="2144"/>
      <c r="E99" s="2144"/>
      <c r="F99" s="2144"/>
      <c r="G99" s="2144"/>
      <c r="H99" s="2144"/>
      <c r="I99" s="173"/>
      <c r="J99" s="101"/>
      <c r="K99" s="386"/>
      <c r="L99" s="386"/>
      <c r="M99" s="24"/>
    </row>
    <row r="100" spans="1:13" s="93" customFormat="1" ht="17.5" customHeight="1">
      <c r="A100" s="92"/>
      <c r="B100" s="131" t="s">
        <v>208</v>
      </c>
      <c r="C100" s="2148" t="s">
        <v>1189</v>
      </c>
      <c r="D100" s="2148"/>
      <c r="E100" s="2148"/>
      <c r="F100" s="2148"/>
      <c r="G100" s="2148"/>
      <c r="H100" s="2148"/>
      <c r="I100" s="173"/>
      <c r="J100" s="101"/>
      <c r="K100" s="386"/>
      <c r="L100" s="386"/>
      <c r="M100" s="92"/>
    </row>
    <row r="101" spans="1:13" s="93" customFormat="1" ht="50.15" customHeight="1">
      <c r="A101" s="92"/>
      <c r="B101" s="92"/>
      <c r="C101" s="92"/>
      <c r="D101" s="2112" t="s">
        <v>2040</v>
      </c>
      <c r="E101" s="2112"/>
      <c r="F101" s="2112"/>
      <c r="G101" s="2112"/>
      <c r="H101" s="2112"/>
      <c r="I101" s="173"/>
      <c r="J101" s="101"/>
      <c r="K101" s="386"/>
      <c r="L101" s="386"/>
      <c r="M101" s="92"/>
    </row>
    <row r="102" spans="1:13" s="93" customFormat="1" ht="10.4" customHeight="1">
      <c r="A102" s="92"/>
      <c r="B102" s="92"/>
      <c r="C102" s="92"/>
      <c r="D102" s="92"/>
      <c r="E102" s="73"/>
      <c r="F102" s="73"/>
      <c r="G102" s="73"/>
      <c r="H102" s="73"/>
      <c r="I102" s="173"/>
      <c r="J102" s="101"/>
      <c r="K102" s="386"/>
      <c r="L102" s="386"/>
      <c r="M102" s="92"/>
    </row>
    <row r="103" spans="1:13" s="93" customFormat="1" ht="17.5" customHeight="1">
      <c r="A103" s="92"/>
      <c r="B103" s="132" t="s">
        <v>210</v>
      </c>
      <c r="C103" s="2148" t="s">
        <v>2074</v>
      </c>
      <c r="D103" s="2148"/>
      <c r="E103" s="2148"/>
      <c r="F103" s="2148"/>
      <c r="G103" s="2148"/>
      <c r="H103" s="2148"/>
      <c r="I103" s="173"/>
      <c r="J103" s="101"/>
      <c r="K103" s="386"/>
      <c r="L103" s="386"/>
      <c r="M103" s="92"/>
    </row>
    <row r="104" spans="1:13" s="19" customFormat="1" ht="50.15" customHeight="1">
      <c r="A104" s="24"/>
      <c r="B104" s="24"/>
      <c r="C104" s="24"/>
      <c r="D104" s="2134" t="s">
        <v>232</v>
      </c>
      <c r="E104" s="2134"/>
      <c r="F104" s="2134"/>
      <c r="G104" s="2134"/>
      <c r="H104" s="2134"/>
      <c r="I104" s="173"/>
      <c r="J104" s="101"/>
      <c r="K104" s="386"/>
      <c r="L104" s="386"/>
      <c r="M104" s="24"/>
    </row>
    <row r="105" spans="1:13" s="19" customFormat="1" ht="10.4" customHeight="1">
      <c r="A105" s="24"/>
      <c r="B105" s="24"/>
      <c r="C105" s="24"/>
      <c r="D105" s="24"/>
      <c r="E105" s="143"/>
      <c r="F105" s="143"/>
      <c r="G105" s="143"/>
      <c r="H105" s="143"/>
      <c r="I105" s="173"/>
      <c r="J105" s="101"/>
      <c r="K105" s="386"/>
      <c r="L105" s="386"/>
      <c r="M105" s="24"/>
    </row>
    <row r="106" spans="1:13" s="19" customFormat="1" ht="17.5" hidden="1" customHeight="1">
      <c r="A106" s="24"/>
      <c r="B106" s="134" t="s">
        <v>212</v>
      </c>
      <c r="C106" s="2141" t="s">
        <v>233</v>
      </c>
      <c r="D106" s="2141"/>
      <c r="E106" s="2141"/>
      <c r="F106" s="2141"/>
      <c r="G106" s="2141"/>
      <c r="H106" s="2141"/>
      <c r="I106" s="173"/>
      <c r="J106" s="101"/>
      <c r="K106" s="386"/>
      <c r="L106" s="386"/>
      <c r="M106" s="24"/>
    </row>
    <row r="107" spans="1:13" s="19" customFormat="1" ht="32.15" hidden="1" customHeight="1">
      <c r="A107" s="24"/>
      <c r="B107" s="24"/>
      <c r="C107" s="24"/>
      <c r="D107" s="2134" t="s">
        <v>234</v>
      </c>
      <c r="E107" s="2134"/>
      <c r="F107" s="2134"/>
      <c r="G107" s="2134"/>
      <c r="H107" s="2134"/>
      <c r="I107" s="173"/>
      <c r="J107" s="101"/>
      <c r="K107" s="386"/>
      <c r="L107" s="386"/>
      <c r="M107" s="24"/>
    </row>
    <row r="108" spans="1:13" s="19" customFormat="1" ht="17.5" hidden="1" customHeight="1">
      <c r="A108" s="24"/>
      <c r="B108" s="24"/>
      <c r="C108" s="24"/>
      <c r="D108" s="2139" t="s">
        <v>2</v>
      </c>
      <c r="E108" s="2139"/>
      <c r="F108" s="149"/>
      <c r="G108" s="149"/>
      <c r="H108" s="100"/>
      <c r="I108" s="173"/>
      <c r="J108" s="101"/>
      <c r="K108" s="569">
        <v>0</v>
      </c>
      <c r="L108" s="387">
        <f>IF(AND(K108&lt;&gt;0,AND(D108&lt;&gt;"&lt;select one&gt;",D108&lt;&gt;"")),K108,0)</f>
        <v>0</v>
      </c>
      <c r="M108" s="378" t="str">
        <f>CHOOSE(K108+1,"Not to be included in this RFA","A REQUIRED input field for this RFA","An OPTIONAL input field for this RFA")</f>
        <v>Not to be included in this RFA</v>
      </c>
    </row>
    <row r="109" spans="1:13" s="19" customFormat="1" ht="10.4" hidden="1" customHeight="1">
      <c r="A109" s="24"/>
      <c r="B109" s="24"/>
      <c r="C109" s="24"/>
      <c r="D109" s="24"/>
      <c r="E109" s="162"/>
      <c r="F109" s="149"/>
      <c r="G109" s="149"/>
      <c r="H109" s="100"/>
      <c r="I109" s="173"/>
      <c r="J109" s="101"/>
      <c r="K109" s="386"/>
      <c r="L109" s="386"/>
      <c r="M109" s="24"/>
    </row>
    <row r="110" spans="1:13" s="19" customFormat="1" ht="14.5" customHeight="1">
      <c r="A110" s="1066" t="str" cm="1">
        <f t="array" ref="A110">IF(SUM($K$114:$K$123)=0,"",CHAR(CODE(LOOKUP(2,1/(COUNTIF(A$31:A109,"&gt;"&amp;A$31:A109&amp;"*")=0),A$31:A109))+1))</f>
        <v>d</v>
      </c>
      <c r="B110" s="2144" t="s">
        <v>236</v>
      </c>
      <c r="C110" s="2144"/>
      <c r="D110" s="2144"/>
      <c r="E110" s="2144"/>
      <c r="F110" s="2144"/>
      <c r="G110" s="2144"/>
      <c r="H110" s="2144"/>
      <c r="I110" s="173"/>
      <c r="J110" s="101"/>
      <c r="K110" s="386"/>
      <c r="L110" s="386"/>
      <c r="M110" s="24"/>
    </row>
    <row r="111" spans="1:13" s="19" customFormat="1" ht="17.5" customHeight="1">
      <c r="A111" s="100"/>
      <c r="B111" s="121" t="s">
        <v>208</v>
      </c>
      <c r="C111" s="2112" t="s">
        <v>237</v>
      </c>
      <c r="D111" s="2112"/>
      <c r="E111" s="2112"/>
      <c r="F111" s="2112"/>
      <c r="G111" s="2112"/>
      <c r="H111" s="2112"/>
      <c r="I111" s="173"/>
      <c r="J111" s="101"/>
      <c r="K111" s="386"/>
      <c r="L111" s="386"/>
      <c r="M111" s="24"/>
    </row>
    <row r="112" spans="1:13" s="19" customFormat="1" ht="17.5" customHeight="1">
      <c r="A112" s="100"/>
      <c r="B112" s="121"/>
      <c r="C112" s="2119" t="s">
        <v>252</v>
      </c>
      <c r="D112" s="2119"/>
      <c r="E112" s="2119"/>
      <c r="F112" s="1434"/>
      <c r="G112" s="1289" t="s">
        <v>1656</v>
      </c>
      <c r="H112" s="1434"/>
      <c r="I112" s="173"/>
      <c r="J112" s="108"/>
      <c r="K112" s="403">
        <v>1</v>
      </c>
      <c r="L112" s="606">
        <f>IF(AND(K112&lt;&gt;0,F112&lt;&gt;""),K112,0)</f>
        <v>0</v>
      </c>
      <c r="M112" s="1272" t="str">
        <f t="shared" ref="M112:M113" si="3">CHOOSE(K112+1,"Not to be included in this RFA","A REQUIRED input field for this RFA","An OPTIONAL input field for this RFA")</f>
        <v>A REQUIRED input field for this RFA</v>
      </c>
    </row>
    <row r="113" spans="1:14" s="19" customFormat="1" ht="17.5" customHeight="1">
      <c r="A113" s="100"/>
      <c r="B113" s="121"/>
      <c r="C113" s="2119" t="s">
        <v>253</v>
      </c>
      <c r="D113" s="2119"/>
      <c r="E113" s="2119"/>
      <c r="F113" s="1432"/>
      <c r="G113" s="1290"/>
      <c r="H113" s="1290"/>
      <c r="I113" s="173"/>
      <c r="J113" s="1291"/>
      <c r="K113" s="403">
        <v>1</v>
      </c>
      <c r="L113" s="606">
        <f>IF(AND(K113&lt;&gt;0,F113&lt;&gt;""),K113,0)</f>
        <v>0</v>
      </c>
      <c r="M113" s="1272" t="str">
        <f t="shared" si="3"/>
        <v>A REQUIRED input field for this RFA</v>
      </c>
    </row>
    <row r="114" spans="1:14">
      <c r="A114" s="16"/>
      <c r="B114" s="16"/>
      <c r="C114" s="2124" t="s">
        <v>238</v>
      </c>
      <c r="D114" s="2124"/>
      <c r="E114" s="2124"/>
      <c r="F114" s="2136"/>
      <c r="G114" s="2136"/>
      <c r="H114" s="2136"/>
      <c r="I114" s="173"/>
      <c r="K114" s="569">
        <v>1</v>
      </c>
      <c r="L114" s="387">
        <f>IF(AND(K114&lt;&gt;0,F114&lt;&gt;""),K114,0)</f>
        <v>0</v>
      </c>
      <c r="M114" s="378" t="str">
        <f t="shared" ref="M114:M120" si="4">CHOOSE(K114+1,"Not to be included in this RFA","A REQUIRED input field for this RFA","An OPTIONAL input field for this RFA")</f>
        <v>A REQUIRED input field for this RFA</v>
      </c>
      <c r="N114" s="1620">
        <f>IF(L114&lt;&gt;0,1,0)</f>
        <v>0</v>
      </c>
    </row>
    <row r="115" spans="1:14" ht="17.5" customHeight="1">
      <c r="A115" s="16"/>
      <c r="B115" s="16"/>
      <c r="C115" s="2124" t="s">
        <v>239</v>
      </c>
      <c r="D115" s="2124"/>
      <c r="E115" s="2124"/>
      <c r="F115" s="2137"/>
      <c r="G115" s="2137"/>
      <c r="H115" s="2137"/>
      <c r="I115" s="173"/>
      <c r="K115" s="630">
        <v>1</v>
      </c>
      <c r="L115" s="387">
        <f>IF(AND(K115&lt;&gt;0,F115&lt;&gt;""),K115,0)</f>
        <v>0</v>
      </c>
      <c r="M115" s="378" t="str">
        <f t="shared" si="4"/>
        <v>A REQUIRED input field for this RFA</v>
      </c>
      <c r="N115" s="1620">
        <f t="shared" ref="N115:N120" si="5">IF(L115&lt;&gt;0,1,0)</f>
        <v>0</v>
      </c>
    </row>
    <row r="116" spans="1:14" ht="17.5" customHeight="1">
      <c r="A116" s="16"/>
      <c r="B116" s="16"/>
      <c r="C116" s="2124" t="s">
        <v>240</v>
      </c>
      <c r="D116" s="2124"/>
      <c r="E116" s="2124"/>
      <c r="F116" s="2137"/>
      <c r="G116" s="2137"/>
      <c r="H116" s="2137"/>
      <c r="I116" s="173"/>
      <c r="J116" s="25"/>
      <c r="K116" s="630">
        <v>1</v>
      </c>
      <c r="L116" s="387">
        <f>IF(AND(K116&lt;&gt;0,F116&lt;&gt;""),K116,0)</f>
        <v>0</v>
      </c>
      <c r="M116" s="378" t="str">
        <f t="shared" si="4"/>
        <v>A REQUIRED input field for this RFA</v>
      </c>
      <c r="N116" s="1620">
        <f t="shared" si="5"/>
        <v>0</v>
      </c>
    </row>
    <row r="117" spans="1:14" ht="17.5" customHeight="1">
      <c r="A117" s="16"/>
      <c r="B117" s="16"/>
      <c r="C117" s="2124" t="s">
        <v>241</v>
      </c>
      <c r="D117" s="2124"/>
      <c r="E117" s="2124"/>
      <c r="F117" s="1435" t="s">
        <v>2</v>
      </c>
      <c r="G117" s="120"/>
      <c r="H117" s="120"/>
      <c r="I117" s="173"/>
      <c r="J117" s="25"/>
      <c r="K117" s="630">
        <v>1</v>
      </c>
      <c r="L117" s="387">
        <f>IF(AND(K117&lt;&gt;0,AND(F117&lt;&gt;"&lt;select one&gt;",F117&lt;&gt;"")),K117,0)</f>
        <v>0</v>
      </c>
      <c r="M117" s="378" t="str">
        <f t="shared" si="4"/>
        <v>A REQUIRED input field for this RFA</v>
      </c>
      <c r="N117" s="1620">
        <f t="shared" si="5"/>
        <v>0</v>
      </c>
    </row>
    <row r="118" spans="1:14" ht="17.5" customHeight="1">
      <c r="A118" s="16"/>
      <c r="B118" s="16"/>
      <c r="C118" s="2124" t="s">
        <v>242</v>
      </c>
      <c r="D118" s="2124"/>
      <c r="E118" s="2124"/>
      <c r="F118" s="1936"/>
      <c r="G118" s="120"/>
      <c r="H118" s="120"/>
      <c r="I118" s="173"/>
      <c r="J118" s="25"/>
      <c r="K118" s="630">
        <v>1</v>
      </c>
      <c r="L118" s="387">
        <f>IF(AND(K118&lt;&gt;0,F118&lt;&gt;""),K118,0)</f>
        <v>0</v>
      </c>
      <c r="M118" s="378" t="str">
        <f t="shared" si="4"/>
        <v>A REQUIRED input field for this RFA</v>
      </c>
      <c r="N118" s="1620">
        <f t="shared" si="5"/>
        <v>0</v>
      </c>
    </row>
    <row r="119" spans="1:14" ht="17.5" customHeight="1">
      <c r="A119" s="16"/>
      <c r="B119" s="16"/>
      <c r="C119" s="2124" t="s">
        <v>243</v>
      </c>
      <c r="D119" s="2124"/>
      <c r="E119" s="2124"/>
      <c r="F119" s="1436"/>
      <c r="G119" s="139" t="s">
        <v>244</v>
      </c>
      <c r="H119" s="1437"/>
      <c r="I119" s="173"/>
      <c r="K119" s="630">
        <v>1</v>
      </c>
      <c r="L119" s="387">
        <f>IF(AND(K119&lt;&gt;0,F119&lt;&gt;""),K119,0)</f>
        <v>0</v>
      </c>
      <c r="M119" s="378" t="str">
        <f t="shared" si="4"/>
        <v>A REQUIRED input field for this RFA</v>
      </c>
      <c r="N119" s="1620">
        <f t="shared" si="5"/>
        <v>0</v>
      </c>
    </row>
    <row r="120" spans="1:14" s="19" customFormat="1" ht="17.5" customHeight="1">
      <c r="A120" s="100"/>
      <c r="B120" s="100"/>
      <c r="C120" s="2138" t="s">
        <v>245</v>
      </c>
      <c r="D120" s="2138"/>
      <c r="E120" s="2138"/>
      <c r="F120" s="2135"/>
      <c r="G120" s="2136"/>
      <c r="H120" s="2136"/>
      <c r="I120" s="173"/>
      <c r="J120" s="101"/>
      <c r="K120" s="630">
        <v>1</v>
      </c>
      <c r="L120" s="387">
        <f>IF(AND(K120&lt;&gt;0,F120&lt;&gt;""),K120,0)</f>
        <v>0</v>
      </c>
      <c r="M120" s="378" t="str">
        <f t="shared" si="4"/>
        <v>A REQUIRED input field for this RFA</v>
      </c>
      <c r="N120" s="1620">
        <f t="shared" si="5"/>
        <v>0</v>
      </c>
    </row>
    <row r="121" spans="1:14" s="19" customFormat="1" ht="10.5" customHeight="1">
      <c r="A121" s="100"/>
      <c r="B121" s="100"/>
      <c r="C121" s="100"/>
      <c r="D121" s="100"/>
      <c r="E121" s="101"/>
      <c r="F121" s="25"/>
      <c r="G121" s="25"/>
      <c r="H121" s="101"/>
      <c r="I121" s="173"/>
      <c r="J121" s="101"/>
      <c r="K121" s="386"/>
      <c r="L121" s="386"/>
      <c r="M121" s="24"/>
    </row>
    <row r="122" spans="1:14" s="19" customFormat="1" ht="17.5" hidden="1" customHeight="1">
      <c r="A122" s="100"/>
      <c r="B122" s="121" t="str">
        <f>IF(SUM($K$114:$K$120)=0,"(1)","(2)")</f>
        <v>(2)</v>
      </c>
      <c r="C122" s="2112" t="s">
        <v>246</v>
      </c>
      <c r="D122" s="2112"/>
      <c r="E122" s="2112"/>
      <c r="F122" s="2112"/>
      <c r="G122" s="2112"/>
      <c r="H122" s="2112"/>
      <c r="I122" s="173"/>
      <c r="J122" s="101"/>
      <c r="K122" s="386"/>
      <c r="L122" s="386"/>
      <c r="M122" s="1110">
        <v>0</v>
      </c>
    </row>
    <row r="123" spans="1:14" s="19" customFormat="1" ht="37.5" hidden="1" customHeight="1">
      <c r="A123" s="100"/>
      <c r="B123" s="100"/>
      <c r="C123" s="2140" t="s">
        <v>247</v>
      </c>
      <c r="D123" s="2140"/>
      <c r="E123" s="2140"/>
      <c r="F123" s="2140"/>
      <c r="G123" s="2109"/>
      <c r="H123" s="2109"/>
      <c r="I123" s="173"/>
      <c r="J123" s="101"/>
      <c r="K123" s="1713">
        <f>IF(M$122=0,0,N123)</f>
        <v>0</v>
      </c>
      <c r="L123" s="387">
        <f>IF(AND(K123&lt;&gt;0,G123&lt;&gt;""),K123,0)</f>
        <v>0</v>
      </c>
      <c r="M123" s="1583" t="str">
        <f>CHOOSE(K123+1,"Not to be included in this RFA","A REQUIRED input field for this RFA","An OPTIONAL input field for this RFA")</f>
        <v>Not to be included in this RFA</v>
      </c>
      <c r="N123" s="403">
        <v>1</v>
      </c>
    </row>
    <row r="124" spans="1:14" s="19" customFormat="1" ht="10.4" hidden="1" customHeight="1">
      <c r="A124" s="100"/>
      <c r="B124" s="100"/>
      <c r="C124" s="100"/>
      <c r="D124" s="100"/>
      <c r="E124" s="101"/>
      <c r="F124" s="101"/>
      <c r="G124" s="101"/>
      <c r="H124" s="142"/>
      <c r="I124" s="173"/>
      <c r="J124" s="101"/>
      <c r="K124" s="606"/>
      <c r="L124" s="386"/>
      <c r="M124" s="24"/>
      <c r="N124" s="606"/>
    </row>
    <row r="125" spans="1:14" s="19" customFormat="1" ht="30.75" hidden="1" customHeight="1">
      <c r="A125" s="100"/>
      <c r="B125" s="100"/>
      <c r="C125" s="135" t="s">
        <v>217</v>
      </c>
      <c r="D125" s="2112" t="s">
        <v>849</v>
      </c>
      <c r="E125" s="2112"/>
      <c r="F125" s="2112"/>
      <c r="G125" s="2112"/>
      <c r="H125" s="2112"/>
      <c r="I125" s="173"/>
      <c r="J125" s="1169"/>
      <c r="K125" s="606"/>
      <c r="L125" s="606"/>
      <c r="M125" s="1110">
        <v>0</v>
      </c>
      <c r="N125" s="606"/>
    </row>
    <row r="126" spans="1:14" s="19" customFormat="1" ht="17.5" hidden="1" customHeight="1">
      <c r="A126" s="100"/>
      <c r="B126" s="100"/>
      <c r="C126" s="100"/>
      <c r="D126" s="2124" t="s">
        <v>222</v>
      </c>
      <c r="E126" s="2124"/>
      <c r="F126" s="2125"/>
      <c r="G126" s="2125"/>
      <c r="H126" s="2125"/>
      <c r="I126" s="173"/>
      <c r="J126" s="101"/>
      <c r="K126" s="1711">
        <f>IF(M$125=0,0,N126)</f>
        <v>0</v>
      </c>
      <c r="L126" s="387">
        <f>IF(AND(K126&lt;&gt;0,F126&lt;&gt;""),K126,0)</f>
        <v>0</v>
      </c>
      <c r="M126" s="378" t="str">
        <f t="shared" ref="M126:M130" si="6">CHOOSE(K126+1,"Not to be included in this RFA","A REQUIRED input field for this RFA","An OPTIONAL input field for this RFA")</f>
        <v>Not to be included in this RFA</v>
      </c>
      <c r="N126" s="403">
        <v>1</v>
      </c>
    </row>
    <row r="127" spans="1:14" s="19" customFormat="1" ht="17.5" hidden="1" customHeight="1">
      <c r="A127" s="100"/>
      <c r="B127" s="2133"/>
      <c r="C127" s="2133"/>
      <c r="D127" s="2124" t="s">
        <v>223</v>
      </c>
      <c r="E127" s="2124"/>
      <c r="F127" s="2104"/>
      <c r="G127" s="2104"/>
      <c r="H127" s="2104"/>
      <c r="I127" s="173"/>
      <c r="J127" s="101"/>
      <c r="K127" s="1943">
        <f>IF(M$125=0,0,N127)</f>
        <v>0</v>
      </c>
      <c r="L127" s="1944">
        <f>IF(AND(K127&lt;&gt;0,F127&lt;&gt;""),K127,0)</f>
        <v>0</v>
      </c>
      <c r="M127" s="1941" t="str">
        <f>CHOOSE(K127+1,"Not to be included in this RFA","A REQUIRED input field for this RFA","An OPTIONAL input field for this RFA")</f>
        <v>Not to be included in this RFA</v>
      </c>
      <c r="N127" s="1942">
        <v>1</v>
      </c>
    </row>
    <row r="128" spans="1:14" s="19" customFormat="1" ht="29.5" hidden="1" customHeight="1">
      <c r="A128" s="100"/>
      <c r="B128" s="100"/>
      <c r="C128" s="100"/>
      <c r="D128" s="2124" t="s">
        <v>248</v>
      </c>
      <c r="E128" s="2124"/>
      <c r="F128" s="1833" t="s">
        <v>2</v>
      </c>
      <c r="G128" s="128"/>
      <c r="H128" s="128"/>
      <c r="I128" s="173"/>
      <c r="J128" s="101"/>
      <c r="K128" s="1711">
        <f>IF(M$125=0,0,N128)</f>
        <v>0</v>
      </c>
      <c r="L128" s="387">
        <f>IF(AND(K128&lt;&gt;0,AND(F128&lt;&gt;"&lt;select one&gt;",F128&lt;&gt;"")),K128,0)</f>
        <v>0</v>
      </c>
      <c r="M128" s="378" t="str">
        <f t="shared" si="6"/>
        <v>Not to be included in this RFA</v>
      </c>
      <c r="N128" s="404">
        <v>1</v>
      </c>
    </row>
    <row r="129" spans="1:15" ht="27" hidden="1" customHeight="1">
      <c r="A129" s="13"/>
      <c r="B129" s="13"/>
      <c r="C129" s="13"/>
      <c r="D129" s="2124" t="s">
        <v>249</v>
      </c>
      <c r="E129" s="2124"/>
      <c r="F129" s="1432"/>
      <c r="G129" s="126"/>
      <c r="H129" s="127"/>
      <c r="I129" s="173"/>
      <c r="J129" s="13"/>
      <c r="K129" s="1711">
        <f>IF(M$125=0,0,N129)</f>
        <v>0</v>
      </c>
      <c r="L129" s="387">
        <f>IF(AND(K129&lt;&gt;0,F129&lt;&gt;""),K129,0)</f>
        <v>0</v>
      </c>
      <c r="M129" s="378" t="str">
        <f t="shared" si="6"/>
        <v>Not to be included in this RFA</v>
      </c>
      <c r="N129" s="404">
        <v>1</v>
      </c>
    </row>
    <row r="130" spans="1:15" ht="17.5" hidden="1" customHeight="1">
      <c r="A130" s="13"/>
      <c r="B130" s="13"/>
      <c r="C130" s="13"/>
      <c r="D130" s="2124" t="s">
        <v>224</v>
      </c>
      <c r="E130" s="2124"/>
      <c r="F130" s="1432"/>
      <c r="G130" s="126"/>
      <c r="H130" s="127"/>
      <c r="I130" s="173"/>
      <c r="J130" s="13"/>
      <c r="K130" s="1711">
        <f>IF(M$125=0,0,N130)</f>
        <v>0</v>
      </c>
      <c r="L130" s="387">
        <f>IF(AND(K130&lt;&gt;0,F130&lt;&gt;""),K130,0)</f>
        <v>0</v>
      </c>
      <c r="M130" s="378" t="str">
        <f t="shared" si="6"/>
        <v>Not to be included in this RFA</v>
      </c>
      <c r="N130" s="404">
        <v>1</v>
      </c>
    </row>
    <row r="131" spans="1:15" s="19" customFormat="1" ht="10.4" hidden="1" customHeight="1">
      <c r="A131" s="24"/>
      <c r="B131" s="24"/>
      <c r="C131" s="24"/>
      <c r="D131" s="24"/>
      <c r="E131" s="26"/>
      <c r="F131" s="101"/>
      <c r="G131" s="27"/>
      <c r="H131" s="101"/>
      <c r="I131" s="173"/>
      <c r="J131" s="24"/>
      <c r="K131" s="606"/>
      <c r="L131" s="386"/>
      <c r="M131" s="24"/>
      <c r="N131" s="108"/>
    </row>
    <row r="132" spans="1:15" s="19" customFormat="1" ht="30" hidden="1" customHeight="1">
      <c r="A132" s="100"/>
      <c r="B132" s="100"/>
      <c r="C132" s="135" t="str">
        <f>IF(SUM($K$126:$K$130)=0,"(a)","(b)")</f>
        <v>(a)</v>
      </c>
      <c r="D132" s="2112" t="s">
        <v>850</v>
      </c>
      <c r="E132" s="2112"/>
      <c r="F132" s="2112"/>
      <c r="G132" s="2112"/>
      <c r="H132" s="2112"/>
      <c r="I132" s="173"/>
      <c r="J132" s="1169"/>
      <c r="K132" s="606"/>
      <c r="L132" s="606"/>
      <c r="M132" s="1110">
        <v>0</v>
      </c>
      <c r="N132" s="108"/>
    </row>
    <row r="133" spans="1:15" ht="17.5" hidden="1" customHeight="1">
      <c r="A133" s="13"/>
      <c r="B133" s="13"/>
      <c r="C133" s="13"/>
      <c r="D133" s="2124" t="s">
        <v>222</v>
      </c>
      <c r="E133" s="2124"/>
      <c r="F133" s="2125"/>
      <c r="G133" s="2125"/>
      <c r="H133" s="2125"/>
      <c r="I133" s="173"/>
      <c r="J133" s="13"/>
      <c r="K133" s="1711">
        <f>IF(M$132=0,0,N133)</f>
        <v>0</v>
      </c>
      <c r="L133" s="387">
        <f>IF(AND(K133&lt;&gt;0,F133&lt;&gt;""),K133,0)</f>
        <v>0</v>
      </c>
      <c r="M133" s="378" t="str">
        <f t="shared" ref="M133:M137" si="7">CHOOSE(K133+1,"Not to be included in this RFA","A REQUIRED input field for this RFA","An OPTIONAL input field for this RFA")</f>
        <v>Not to be included in this RFA</v>
      </c>
      <c r="N133" s="403">
        <v>2</v>
      </c>
    </row>
    <row r="134" spans="1:15" ht="17.5" hidden="1" customHeight="1">
      <c r="A134" s="13"/>
      <c r="B134" s="2132"/>
      <c r="C134" s="2132"/>
      <c r="D134" s="2124" t="s">
        <v>223</v>
      </c>
      <c r="E134" s="2124"/>
      <c r="F134" s="2104"/>
      <c r="G134" s="2104"/>
      <c r="H134" s="2104"/>
      <c r="I134" s="173"/>
      <c r="J134" s="13"/>
      <c r="K134" s="1943">
        <f>IF(M$132=0,0,N134)</f>
        <v>0</v>
      </c>
      <c r="L134" s="1944">
        <f>IF(AND(K134&lt;&gt;0,F134&lt;&gt;""),K134,0)</f>
        <v>0</v>
      </c>
      <c r="M134" s="1941" t="str">
        <f>CHOOSE(K134+1,"Not to be included in this RFA","A REQUIRED input field for this RFA","An OPTIONAL input field for this RFA")</f>
        <v>Not to be included in this RFA</v>
      </c>
      <c r="N134" s="1942">
        <v>2</v>
      </c>
    </row>
    <row r="135" spans="1:15" ht="29.15" hidden="1" customHeight="1">
      <c r="A135" s="13"/>
      <c r="B135" s="13"/>
      <c r="C135" s="13"/>
      <c r="D135" s="2124" t="s">
        <v>248</v>
      </c>
      <c r="E135" s="2124"/>
      <c r="F135" s="1833" t="s">
        <v>2</v>
      </c>
      <c r="G135" s="128"/>
      <c r="H135" s="128"/>
      <c r="I135" s="173"/>
      <c r="J135" s="13"/>
      <c r="K135" s="1711">
        <f>IF(M$132=0,0,N135)</f>
        <v>0</v>
      </c>
      <c r="L135" s="387">
        <f>IF(AND(K135&lt;&gt;0,AND(F135&lt;&gt;"&lt;select one&gt;",F135&lt;&gt;"")),K135,0)</f>
        <v>0</v>
      </c>
      <c r="M135" s="378" t="str">
        <f t="shared" si="7"/>
        <v>Not to be included in this RFA</v>
      </c>
      <c r="N135" s="404">
        <v>2</v>
      </c>
    </row>
    <row r="136" spans="1:15" ht="27" hidden="1" customHeight="1">
      <c r="A136" s="13"/>
      <c r="B136" s="13"/>
      <c r="C136" s="13"/>
      <c r="D136" s="2124" t="s">
        <v>249</v>
      </c>
      <c r="E136" s="2124"/>
      <c r="F136" s="1432"/>
      <c r="G136" s="126"/>
      <c r="H136" s="127"/>
      <c r="I136" s="173"/>
      <c r="J136" s="13"/>
      <c r="K136" s="1711">
        <f>IF(M$132=0,0,N136)</f>
        <v>0</v>
      </c>
      <c r="L136" s="387">
        <f>IF(AND(K136&lt;&gt;0,F136&lt;&gt;""),K136,0)</f>
        <v>0</v>
      </c>
      <c r="M136" s="378" t="str">
        <f t="shared" si="7"/>
        <v>Not to be included in this RFA</v>
      </c>
      <c r="N136" s="404">
        <v>2</v>
      </c>
    </row>
    <row r="137" spans="1:15" s="19" customFormat="1" ht="17.5" hidden="1" customHeight="1">
      <c r="A137" s="24"/>
      <c r="B137" s="24"/>
      <c r="C137" s="24"/>
      <c r="D137" s="2124" t="s">
        <v>224</v>
      </c>
      <c r="E137" s="2124"/>
      <c r="F137" s="1432"/>
      <c r="G137" s="126"/>
      <c r="H137" s="127"/>
      <c r="I137" s="173"/>
      <c r="J137" s="24"/>
      <c r="K137" s="1711">
        <f>IF(M$132=0,0,N137)</f>
        <v>0</v>
      </c>
      <c r="L137" s="387">
        <f>IF(AND(K137&lt;&gt;0,F137&lt;&gt;""),K137,0)</f>
        <v>0</v>
      </c>
      <c r="M137" s="378" t="str">
        <f t="shared" si="7"/>
        <v>Not to be included in this RFA</v>
      </c>
      <c r="N137" s="404">
        <v>2</v>
      </c>
    </row>
    <row r="138" spans="1:15" s="19" customFormat="1" ht="10.4" hidden="1" customHeight="1">
      <c r="A138" s="24"/>
      <c r="B138" s="24"/>
      <c r="C138" s="24"/>
      <c r="D138" s="24"/>
      <c r="E138" s="26"/>
      <c r="F138" s="100"/>
      <c r="G138" s="27"/>
      <c r="H138" s="100"/>
      <c r="I138" s="173"/>
      <c r="J138" s="24"/>
      <c r="K138" s="606"/>
      <c r="L138" s="386"/>
      <c r="M138" s="24"/>
      <c r="N138" s="108"/>
    </row>
    <row r="139" spans="1:15" s="19" customFormat="1" ht="17.5" customHeight="1">
      <c r="A139" s="1292" t="str" cm="1">
        <f t="array" ref="A139">IF($K$141=0,"",CHAR(CODE(LOOKUP(2,1/(COUNTIF(A$31:A138,"&gt;"&amp;A$31:A138&amp;"*")=0),A$31:A138))+1))</f>
        <v>e</v>
      </c>
      <c r="B139" s="1293" t="s">
        <v>1506</v>
      </c>
      <c r="C139" s="1282"/>
      <c r="D139" s="1282"/>
      <c r="E139" s="1294"/>
      <c r="F139" s="1295"/>
      <c r="G139" s="1182"/>
      <c r="H139" s="1295"/>
      <c r="I139" s="173"/>
      <c r="J139" s="1282"/>
      <c r="K139" s="606"/>
      <c r="L139" s="606"/>
      <c r="M139" s="1282"/>
      <c r="N139" s="108"/>
      <c r="O139" s="108"/>
    </row>
    <row r="140" spans="1:15" s="19" customFormat="1" ht="62.15" customHeight="1">
      <c r="A140" s="1296"/>
      <c r="B140" s="1296"/>
      <c r="C140" s="2101" t="s">
        <v>1507</v>
      </c>
      <c r="D140" s="2101"/>
      <c r="E140" s="2101"/>
      <c r="F140" s="2101"/>
      <c r="G140" s="2101"/>
      <c r="H140" s="2101"/>
      <c r="I140" s="173"/>
      <c r="J140" s="1282"/>
      <c r="K140" s="606"/>
      <c r="L140" s="606"/>
      <c r="M140" s="1282"/>
      <c r="N140" s="108"/>
      <c r="O140" s="108"/>
    </row>
    <row r="141" spans="1:15" s="19" customFormat="1" ht="17.5" customHeight="1">
      <c r="A141" s="1296"/>
      <c r="B141" s="1296"/>
      <c r="C141" s="2109" t="s">
        <v>2</v>
      </c>
      <c r="D141" s="2109"/>
      <c r="E141" s="2109"/>
      <c r="F141" s="108"/>
      <c r="G141" s="1271"/>
      <c r="H141" s="1271"/>
      <c r="I141" s="173"/>
      <c r="J141" s="1282"/>
      <c r="K141" s="403">
        <v>1</v>
      </c>
      <c r="L141" s="606">
        <f>IF(AND(K141&lt;&gt;0,AND(C141&lt;&gt;"&lt;select one&gt;",C141&lt;&gt;"")),K141,0)</f>
        <v>0</v>
      </c>
      <c r="M141" s="1272" t="str">
        <f t="shared" ref="M141" si="8">CHOOSE(K141+1,"Not to be included in this RFA","A REQUIRED input field for this RFA","An OPTIONAL input field for this RFA")</f>
        <v>A REQUIRED input field for this RFA</v>
      </c>
      <c r="N141" s="108"/>
      <c r="O141" s="108"/>
    </row>
    <row r="142" spans="1:15" s="19" customFormat="1" ht="10.4" customHeight="1">
      <c r="A142" s="24"/>
      <c r="B142" s="24"/>
      <c r="C142" s="24"/>
      <c r="D142" s="24"/>
      <c r="E142" s="26"/>
      <c r="F142" s="100"/>
      <c r="G142" s="1274"/>
      <c r="H142" s="100"/>
      <c r="I142" s="173"/>
      <c r="J142" s="24"/>
      <c r="K142" s="606"/>
      <c r="L142" s="1273"/>
      <c r="M142" s="24"/>
      <c r="N142" s="108"/>
    </row>
    <row r="143" spans="1:15" ht="14.5" customHeight="1">
      <c r="A143" s="1066" t="str" cm="1">
        <f t="array" ref="A143">IF(SUM($K$144:$K$166)=0,"",CHAR(CODE(LOOKUP(2,1/(COUNTIF(A$31:A142,"&gt;"&amp;A$31:A142&amp;"*")=0),A$31:A142))+1))</f>
        <v>f</v>
      </c>
      <c r="B143" s="2131" t="s">
        <v>250</v>
      </c>
      <c r="C143" s="2131"/>
      <c r="D143" s="2131"/>
      <c r="E143" s="2131"/>
      <c r="F143" s="2131"/>
      <c r="G143" s="2131"/>
      <c r="H143" s="2131"/>
      <c r="I143" s="173"/>
      <c r="K143" s="606"/>
      <c r="L143" s="387"/>
      <c r="N143" s="108"/>
    </row>
    <row r="144" spans="1:15">
      <c r="A144" s="16"/>
      <c r="B144" s="129" t="s">
        <v>208</v>
      </c>
      <c r="C144" s="2123" t="s">
        <v>251</v>
      </c>
      <c r="D144" s="2123"/>
      <c r="E144" s="2123"/>
      <c r="F144" s="2123"/>
      <c r="G144" s="2123"/>
      <c r="H144" s="2123"/>
      <c r="I144" s="173"/>
      <c r="K144" s="606"/>
      <c r="L144" s="387"/>
      <c r="M144" s="14"/>
      <c r="N144" s="108"/>
    </row>
    <row r="145" spans="1:14" ht="17.5" customHeight="1">
      <c r="A145" s="16"/>
      <c r="B145" s="16"/>
      <c r="C145" s="2127" t="s">
        <v>252</v>
      </c>
      <c r="D145" s="2127"/>
      <c r="E145" s="2127"/>
      <c r="F145" s="1434"/>
      <c r="G145" s="139" t="s">
        <v>1656</v>
      </c>
      <c r="H145" s="1434"/>
      <c r="I145" s="173"/>
      <c r="J145" s="11"/>
      <c r="K145" s="1582">
        <v>1</v>
      </c>
      <c r="L145" s="387">
        <f>IF(AND(K145&lt;&gt;0,F145&lt;&gt;""),K145,0)</f>
        <v>0</v>
      </c>
      <c r="M145" s="1583" t="str">
        <f t="shared" ref="M145:M153" si="9">CHOOSE(K145+1,"Not to be included in this RFA","A REQUIRED input field for this RFA","An OPTIONAL input field for this RFA")</f>
        <v>A REQUIRED input field for this RFA</v>
      </c>
      <c r="N145" s="108"/>
    </row>
    <row r="146" spans="1:14" ht="17.5" customHeight="1">
      <c r="A146" s="16"/>
      <c r="B146" s="16"/>
      <c r="C146" s="2127" t="s">
        <v>253</v>
      </c>
      <c r="D146" s="2127"/>
      <c r="E146" s="2127"/>
      <c r="F146" s="1432"/>
      <c r="G146" s="123"/>
      <c r="H146" s="123"/>
      <c r="I146" s="173"/>
      <c r="J146" s="94"/>
      <c r="K146" s="1580">
        <v>1</v>
      </c>
      <c r="L146" s="387">
        <f>IF(AND(K146&lt;&gt;0,F146&lt;&gt;""),K146,0)</f>
        <v>0</v>
      </c>
      <c r="M146" s="1583" t="str">
        <f t="shared" si="9"/>
        <v>A REQUIRED input field for this RFA</v>
      </c>
      <c r="N146" s="108"/>
    </row>
    <row r="147" spans="1:14" ht="17.5" customHeight="1">
      <c r="A147" s="16"/>
      <c r="B147" s="16"/>
      <c r="C147" s="2127" t="s">
        <v>254</v>
      </c>
      <c r="D147" s="2127"/>
      <c r="E147" s="2127"/>
      <c r="F147" s="2125"/>
      <c r="G147" s="2125"/>
      <c r="H147" s="2125"/>
      <c r="I147" s="173"/>
      <c r="J147" s="11"/>
      <c r="K147" s="1580">
        <v>1</v>
      </c>
      <c r="L147" s="387">
        <f>IF(AND(K147&lt;&gt;0,F147&lt;&gt;""),K147,0)</f>
        <v>0</v>
      </c>
      <c r="M147" s="1583" t="str">
        <f t="shared" si="9"/>
        <v>A REQUIRED input field for this RFA</v>
      </c>
      <c r="N147" s="108"/>
    </row>
    <row r="148" spans="1:14" ht="30" customHeight="1">
      <c r="A148" s="16"/>
      <c r="B148" s="16"/>
      <c r="C148" s="2127" t="s">
        <v>239</v>
      </c>
      <c r="D148" s="2127"/>
      <c r="E148" s="2127"/>
      <c r="F148" s="2104"/>
      <c r="G148" s="2104"/>
      <c r="H148" s="2104"/>
      <c r="I148" s="173"/>
      <c r="J148" s="11"/>
      <c r="K148" s="1580">
        <v>1</v>
      </c>
      <c r="L148" s="387">
        <f>IF(AND(K148&lt;&gt;0,F148&lt;&gt;""),K148,0)</f>
        <v>0</v>
      </c>
      <c r="M148" s="1583" t="str">
        <f t="shared" si="9"/>
        <v>A REQUIRED input field for this RFA</v>
      </c>
      <c r="N148" s="108"/>
    </row>
    <row r="149" spans="1:14" ht="17.5" customHeight="1">
      <c r="A149" s="16"/>
      <c r="B149" s="16"/>
      <c r="C149" s="2127" t="s">
        <v>240</v>
      </c>
      <c r="D149" s="2127"/>
      <c r="E149" s="2127"/>
      <c r="F149" s="1432"/>
      <c r="G149" s="124"/>
      <c r="H149" s="125"/>
      <c r="I149" s="173"/>
      <c r="J149" s="11"/>
      <c r="K149" s="1580">
        <v>1</v>
      </c>
      <c r="L149" s="387">
        <f>IF(AND(K149&lt;&gt;0,F149&lt;&gt;""),K149,0)</f>
        <v>0</v>
      </c>
      <c r="M149" s="1583" t="str">
        <f t="shared" si="9"/>
        <v>A REQUIRED input field for this RFA</v>
      </c>
      <c r="N149" s="108"/>
    </row>
    <row r="150" spans="1:14" ht="17.5" customHeight="1">
      <c r="A150" s="16"/>
      <c r="B150" s="16"/>
      <c r="C150" s="2127" t="s">
        <v>241</v>
      </c>
      <c r="D150" s="2127"/>
      <c r="E150" s="2127"/>
      <c r="F150" s="1435" t="s">
        <v>2</v>
      </c>
      <c r="G150" s="124"/>
      <c r="H150" s="125"/>
      <c r="I150" s="173"/>
      <c r="J150" s="11"/>
      <c r="K150" s="1580">
        <v>1</v>
      </c>
      <c r="L150" s="387">
        <f>IF(AND(K150&lt;&gt;0,AND(F150&lt;&gt;"&lt;select one&gt;",F150&lt;&gt;"")),K150,0)</f>
        <v>0</v>
      </c>
      <c r="M150" s="1583" t="str">
        <f t="shared" si="9"/>
        <v>A REQUIRED input field for this RFA</v>
      </c>
      <c r="N150" s="108"/>
    </row>
    <row r="151" spans="1:14" ht="17.5" customHeight="1">
      <c r="A151" s="16"/>
      <c r="B151" s="16"/>
      <c r="C151" s="2127" t="s">
        <v>242</v>
      </c>
      <c r="D151" s="2127"/>
      <c r="E151" s="2127"/>
      <c r="F151" s="1937"/>
      <c r="G151" s="124"/>
      <c r="H151" s="125"/>
      <c r="I151" s="173"/>
      <c r="J151" s="11"/>
      <c r="K151" s="1580">
        <v>1</v>
      </c>
      <c r="L151" s="387">
        <f>IF(AND(K151&lt;&gt;0,F151&lt;&gt;""),K151,0)</f>
        <v>0</v>
      </c>
      <c r="M151" s="1583" t="str">
        <f t="shared" si="9"/>
        <v>A REQUIRED input field for this RFA</v>
      </c>
      <c r="N151" s="108"/>
    </row>
    <row r="152" spans="1:14" ht="17.5" customHeight="1">
      <c r="A152" s="16"/>
      <c r="B152" s="16"/>
      <c r="C152" s="2127" t="s">
        <v>243</v>
      </c>
      <c r="D152" s="2127"/>
      <c r="E152" s="2127"/>
      <c r="F152" s="1436"/>
      <c r="G152" s="139" t="s">
        <v>244</v>
      </c>
      <c r="H152" s="1437"/>
      <c r="I152" s="173"/>
      <c r="J152" s="11"/>
      <c r="K152" s="1580">
        <v>1</v>
      </c>
      <c r="L152" s="387">
        <f>IF(AND(K152&lt;&gt;0,F152&lt;&gt;""),K152,0)</f>
        <v>0</v>
      </c>
      <c r="M152" s="1583" t="str">
        <f t="shared" si="9"/>
        <v>A REQUIRED input field for this RFA</v>
      </c>
      <c r="N152" s="108"/>
    </row>
    <row r="153" spans="1:14" ht="17.5" customHeight="1">
      <c r="A153" s="16"/>
      <c r="B153" s="16"/>
      <c r="C153" s="2128" t="s">
        <v>245</v>
      </c>
      <c r="D153" s="2128"/>
      <c r="E153" s="2128"/>
      <c r="F153" s="2126"/>
      <c r="G153" s="2125"/>
      <c r="H153" s="2125"/>
      <c r="I153" s="173"/>
      <c r="J153" s="11"/>
      <c r="K153" s="1580">
        <v>1</v>
      </c>
      <c r="L153" s="387">
        <f>IF(AND(K153&lt;&gt;0,F153&lt;&gt;""),K153,0)</f>
        <v>0</v>
      </c>
      <c r="M153" s="1583" t="str">
        <f t="shared" si="9"/>
        <v>A REQUIRED input field for this RFA</v>
      </c>
      <c r="N153" s="108"/>
    </row>
    <row r="154" spans="1:14" s="16" customFormat="1" ht="10.4" customHeight="1">
      <c r="E154" s="147"/>
      <c r="F154" s="72"/>
      <c r="G154" s="71"/>
      <c r="H154" s="70"/>
      <c r="I154" s="173"/>
      <c r="J154" s="11"/>
      <c r="K154" s="606"/>
      <c r="L154" s="386"/>
      <c r="M154" s="146"/>
      <c r="N154" s="606"/>
    </row>
    <row r="155" spans="1:14" s="1551" customFormat="1" ht="32.15" customHeight="1">
      <c r="E155" s="2129" t="str">
        <f>IF(Name_Of_Applicant="","This area intentionally left blank.",IF(OR(Cert_Signature="",Data1!F144=" ",Cert_Signature=Data1!F144),"This area intentionally left blank.","The Authorized Principal above of "&amp;""""&amp;Data1!F144&amp;""" does not match exactly the indicated name given for the signature of the Authorized Principal Representative on the Certification tab of """&amp;Cert_Signature&amp;""""))</f>
        <v>This area intentionally left blank.</v>
      </c>
      <c r="F155" s="2129"/>
      <c r="G155" s="2129"/>
      <c r="H155" s="2129"/>
      <c r="I155" s="173"/>
      <c r="J155" s="11"/>
      <c r="K155" s="606"/>
      <c r="L155" s="1549"/>
      <c r="M155" s="1557">
        <v>1</v>
      </c>
      <c r="N155" s="606"/>
    </row>
    <row r="156" spans="1:14" s="1551" customFormat="1">
      <c r="E156" s="147"/>
      <c r="F156" s="72"/>
      <c r="G156" s="71"/>
      <c r="H156" s="1550"/>
      <c r="I156" s="173"/>
      <c r="J156" s="11"/>
      <c r="K156" s="606"/>
      <c r="L156" s="1549"/>
      <c r="M156" s="146"/>
      <c r="N156" s="606"/>
    </row>
    <row r="157" spans="1:14">
      <c r="A157" s="16"/>
      <c r="B157" s="130" t="str">
        <f>IF(SUM($K$145:$K$153)=0,"(1)","(2)")</f>
        <v>(2)</v>
      </c>
      <c r="C157" s="2130" t="s">
        <v>255</v>
      </c>
      <c r="D157" s="2130"/>
      <c r="E157" s="2130"/>
      <c r="F157" s="2130"/>
      <c r="G157" s="2130"/>
      <c r="H157" s="2130"/>
      <c r="I157" s="173"/>
      <c r="K157" s="606"/>
      <c r="L157" s="387"/>
      <c r="M157" s="1110">
        <v>1</v>
      </c>
      <c r="N157" s="606"/>
    </row>
    <row r="158" spans="1:14" s="11" customFormat="1" ht="17.5" customHeight="1">
      <c r="C158" s="2127" t="s">
        <v>252</v>
      </c>
      <c r="D158" s="2127"/>
      <c r="E158" s="2127"/>
      <c r="F158" s="1434"/>
      <c r="G158" s="139" t="s">
        <v>1656</v>
      </c>
      <c r="H158" s="1434"/>
      <c r="I158" s="173"/>
      <c r="K158" s="1711">
        <f t="shared" ref="K158:K166" si="10">IF(M$157=0,0,N158)</f>
        <v>2</v>
      </c>
      <c r="L158" s="387">
        <f>IF(AND(K158&lt;&gt;0,F158&lt;&gt;""),K158,0)</f>
        <v>0</v>
      </c>
      <c r="M158" s="378" t="str">
        <f t="shared" ref="M158:M166" si="11">CHOOSE(K158+1,"Not to be included in this RFA","A REQUIRED input field for this RFA","An OPTIONAL input field for this RFA")</f>
        <v>An OPTIONAL input field for this RFA</v>
      </c>
      <c r="N158" s="403">
        <v>2</v>
      </c>
    </row>
    <row r="159" spans="1:14" s="11" customFormat="1" ht="17.5" customHeight="1">
      <c r="C159" s="2127" t="s">
        <v>253</v>
      </c>
      <c r="D159" s="2127"/>
      <c r="E159" s="2127"/>
      <c r="F159" s="1432"/>
      <c r="G159" s="122"/>
      <c r="H159" s="122"/>
      <c r="I159" s="173"/>
      <c r="J159" s="94"/>
      <c r="K159" s="1711">
        <f t="shared" si="10"/>
        <v>2</v>
      </c>
      <c r="L159" s="387">
        <f>IF(AND(K159&lt;&gt;0,F159&lt;&gt;""),K159,0)</f>
        <v>0</v>
      </c>
      <c r="M159" s="378" t="str">
        <f t="shared" si="11"/>
        <v>An OPTIONAL input field for this RFA</v>
      </c>
      <c r="N159" s="404">
        <v>2</v>
      </c>
    </row>
    <row r="160" spans="1:14" s="11" customFormat="1" ht="17.5" customHeight="1">
      <c r="C160" s="2127" t="s">
        <v>254</v>
      </c>
      <c r="D160" s="2127"/>
      <c r="E160" s="2127"/>
      <c r="F160" s="2125"/>
      <c r="G160" s="2125"/>
      <c r="H160" s="2125"/>
      <c r="I160" s="173"/>
      <c r="K160" s="1711">
        <f t="shared" si="10"/>
        <v>2</v>
      </c>
      <c r="L160" s="387">
        <f>IF(AND(K160&lt;&gt;0,F160&lt;&gt;""),K160,0)</f>
        <v>0</v>
      </c>
      <c r="M160" s="378" t="str">
        <f t="shared" si="11"/>
        <v>An OPTIONAL input field for this RFA</v>
      </c>
      <c r="N160" s="404">
        <v>2</v>
      </c>
    </row>
    <row r="161" spans="1:14" s="11" customFormat="1" ht="30.75" customHeight="1">
      <c r="C161" s="2127" t="s">
        <v>239</v>
      </c>
      <c r="D161" s="2127"/>
      <c r="E161" s="2127"/>
      <c r="F161" s="2104"/>
      <c r="G161" s="2104"/>
      <c r="H161" s="2104"/>
      <c r="I161" s="173"/>
      <c r="K161" s="1711">
        <f t="shared" si="10"/>
        <v>2</v>
      </c>
      <c r="L161" s="387">
        <f>IF(AND(K161&lt;&gt;0,F161&lt;&gt;""),K161,0)</f>
        <v>0</v>
      </c>
      <c r="M161" s="378" t="str">
        <f t="shared" si="11"/>
        <v>An OPTIONAL input field for this RFA</v>
      </c>
      <c r="N161" s="404">
        <v>2</v>
      </c>
    </row>
    <row r="162" spans="1:14" s="11" customFormat="1" ht="17.5" customHeight="1">
      <c r="C162" s="2127" t="s">
        <v>240</v>
      </c>
      <c r="D162" s="2127"/>
      <c r="E162" s="2127"/>
      <c r="F162" s="1432"/>
      <c r="G162" s="122"/>
      <c r="H162" s="122"/>
      <c r="I162" s="173"/>
      <c r="K162" s="1711">
        <f t="shared" si="10"/>
        <v>2</v>
      </c>
      <c r="L162" s="387">
        <f>IF(AND(K162&lt;&gt;0,F162&lt;&gt;""),K162,0)</f>
        <v>0</v>
      </c>
      <c r="M162" s="378" t="str">
        <f t="shared" si="11"/>
        <v>An OPTIONAL input field for this RFA</v>
      </c>
      <c r="N162" s="404">
        <v>2</v>
      </c>
    </row>
    <row r="163" spans="1:14" s="11" customFormat="1" ht="17.5" customHeight="1">
      <c r="C163" s="2127" t="s">
        <v>241</v>
      </c>
      <c r="D163" s="2127"/>
      <c r="E163" s="2127"/>
      <c r="F163" s="1435" t="s">
        <v>2</v>
      </c>
      <c r="G163" s="122"/>
      <c r="H163" s="122"/>
      <c r="I163" s="173"/>
      <c r="K163" s="1711">
        <f t="shared" si="10"/>
        <v>2</v>
      </c>
      <c r="L163" s="387">
        <f>IF(AND(K163&lt;&gt;0,AND(F163&lt;&gt;"&lt;select one&gt;",F163&lt;&gt;"")),K163,0)</f>
        <v>0</v>
      </c>
      <c r="M163" s="378" t="str">
        <f t="shared" si="11"/>
        <v>An OPTIONAL input field for this RFA</v>
      </c>
      <c r="N163" s="404">
        <v>2</v>
      </c>
    </row>
    <row r="164" spans="1:14" s="11" customFormat="1" ht="17.5" customHeight="1">
      <c r="C164" s="2127" t="s">
        <v>242</v>
      </c>
      <c r="D164" s="2127"/>
      <c r="E164" s="2127"/>
      <c r="F164" s="1937"/>
      <c r="G164" s="122"/>
      <c r="H164" s="122"/>
      <c r="I164" s="173"/>
      <c r="K164" s="1711">
        <f t="shared" si="10"/>
        <v>2</v>
      </c>
      <c r="L164" s="387">
        <f>IF(AND(K164&lt;&gt;0,F164&lt;&gt;""),K164,0)</f>
        <v>0</v>
      </c>
      <c r="M164" s="378" t="str">
        <f t="shared" si="11"/>
        <v>An OPTIONAL input field for this RFA</v>
      </c>
      <c r="N164" s="404">
        <v>2</v>
      </c>
    </row>
    <row r="165" spans="1:14" s="11" customFormat="1" ht="17.5" customHeight="1">
      <c r="C165" s="2127" t="s">
        <v>243</v>
      </c>
      <c r="D165" s="2127"/>
      <c r="E165" s="2127"/>
      <c r="F165" s="1436"/>
      <c r="G165" s="139" t="s">
        <v>244</v>
      </c>
      <c r="H165" s="1437"/>
      <c r="I165" s="173"/>
      <c r="K165" s="1711">
        <f t="shared" si="10"/>
        <v>2</v>
      </c>
      <c r="L165" s="387">
        <f>IF(AND(K165&lt;&gt;0,F165&lt;&gt;""),K165,0)</f>
        <v>0</v>
      </c>
      <c r="M165" s="378" t="str">
        <f t="shared" si="11"/>
        <v>An OPTIONAL input field for this RFA</v>
      </c>
      <c r="N165" s="404">
        <v>2</v>
      </c>
    </row>
    <row r="166" spans="1:14" s="11" customFormat="1" ht="17.5" customHeight="1">
      <c r="C166" s="2128" t="s">
        <v>245</v>
      </c>
      <c r="D166" s="2128"/>
      <c r="E166" s="2128"/>
      <c r="F166" s="2125"/>
      <c r="G166" s="2125"/>
      <c r="H166" s="2125"/>
      <c r="I166" s="173"/>
      <c r="K166" s="1711">
        <f t="shared" si="10"/>
        <v>2</v>
      </c>
      <c r="L166" s="387">
        <f>IF(AND(K166&lt;&gt;0,F166&lt;&gt;""),K166,0)</f>
        <v>0</v>
      </c>
      <c r="M166" s="378" t="str">
        <f t="shared" si="11"/>
        <v>An OPTIONAL input field for this RFA</v>
      </c>
      <c r="N166" s="404">
        <v>2</v>
      </c>
    </row>
    <row r="167" spans="1:14" s="11" customFormat="1" ht="10.4" customHeight="1">
      <c r="E167" s="28"/>
      <c r="F167" s="97"/>
      <c r="G167" s="147"/>
      <c r="H167" s="147"/>
    </row>
    <row r="168" spans="1:14" s="11" customFormat="1" ht="17.5" hidden="1" customHeight="1">
      <c r="A168" s="1292" t="str" cm="1">
        <f t="array" ref="A168">IF(SUM($K$170:$K$178)=0,"",CHAR(CODE(LOOKUP(2,1/(COUNTIF(A$31:A167,"&gt;"&amp;A$31:A167&amp;"*")=0),A$31:A167))+1))</f>
        <v/>
      </c>
      <c r="B168" s="2143" t="s">
        <v>1675</v>
      </c>
      <c r="C168" s="2143"/>
      <c r="D168" s="2143"/>
      <c r="E168" s="2143"/>
      <c r="F168" s="2143"/>
      <c r="G168" s="2143"/>
      <c r="H168" s="2143"/>
    </row>
    <row r="169" spans="1:14" ht="17.5" hidden="1" customHeight="1">
      <c r="A169" s="108"/>
      <c r="B169" s="1447" t="str">
        <f>IF(AND(SUM($K$170:$K$178)&gt;1,$K170=1),1,"")</f>
        <v/>
      </c>
      <c r="C169" s="1375" t="s">
        <v>1676</v>
      </c>
      <c r="D169" s="108"/>
      <c r="E169" s="108"/>
      <c r="F169" s="108"/>
      <c r="G169" s="108"/>
      <c r="H169" s="108"/>
    </row>
    <row r="170" spans="1:14" ht="17.5" hidden="1" customHeight="1">
      <c r="A170" s="108"/>
      <c r="B170" s="108"/>
      <c r="C170" s="2109" t="s">
        <v>2</v>
      </c>
      <c r="D170" s="2109"/>
      <c r="E170" s="2109"/>
      <c r="F170" s="108"/>
      <c r="G170" s="108"/>
      <c r="H170" s="108"/>
      <c r="K170" s="1378">
        <v>0</v>
      </c>
      <c r="L170" s="606">
        <f>IF(AND(K170&lt;&gt;0,AND(C170&lt;&gt;"&lt;select one&gt;",C170&lt;&gt;"")),K170,0)</f>
        <v>0</v>
      </c>
      <c r="M170" s="1375" t="str">
        <f t="shared" ref="M170" si="12">CHOOSE(K170+1,"Not to be included in this RFA","A REQUIRED input field for this RFA","An OPTIONAL input field for this RFA")</f>
        <v>Not to be included in this RFA</v>
      </c>
    </row>
    <row r="171" spans="1:14" ht="17.5" hidden="1" customHeight="1">
      <c r="A171" s="108"/>
      <c r="B171" s="108"/>
      <c r="C171" s="108"/>
      <c r="D171" s="108" t="s">
        <v>1677</v>
      </c>
      <c r="E171" s="108"/>
      <c r="F171" s="108"/>
      <c r="G171" s="108"/>
      <c r="H171" s="108"/>
    </row>
    <row r="172" spans="1:14" ht="10.4" hidden="1" customHeight="1"/>
    <row r="173" spans="1:14" ht="17.5" hidden="1" customHeight="1">
      <c r="A173" s="108"/>
      <c r="B173" s="1447" t="str">
        <f>IF(AND(SUM($K$170:$K$178)&gt;1,$K174=1),MAX(B$169:B172)+1,"")</f>
        <v/>
      </c>
      <c r="C173" s="1442" t="s">
        <v>1686</v>
      </c>
      <c r="D173" s="108"/>
      <c r="E173" s="108"/>
      <c r="F173" s="108"/>
      <c r="G173" s="108"/>
      <c r="H173" s="108"/>
      <c r="I173" s="1443"/>
      <c r="J173" s="1443"/>
      <c r="K173" s="1443"/>
      <c r="L173" s="1443"/>
      <c r="M173" s="1443"/>
    </row>
    <row r="174" spans="1:14" ht="17.5" hidden="1" customHeight="1">
      <c r="A174" s="108"/>
      <c r="B174" s="108"/>
      <c r="C174" s="2109" t="s">
        <v>2</v>
      </c>
      <c r="D174" s="2109"/>
      <c r="E174" s="2109"/>
      <c r="F174" s="108"/>
      <c r="G174" s="108"/>
      <c r="H174" s="108"/>
      <c r="I174" s="1443"/>
      <c r="J174" s="1443"/>
      <c r="K174" s="1444">
        <v>0</v>
      </c>
      <c r="L174" s="606">
        <f>IF(AND(K174&lt;&gt;0,AND(C174&lt;&gt;"&lt;select one&gt;",C174&lt;&gt;"")),K174,0)</f>
        <v>0</v>
      </c>
      <c r="M174" s="1442" t="str">
        <f t="shared" ref="M174" si="13">CHOOSE(K174+1,"Not to be included in this RFA","A REQUIRED input field for this RFA","An OPTIONAL input field for this RFA")</f>
        <v>Not to be included in this RFA</v>
      </c>
    </row>
    <row r="175" spans="1:14" ht="17.5" hidden="1" customHeight="1">
      <c r="A175" s="108"/>
      <c r="B175" s="108"/>
      <c r="C175" s="108"/>
      <c r="D175" s="108" t="s">
        <v>1687</v>
      </c>
      <c r="E175" s="108"/>
      <c r="F175" s="108"/>
      <c r="G175" s="108"/>
      <c r="H175" s="108"/>
      <c r="I175" s="1443"/>
      <c r="J175" s="1443"/>
      <c r="K175" s="1443"/>
      <c r="L175" s="1443"/>
      <c r="M175" s="1443"/>
    </row>
    <row r="176" spans="1:14" ht="10.4" hidden="1" customHeight="1"/>
    <row r="177" spans="1:13" hidden="1">
      <c r="A177" s="108"/>
      <c r="B177" s="1447" t="str">
        <f>IF(AND(SUM($K$170:$K$178)&gt;1,$K178=1),MAX(B$169:B176)+1,"")</f>
        <v/>
      </c>
      <c r="C177" s="1442" t="s">
        <v>1686</v>
      </c>
      <c r="D177" s="108"/>
      <c r="E177" s="108"/>
      <c r="F177" s="108"/>
      <c r="G177" s="108"/>
      <c r="H177" s="108"/>
      <c r="I177" s="1443"/>
      <c r="J177" s="1443"/>
      <c r="K177" s="1443"/>
      <c r="L177" s="1443"/>
      <c r="M177" s="1443"/>
    </row>
    <row r="178" spans="1:13" ht="17.5" hidden="1" customHeight="1">
      <c r="A178" s="108"/>
      <c r="B178" s="108"/>
      <c r="C178" s="2109" t="s">
        <v>2</v>
      </c>
      <c r="D178" s="2109"/>
      <c r="E178" s="2109"/>
      <c r="F178" s="108"/>
      <c r="G178" s="108"/>
      <c r="H178" s="108"/>
      <c r="I178" s="1443"/>
      <c r="J178" s="1443"/>
      <c r="K178" s="1444">
        <v>0</v>
      </c>
      <c r="L178" s="606">
        <f>IF(AND(K178&lt;&gt;0,AND(C178&lt;&gt;"&lt;select one&gt;",C178&lt;&gt;"")),K178,0)</f>
        <v>0</v>
      </c>
      <c r="M178" s="1442" t="str">
        <f t="shared" ref="M178" si="14">CHOOSE(K178+1,"Not to be included in this RFA","A REQUIRED input field for this RFA","An OPTIONAL input field for this RFA")</f>
        <v>Not to be included in this RFA</v>
      </c>
    </row>
    <row r="179" spans="1:13" hidden="1">
      <c r="A179" s="108"/>
      <c r="B179" s="108"/>
      <c r="C179" s="108"/>
      <c r="D179" s="108" t="s">
        <v>1687</v>
      </c>
      <c r="E179" s="108"/>
      <c r="F179" s="108"/>
      <c r="G179" s="108"/>
      <c r="H179" s="108"/>
      <c r="I179" s="1443"/>
      <c r="J179" s="1443"/>
      <c r="K179" s="1443"/>
      <c r="L179" s="1443"/>
      <c r="M179" s="1443"/>
    </row>
    <row r="180" spans="1:13" ht="10.4" hidden="1" customHeight="1"/>
  </sheetData>
  <sheetProtection algorithmName="SHA-512" hashValue="W0oKhMFsna+9JWMERwFhOaP5RxZXWT6Jm48Iluwle9I18wK0m9xTS9zltWNLeYeZ7xbBJxKxlmnzsX68OKyPxQ==" saltValue="dyd2qccoALco0WgJ8cvfOw==" spinCount="100000" sheet="1" formatRows="0" selectLockedCells="1"/>
  <mergeCells count="165">
    <mergeCell ref="C94:E94"/>
    <mergeCell ref="G85:H85"/>
    <mergeCell ref="G93:H93"/>
    <mergeCell ref="D23:H23"/>
    <mergeCell ref="G91:H91"/>
    <mergeCell ref="C93:E93"/>
    <mergeCell ref="G94:H94"/>
    <mergeCell ref="C100:H100"/>
    <mergeCell ref="C103:H103"/>
    <mergeCell ref="F84:H84"/>
    <mergeCell ref="C85:E85"/>
    <mergeCell ref="C75:E75"/>
    <mergeCell ref="D47:H47"/>
    <mergeCell ref="C74:E74"/>
    <mergeCell ref="F89:H89"/>
    <mergeCell ref="E80:H80"/>
    <mergeCell ref="D48:H48"/>
    <mergeCell ref="C65:H65"/>
    <mergeCell ref="F73:H73"/>
    <mergeCell ref="G70:H70"/>
    <mergeCell ref="G69:H69"/>
    <mergeCell ref="G75:H75"/>
    <mergeCell ref="G83:H83"/>
    <mergeCell ref="D68:H68"/>
    <mergeCell ref="J8:AA9"/>
    <mergeCell ref="C174:E174"/>
    <mergeCell ref="C178:E178"/>
    <mergeCell ref="C73:E73"/>
    <mergeCell ref="G86:H86"/>
    <mergeCell ref="B168:H168"/>
    <mergeCell ref="C170:E170"/>
    <mergeCell ref="B110:H110"/>
    <mergeCell ref="D130:E130"/>
    <mergeCell ref="D132:H132"/>
    <mergeCell ref="G77:H77"/>
    <mergeCell ref="B31:H31"/>
    <mergeCell ref="B59:H59"/>
    <mergeCell ref="F76:H76"/>
    <mergeCell ref="C81:E81"/>
    <mergeCell ref="D15:H15"/>
    <mergeCell ref="B99:H99"/>
    <mergeCell ref="K11:N11"/>
    <mergeCell ref="D107:H107"/>
    <mergeCell ref="D20:H20"/>
    <mergeCell ref="A29:H29"/>
    <mergeCell ref="F81:H81"/>
    <mergeCell ref="F92:H92"/>
    <mergeCell ref="E97:H97"/>
    <mergeCell ref="D125:H125"/>
    <mergeCell ref="D126:E126"/>
    <mergeCell ref="C112:E112"/>
    <mergeCell ref="B127:C127"/>
    <mergeCell ref="D104:H104"/>
    <mergeCell ref="D101:H101"/>
    <mergeCell ref="C113:E113"/>
    <mergeCell ref="C111:H111"/>
    <mergeCell ref="F120:H120"/>
    <mergeCell ref="F114:H114"/>
    <mergeCell ref="F116:H116"/>
    <mergeCell ref="C119:E119"/>
    <mergeCell ref="C120:E120"/>
    <mergeCell ref="D127:E127"/>
    <mergeCell ref="F115:H115"/>
    <mergeCell ref="C118:E118"/>
    <mergeCell ref="C117:E117"/>
    <mergeCell ref="C115:E115"/>
    <mergeCell ref="C116:E116"/>
    <mergeCell ref="D108:E108"/>
    <mergeCell ref="F126:H126"/>
    <mergeCell ref="C123:F123"/>
    <mergeCell ref="C106:H106"/>
    <mergeCell ref="C153:E153"/>
    <mergeCell ref="C145:E145"/>
    <mergeCell ref="C146:E146"/>
    <mergeCell ref="C157:H157"/>
    <mergeCell ref="C147:E147"/>
    <mergeCell ref="C91:E91"/>
    <mergeCell ref="C92:E92"/>
    <mergeCell ref="C82:E82"/>
    <mergeCell ref="G123:H123"/>
    <mergeCell ref="C148:E148"/>
    <mergeCell ref="C151:E151"/>
    <mergeCell ref="D128:E128"/>
    <mergeCell ref="D129:E129"/>
    <mergeCell ref="D134:E134"/>
    <mergeCell ref="D135:E135"/>
    <mergeCell ref="D133:E133"/>
    <mergeCell ref="C150:E150"/>
    <mergeCell ref="C149:E149"/>
    <mergeCell ref="C122:H122"/>
    <mergeCell ref="C89:E89"/>
    <mergeCell ref="D137:E137"/>
    <mergeCell ref="B143:H143"/>
    <mergeCell ref="B134:C134"/>
    <mergeCell ref="D136:E136"/>
    <mergeCell ref="C144:H144"/>
    <mergeCell ref="C140:H140"/>
    <mergeCell ref="C141:E141"/>
    <mergeCell ref="F127:H127"/>
    <mergeCell ref="C114:E114"/>
    <mergeCell ref="F166:H166"/>
    <mergeCell ref="F147:H147"/>
    <mergeCell ref="F148:H148"/>
    <mergeCell ref="F133:H133"/>
    <mergeCell ref="F160:H160"/>
    <mergeCell ref="F161:H161"/>
    <mergeCell ref="F134:H134"/>
    <mergeCell ref="F153:H153"/>
    <mergeCell ref="C164:E164"/>
    <mergeCell ref="C165:E165"/>
    <mergeCell ref="C166:E166"/>
    <mergeCell ref="C158:E158"/>
    <mergeCell ref="C159:E159"/>
    <mergeCell ref="C160:E160"/>
    <mergeCell ref="C161:E161"/>
    <mergeCell ref="C162:E162"/>
    <mergeCell ref="C152:E152"/>
    <mergeCell ref="C163:E163"/>
    <mergeCell ref="E155:H155"/>
    <mergeCell ref="A1:H2"/>
    <mergeCell ref="D96:H96"/>
    <mergeCell ref="F90:H90"/>
    <mergeCell ref="F82:H82"/>
    <mergeCell ref="A6:H6"/>
    <mergeCell ref="A4:H4"/>
    <mergeCell ref="A8:H8"/>
    <mergeCell ref="A10:E10"/>
    <mergeCell ref="B12:H12"/>
    <mergeCell ref="B17:H17"/>
    <mergeCell ref="D19:H19"/>
    <mergeCell ref="F32:H32"/>
    <mergeCell ref="D53:H53"/>
    <mergeCell ref="D57:H57"/>
    <mergeCell ref="C60:H60"/>
    <mergeCell ref="D14:H14"/>
    <mergeCell ref="E88:H88"/>
    <mergeCell ref="D39:H39"/>
    <mergeCell ref="C90:E90"/>
    <mergeCell ref="G78:H78"/>
    <mergeCell ref="D69:F69"/>
    <mergeCell ref="F10:G10"/>
    <mergeCell ref="G11:H11"/>
    <mergeCell ref="C36:H36"/>
    <mergeCell ref="C76:E76"/>
    <mergeCell ref="C77:E77"/>
    <mergeCell ref="C78:E78"/>
    <mergeCell ref="D21:H21"/>
    <mergeCell ref="D22:H22"/>
    <mergeCell ref="C84:E84"/>
    <mergeCell ref="C86:E86"/>
    <mergeCell ref="C83:E83"/>
    <mergeCell ref="D62:H62"/>
    <mergeCell ref="D63:H63"/>
    <mergeCell ref="C67:G67"/>
    <mergeCell ref="D55:H55"/>
    <mergeCell ref="F74:H74"/>
    <mergeCell ref="D61:H61"/>
    <mergeCell ref="B25:H25"/>
    <mergeCell ref="C27:G27"/>
    <mergeCell ref="D49:G49"/>
    <mergeCell ref="D70:F70"/>
    <mergeCell ref="E72:H72"/>
    <mergeCell ref="C38:H38"/>
    <mergeCell ref="D40:E40"/>
    <mergeCell ref="D44:H44"/>
  </mergeCells>
  <conditionalFormatting sqref="F10">
    <cfRule type="cellIs" dxfId="673" priority="19" stopIfTrue="1" operator="equal">
      <formula>""</formula>
    </cfRule>
    <cfRule type="cellIs" dxfId="672" priority="20" operator="notEqual">
      <formula>"&lt;select one&gt;"</formula>
    </cfRule>
  </conditionalFormatting>
  <conditionalFormatting sqref="F32:H32">
    <cfRule type="cellIs" dxfId="671" priority="34" operator="notEqual">
      <formula>""</formula>
    </cfRule>
  </conditionalFormatting>
  <conditionalFormatting sqref="G69:H69">
    <cfRule type="cellIs" dxfId="670" priority="54" operator="notEqual">
      <formula>""</formula>
    </cfRule>
  </conditionalFormatting>
  <conditionalFormatting sqref="G70:H70">
    <cfRule type="cellIs" dxfId="669" priority="56" operator="notEqual">
      <formula>""</formula>
    </cfRule>
  </conditionalFormatting>
  <conditionalFormatting sqref="F73:H73">
    <cfRule type="cellIs" dxfId="668" priority="57" operator="notEqual">
      <formula>""</formula>
    </cfRule>
  </conditionalFormatting>
  <conditionalFormatting sqref="F74">
    <cfRule type="cellIs" dxfId="667" priority="58" operator="notEqual">
      <formula>""</formula>
    </cfRule>
  </conditionalFormatting>
  <conditionalFormatting sqref="F76">
    <cfRule type="cellIs" dxfId="666" priority="62" operator="notEqual">
      <formula>""</formula>
    </cfRule>
  </conditionalFormatting>
  <conditionalFormatting sqref="F81:H81">
    <cfRule type="cellIs" dxfId="665" priority="69" operator="notEqual">
      <formula>""</formula>
    </cfRule>
  </conditionalFormatting>
  <conditionalFormatting sqref="F89:H89">
    <cfRule type="cellIs" dxfId="664" priority="90" operator="notEqual">
      <formula>""</formula>
    </cfRule>
  </conditionalFormatting>
  <conditionalFormatting sqref="F82:H82">
    <cfRule type="cellIs" dxfId="663" priority="71" operator="notEqual">
      <formula>""</formula>
    </cfRule>
  </conditionalFormatting>
  <conditionalFormatting sqref="F90:H90">
    <cfRule type="cellIs" dxfId="662" priority="91" operator="notEqual">
      <formula>""</formula>
    </cfRule>
  </conditionalFormatting>
  <conditionalFormatting sqref="F114:H116 F120:H120 F118:F119 H119">
    <cfRule type="cellIs" dxfId="661" priority="120" operator="notEqual">
      <formula>""</formula>
    </cfRule>
  </conditionalFormatting>
  <conditionalFormatting sqref="F126:H126">
    <cfRule type="cellIs" dxfId="660" priority="127" operator="notEqual">
      <formula>""</formula>
    </cfRule>
  </conditionalFormatting>
  <conditionalFormatting sqref="F128">
    <cfRule type="cellIs" dxfId="659" priority="130" operator="notEqual">
      <formula>"&lt;select one&gt;"</formula>
    </cfRule>
  </conditionalFormatting>
  <conditionalFormatting sqref="F133:H133">
    <cfRule type="cellIs" dxfId="658" priority="147" operator="notEqual">
      <formula>""</formula>
    </cfRule>
  </conditionalFormatting>
  <conditionalFormatting sqref="F147:H147">
    <cfRule type="cellIs" dxfId="657" priority="192" operator="notEqual">
      <formula>""</formula>
    </cfRule>
  </conditionalFormatting>
  <conditionalFormatting sqref="F160:H160">
    <cfRule type="cellIs" dxfId="656" priority="212" operator="notEqual">
      <formula>""</formula>
    </cfRule>
  </conditionalFormatting>
  <conditionalFormatting sqref="F127:H127">
    <cfRule type="cellIs" dxfId="655" priority="128" operator="notEqual">
      <formula>""</formula>
    </cfRule>
  </conditionalFormatting>
  <conditionalFormatting sqref="F134:H134">
    <cfRule type="cellIs" dxfId="654" priority="154" operator="notEqual">
      <formula>""</formula>
    </cfRule>
  </conditionalFormatting>
  <conditionalFormatting sqref="F129">
    <cfRule type="cellIs" dxfId="653" priority="132" operator="notEqual">
      <formula>""</formula>
    </cfRule>
  </conditionalFormatting>
  <conditionalFormatting sqref="F130">
    <cfRule type="cellIs" dxfId="652" priority="135" operator="notEqual">
      <formula>""</formula>
    </cfRule>
  </conditionalFormatting>
  <conditionalFormatting sqref="F136">
    <cfRule type="cellIs" dxfId="651" priority="156" operator="notEqual">
      <formula>""</formula>
    </cfRule>
  </conditionalFormatting>
  <conditionalFormatting sqref="F137">
    <cfRule type="cellIs" dxfId="650" priority="168" operator="notEqual">
      <formula>""</formula>
    </cfRule>
  </conditionalFormatting>
  <conditionalFormatting sqref="F145">
    <cfRule type="cellIs" dxfId="649" priority="183" operator="notEqual">
      <formula>""</formula>
    </cfRule>
  </conditionalFormatting>
  <conditionalFormatting sqref="F146">
    <cfRule type="cellIs" dxfId="648" priority="190" operator="notEqual">
      <formula>""</formula>
    </cfRule>
  </conditionalFormatting>
  <conditionalFormatting sqref="F149">
    <cfRule type="cellIs" dxfId="647" priority="194" operator="notEqual">
      <formula>""</formula>
    </cfRule>
  </conditionalFormatting>
  <conditionalFormatting sqref="F151">
    <cfRule type="cellIs" dxfId="646" priority="198" operator="notEqual">
      <formula>""</formula>
    </cfRule>
  </conditionalFormatting>
  <conditionalFormatting sqref="F153">
    <cfRule type="cellIs" dxfId="645" priority="200" operator="notEqual">
      <formula>""</formula>
    </cfRule>
  </conditionalFormatting>
  <conditionalFormatting sqref="F158">
    <cfRule type="cellIs" dxfId="644" priority="209" operator="notEqual">
      <formula>""</formula>
    </cfRule>
  </conditionalFormatting>
  <conditionalFormatting sqref="F159">
    <cfRule type="cellIs" dxfId="643" priority="211" operator="notEqual">
      <formula>""</formula>
    </cfRule>
  </conditionalFormatting>
  <conditionalFormatting sqref="F162">
    <cfRule type="cellIs" dxfId="642" priority="214" operator="notEqual">
      <formula>""</formula>
    </cfRule>
  </conditionalFormatting>
  <conditionalFormatting sqref="F164">
    <cfRule type="cellIs" dxfId="641" priority="216" operator="notEqual">
      <formula>""</formula>
    </cfRule>
  </conditionalFormatting>
  <conditionalFormatting sqref="F148:H148">
    <cfRule type="cellIs" dxfId="640" priority="193" operator="notEqual">
      <formula>""</formula>
    </cfRule>
  </conditionalFormatting>
  <conditionalFormatting sqref="F161:H161">
    <cfRule type="cellIs" dxfId="639" priority="213" operator="notEqual">
      <formula>""</formula>
    </cfRule>
  </conditionalFormatting>
  <conditionalFormatting sqref="G123:H123">
    <cfRule type="cellIs" dxfId="638" priority="124" operator="notEqual">
      <formula>""</formula>
    </cfRule>
  </conditionalFormatting>
  <conditionalFormatting sqref="D108">
    <cfRule type="cellIs" dxfId="637" priority="111" operator="notEqual">
      <formula>"&lt;select one&gt;"</formula>
    </cfRule>
  </conditionalFormatting>
  <conditionalFormatting sqref="F152 H152">
    <cfRule type="cellIs" dxfId="636" priority="199" operator="notEqual">
      <formula>""</formula>
    </cfRule>
  </conditionalFormatting>
  <conditionalFormatting sqref="F165 H165">
    <cfRule type="cellIs" dxfId="635" priority="219" operator="notEqual">
      <formula>""</formula>
    </cfRule>
  </conditionalFormatting>
  <conditionalFormatting sqref="F163">
    <cfRule type="cellIs" dxfId="634" priority="215" operator="notEqual">
      <formula>"&lt;select one&gt;"</formula>
    </cfRule>
  </conditionalFormatting>
  <conditionalFormatting sqref="F135">
    <cfRule type="cellIs" dxfId="633" priority="155" operator="notEqual">
      <formula>"&lt;select one&gt;"</formula>
    </cfRule>
  </conditionalFormatting>
  <conditionalFormatting sqref="F150">
    <cfRule type="cellIs" dxfId="632" priority="195" operator="notEqual">
      <formula>"&lt;select one&gt;"</formula>
    </cfRule>
  </conditionalFormatting>
  <conditionalFormatting sqref="F117">
    <cfRule type="cellIs" dxfId="631" priority="121" operator="notEqual">
      <formula>"&lt;select one&gt;"</formula>
    </cfRule>
  </conditionalFormatting>
  <conditionalFormatting sqref="H145">
    <cfRule type="cellIs" dxfId="630" priority="186" operator="notEqual">
      <formula>""</formula>
    </cfRule>
  </conditionalFormatting>
  <conditionalFormatting sqref="F166:H166">
    <cfRule type="cellIs" dxfId="629" priority="220" operator="notEqual">
      <formula>""</formula>
    </cfRule>
  </conditionalFormatting>
  <conditionalFormatting sqref="D61:H63">
    <cfRule type="cellIs" dxfId="628" priority="51" operator="notEqual">
      <formula>""</formula>
    </cfRule>
  </conditionalFormatting>
  <conditionalFormatting sqref="H158">
    <cfRule type="cellIs" dxfId="627" priority="210" operator="notEqual">
      <formula>""</formula>
    </cfRule>
  </conditionalFormatting>
  <conditionalFormatting sqref="G34">
    <cfRule type="cellIs" dxfId="626" priority="37" operator="notEqual">
      <formula>"&lt;select one&gt;"</formula>
    </cfRule>
  </conditionalFormatting>
  <conditionalFormatting sqref="B34:H35">
    <cfRule type="expression" dxfId="625" priority="36">
      <formula>$K$34=0</formula>
    </cfRule>
  </conditionalFormatting>
  <conditionalFormatting sqref="B38:H43 B45:H50 B44:C44">
    <cfRule type="expression" dxfId="624" priority="3">
      <formula>$K$40=0</formula>
    </cfRule>
  </conditionalFormatting>
  <conditionalFormatting sqref="B96:H98">
    <cfRule type="expression" dxfId="623" priority="109">
      <formula>$M$96=0</formula>
    </cfRule>
  </conditionalFormatting>
  <conditionalFormatting sqref="B106:H109">
    <cfRule type="expression" dxfId="622" priority="110">
      <formula>$K$108=0</formula>
    </cfRule>
  </conditionalFormatting>
  <conditionalFormatting sqref="F75">
    <cfRule type="cellIs" dxfId="621" priority="61" operator="notEqual">
      <formula>"&lt;select one&gt;"</formula>
    </cfRule>
  </conditionalFormatting>
  <conditionalFormatting sqref="F84">
    <cfRule type="cellIs" dxfId="620" priority="83" operator="notEqual">
      <formula>""</formula>
    </cfRule>
  </conditionalFormatting>
  <conditionalFormatting sqref="F83">
    <cfRule type="cellIs" dxfId="619" priority="82" operator="notEqual">
      <formula>"&lt;select one&gt;"</formula>
    </cfRule>
  </conditionalFormatting>
  <conditionalFormatting sqref="F92">
    <cfRule type="cellIs" dxfId="618" priority="98" operator="notEqual">
      <formula>""</formula>
    </cfRule>
  </conditionalFormatting>
  <conditionalFormatting sqref="F91">
    <cfRule type="cellIs" dxfId="617" priority="97" operator="notEqual">
      <formula>"&lt;select one&gt;"</formula>
    </cfRule>
  </conditionalFormatting>
  <conditionalFormatting sqref="B73:H73 B75:H78 B74:F74 B81:H86 B89:H94 B126:H130 B133:H137">
    <cfRule type="expression" dxfId="616" priority="59">
      <formula>$K73=0</formula>
    </cfRule>
  </conditionalFormatting>
  <conditionalFormatting sqref="B80:H87">
    <cfRule type="expression" dxfId="615" priority="68">
      <formula>$M$80=0</formula>
    </cfRule>
  </conditionalFormatting>
  <conditionalFormatting sqref="B88:H95">
    <cfRule type="expression" dxfId="614" priority="89">
      <formula>$M$88=0</formula>
    </cfRule>
  </conditionalFormatting>
  <conditionalFormatting sqref="B125:H131">
    <cfRule type="expression" dxfId="613" priority="125">
      <formula>$M$125=0</formula>
    </cfRule>
  </conditionalFormatting>
  <conditionalFormatting sqref="B132:H138">
    <cfRule type="expression" dxfId="612" priority="139">
      <formula>$M$132=0</formula>
    </cfRule>
  </conditionalFormatting>
  <conditionalFormatting sqref="A12:H16">
    <cfRule type="expression" dxfId="611" priority="9">
      <formula>$M$12=0</formula>
    </cfRule>
  </conditionalFormatting>
  <conditionalFormatting sqref="A18:H24 B17:H17">
    <cfRule type="expression" dxfId="610" priority="25">
      <formula>$M$17=0</formula>
    </cfRule>
  </conditionalFormatting>
  <conditionalFormatting sqref="D40">
    <cfRule type="cellIs" dxfId="609" priority="39" operator="notEqual">
      <formula>"&lt;select one&gt;"</formula>
    </cfRule>
  </conditionalFormatting>
  <conditionalFormatting sqref="B52:H53">
    <cfRule type="expression" dxfId="608" priority="44">
      <formula>$M$52=0</formula>
    </cfRule>
  </conditionalFormatting>
  <conditionalFormatting sqref="B56:H58">
    <cfRule type="expression" dxfId="607" priority="50">
      <formula>$M$56=0</formula>
    </cfRule>
  </conditionalFormatting>
  <conditionalFormatting sqref="F112">
    <cfRule type="cellIs" dxfId="606" priority="116" operator="notEqual">
      <formula>""</formula>
    </cfRule>
  </conditionalFormatting>
  <conditionalFormatting sqref="F113">
    <cfRule type="cellIs" dxfId="605" priority="119" operator="notEqual">
      <formula>""</formula>
    </cfRule>
  </conditionalFormatting>
  <conditionalFormatting sqref="H112">
    <cfRule type="cellIs" dxfId="604" priority="117" operator="notEqual">
      <formula>""</formula>
    </cfRule>
  </conditionalFormatting>
  <conditionalFormatting sqref="C112:H120">
    <cfRule type="expression" dxfId="603" priority="112">
      <formula>$K112=0</formula>
    </cfRule>
  </conditionalFormatting>
  <conditionalFormatting sqref="C141">
    <cfRule type="cellIs" dxfId="602" priority="177" stopIfTrue="1" operator="equal">
      <formula>""</formula>
    </cfRule>
    <cfRule type="cellIs" dxfId="601" priority="181" operator="notEqual">
      <formula>"&lt;select one&gt;"</formula>
    </cfRule>
  </conditionalFormatting>
  <conditionalFormatting sqref="A139:H142">
    <cfRule type="expression" dxfId="600" priority="169">
      <formula>$K$141=0</formula>
    </cfRule>
  </conditionalFormatting>
  <conditionalFormatting sqref="B15:H15">
    <cfRule type="expression" dxfId="599" priority="24">
      <formula>DS_ExcelCheckBox_AtLeast80=TRUE</formula>
    </cfRule>
  </conditionalFormatting>
  <conditionalFormatting sqref="B14:H14">
    <cfRule type="expression" dxfId="598" priority="12">
      <formula>DS_ExcelCheckBox_LessThan80=TRUE</formula>
    </cfRule>
  </conditionalFormatting>
  <conditionalFormatting sqref="F77">
    <cfRule type="cellIs" dxfId="597" priority="63" operator="notEqual">
      <formula>""</formula>
    </cfRule>
  </conditionalFormatting>
  <conditionalFormatting sqref="F78">
    <cfRule type="expression" dxfId="596" priority="65">
      <formula>AND(F78&lt;&gt;"",OR(N(F78)&gt;YEAR(NOW())))</formula>
    </cfRule>
    <cfRule type="cellIs" dxfId="595" priority="66" operator="notEqual">
      <formula>""</formula>
    </cfRule>
  </conditionalFormatting>
  <conditionalFormatting sqref="G77:H77">
    <cfRule type="cellIs" dxfId="594" priority="64" operator="notEqual">
      <formula>""</formula>
    </cfRule>
  </conditionalFormatting>
  <conditionalFormatting sqref="G78:H78">
    <cfRule type="cellIs" dxfId="593" priority="67" operator="notEqual">
      <formula>""</formula>
    </cfRule>
  </conditionalFormatting>
  <conditionalFormatting sqref="F85">
    <cfRule type="cellIs" dxfId="592" priority="84" operator="notEqual">
      <formula>""</formula>
    </cfRule>
  </conditionalFormatting>
  <conditionalFormatting sqref="F86">
    <cfRule type="expression" dxfId="591" priority="86">
      <formula>AND(F86&lt;&gt;"",OR(N(F86)&gt;YEAR(NOW())))</formula>
    </cfRule>
    <cfRule type="cellIs" dxfId="590" priority="87" operator="notEqual">
      <formula>""</formula>
    </cfRule>
  </conditionalFormatting>
  <conditionalFormatting sqref="G85:H85">
    <cfRule type="cellIs" dxfId="589" priority="85" operator="notEqual">
      <formula>""</formula>
    </cfRule>
  </conditionalFormatting>
  <conditionalFormatting sqref="G86:H86">
    <cfRule type="cellIs" dxfId="588" priority="88" operator="notEqual">
      <formula>""</formula>
    </cfRule>
  </conditionalFormatting>
  <conditionalFormatting sqref="F93">
    <cfRule type="cellIs" dxfId="587" priority="99" operator="notEqual">
      <formula>""</formula>
    </cfRule>
  </conditionalFormatting>
  <conditionalFormatting sqref="F94">
    <cfRule type="expression" dxfId="586" priority="105">
      <formula>AND(F94&lt;&gt;"",OR(N(F94)&gt;YEAR(NOW())))</formula>
    </cfRule>
    <cfRule type="cellIs" dxfId="585" priority="108" operator="notEqual">
      <formula>""</formula>
    </cfRule>
  </conditionalFormatting>
  <conditionalFormatting sqref="G93:H93">
    <cfRule type="cellIs" dxfId="584" priority="100" operator="notEqual">
      <formula>""</formula>
    </cfRule>
  </conditionalFormatting>
  <conditionalFormatting sqref="G94:H94">
    <cfRule type="cellIs" dxfId="583" priority="104" operator="notEqual">
      <formula>""</formula>
    </cfRule>
  </conditionalFormatting>
  <conditionalFormatting sqref="C170">
    <cfRule type="cellIs" dxfId="582" priority="223" stopIfTrue="1" operator="equal">
      <formula>""</formula>
    </cfRule>
    <cfRule type="cellIs" dxfId="581" priority="224" operator="notEqual">
      <formula>"&lt;select one&gt;"</formula>
    </cfRule>
  </conditionalFormatting>
  <conditionalFormatting sqref="A169:H172">
    <cfRule type="expression" dxfId="580" priority="222">
      <formula>$K$170=0</formula>
    </cfRule>
  </conditionalFormatting>
  <conditionalFormatting sqref="B122:H138">
    <cfRule type="expression" dxfId="579" priority="122">
      <formula>$M$122=0</formula>
    </cfRule>
  </conditionalFormatting>
  <conditionalFormatting sqref="C174">
    <cfRule type="cellIs" dxfId="578" priority="226" stopIfTrue="1" operator="equal">
      <formula>""</formula>
    </cfRule>
    <cfRule type="cellIs" dxfId="577" priority="229" operator="notEqual">
      <formula>"&lt;select one&gt;"</formula>
    </cfRule>
  </conditionalFormatting>
  <conditionalFormatting sqref="C178">
    <cfRule type="cellIs" dxfId="576" priority="1281" stopIfTrue="1" operator="equal">
      <formula>""</formula>
    </cfRule>
    <cfRule type="cellIs" dxfId="575" priority="1286" operator="notEqual">
      <formula>"&lt;select one&gt;"</formula>
    </cfRule>
  </conditionalFormatting>
  <conditionalFormatting sqref="A173:H176">
    <cfRule type="expression" dxfId="574" priority="225">
      <formula>$K$174=0</formula>
    </cfRule>
  </conditionalFormatting>
  <conditionalFormatting sqref="A177:H180">
    <cfRule type="expression" dxfId="573" priority="230">
      <formula>$K$178=0</formula>
    </cfRule>
  </conditionalFormatting>
  <conditionalFormatting sqref="A168:H180">
    <cfRule type="expression" dxfId="572" priority="221">
      <formula>SUM($K$170:$K$178)=0</formula>
    </cfRule>
  </conditionalFormatting>
  <conditionalFormatting sqref="B158:H166">
    <cfRule type="expression" dxfId="571" priority="207">
      <formula>$K158=0</formula>
    </cfRule>
  </conditionalFormatting>
  <conditionalFormatting sqref="A157:H167">
    <cfRule type="expression" dxfId="570" priority="206">
      <formula>$M$157=0</formula>
    </cfRule>
  </conditionalFormatting>
  <conditionalFormatting sqref="E155:H155">
    <cfRule type="cellIs" dxfId="569" priority="202" operator="notEqual">
      <formula>"This area intentionally left blank."</formula>
    </cfRule>
  </conditionalFormatting>
  <conditionalFormatting sqref="D154:H155">
    <cfRule type="expression" dxfId="568" priority="201">
      <formula>$M$155=0</formula>
    </cfRule>
  </conditionalFormatting>
  <conditionalFormatting sqref="G11:H11">
    <cfRule type="cellIs" dxfId="567" priority="21" operator="notEqual">
      <formula>""</formula>
    </cfRule>
  </conditionalFormatting>
  <conditionalFormatting sqref="B54:H55">
    <cfRule type="expression" dxfId="566" priority="45">
      <formula>$M$54=0</formula>
    </cfRule>
  </conditionalFormatting>
  <conditionalFormatting sqref="A19:H23">
    <cfRule type="expression" dxfId="565" priority="28">
      <formula>$K19=0</formula>
    </cfRule>
  </conditionalFormatting>
  <conditionalFormatting sqref="H27">
    <cfRule type="cellIs" dxfId="564" priority="33" operator="notEqual">
      <formula>"&lt;select one&gt;"</formula>
    </cfRule>
  </conditionalFormatting>
  <conditionalFormatting sqref="A26:H28 B25:H25">
    <cfRule type="expression" dxfId="563" priority="32">
      <formula>$K$27=0</formula>
    </cfRule>
  </conditionalFormatting>
  <conditionalFormatting sqref="A17">
    <cfRule type="expression" dxfId="562" priority="8">
      <formula>$M$17=0</formula>
    </cfRule>
  </conditionalFormatting>
  <conditionalFormatting sqref="A25">
    <cfRule type="expression" dxfId="561" priority="7">
      <formula>$M$12=0</formula>
    </cfRule>
  </conditionalFormatting>
  <conditionalFormatting sqref="H49">
    <cfRule type="cellIs" dxfId="560" priority="38" operator="notEqual">
      <formula>""</formula>
    </cfRule>
  </conditionalFormatting>
  <conditionalFormatting sqref="B49:H50">
    <cfRule type="expression" dxfId="559" priority="6">
      <formula>$K$49=0</formula>
    </cfRule>
  </conditionalFormatting>
  <conditionalFormatting sqref="D44">
    <cfRule type="expression" dxfId="558" priority="2">
      <formula>$K$40=0</formula>
    </cfRule>
  </conditionalFormatting>
  <conditionalFormatting sqref="B41:H43 B45:H48">
    <cfRule type="expression" dxfId="557" priority="1">
      <formula>$M$42=0</formula>
    </cfRule>
  </conditionalFormatting>
  <dataValidations count="9">
    <dataValidation type="list" allowBlank="1" showInputMessage="1" showErrorMessage="1" sqref="G34 D40 C141 C170 C174 C178 H27" xr:uid="{EE622EE2-086B-4DC4-9639-FD4DAABD8AFF}">
      <formula1>"&lt;select one&gt;, Yes, No"</formula1>
    </dataValidation>
    <dataValidation type="list" allowBlank="1" showInputMessage="1" showErrorMessage="1" sqref="F163 F117 F150" xr:uid="{1E7D68E6-23C2-4D5B-A015-EB7C1BD60A48}">
      <formula1>DS_States_DDMenu</formula1>
    </dataValidation>
    <dataValidation type="list" allowBlank="1" showInputMessage="1" showErrorMessage="1" sqref="F10" xr:uid="{5D954478-5EEB-42C3-A9C8-44EB7D0B99B4}">
      <formula1>DS_Demo_DDMenu</formula1>
    </dataValidation>
    <dataValidation type="list" allowBlank="1" showInputMessage="1" showErrorMessage="1" sqref="D108:E108" xr:uid="{50D70168-4D9E-461E-BFAD-650DA9629D6F}">
      <formula1>DS_Priority_DDMenu</formula1>
    </dataValidation>
    <dataValidation type="list" allowBlank="1" showInputMessage="1" showErrorMessage="1" sqref="F135 F128" xr:uid="{68019A2E-27E3-4C39-98E7-7A1709A55586}">
      <formula1>DS_Managing_DDMenu</formula1>
    </dataValidation>
    <dataValidation type="custom" allowBlank="1" showInputMessage="1" showErrorMessage="1" sqref="K32 K178 K61:K63 K69:K70 K34 K108 K112:K120 N19:N23 K145:K153 N123 K10 K170 K40 N158:N166 K14:K15 K141 K158:K166 K174 K123 K19:K23 K73:K78 K81:K86 K49 K89:K94 N89:N94 K27 N81:N86 K126:K130 N126:N130 K133:K137 N133:N137" xr:uid="{E109FDF8-245F-47C5-B0C0-C57B6170FA70}">
      <formula1>AND(K10&gt;=0,K10&lt;3,K10=ROUND(K10,0))</formula1>
    </dataValidation>
    <dataValidation type="list" allowBlank="1" showInputMessage="1" showErrorMessage="1" sqref="F75 F83 F91" xr:uid="{96FA4B39-53A5-44BD-BF74-A1AB9F43A448}">
      <formula1>DS_DevExpProgs_DDMenu</formula1>
    </dataValidation>
    <dataValidation type="whole" allowBlank="1" showErrorMessage="1" error="Please enter a whole number." sqref="F78 F86 F94" xr:uid="{FA9075D2-0D99-45E7-AAED-C6AF402F609D}">
      <formula1>0</formula1>
      <formula2>60000</formula2>
    </dataValidation>
    <dataValidation type="whole" allowBlank="1" showErrorMessage="1" error="Please enter a whole number." sqref="F77 F85 F93" xr:uid="{358741F8-ECDC-40B5-A7AC-98BABFA3007D}">
      <formula1>0</formula1>
      <formula2>3000</formula2>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ignoredErrors>
    <ignoredError sqref="B60 B65 B67 B1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0355" r:id="rId4" name="Check Box 3">
              <controlPr locked="0" defaultSize="0" autoFill="0" autoLine="0" autoPict="0" altText="">
                <anchor moveWithCells="1">
                  <from>
                    <xdr:col>1</xdr:col>
                    <xdr:colOff>25400</xdr:colOff>
                    <xdr:row>17</xdr:row>
                    <xdr:rowOff>114300</xdr:rowOff>
                  </from>
                  <to>
                    <xdr:col>4</xdr:col>
                    <xdr:colOff>482600</xdr:colOff>
                    <xdr:row>18</xdr:row>
                    <xdr:rowOff>215900</xdr:rowOff>
                  </to>
                </anchor>
              </controlPr>
            </control>
          </mc:Choice>
        </mc:AlternateContent>
        <mc:AlternateContent xmlns:mc="http://schemas.openxmlformats.org/markup-compatibility/2006">
          <mc:Choice Requires="x14">
            <control shapeId="100356" r:id="rId5" name="Check Box 4">
              <controlPr locked="0" defaultSize="0" autoFill="0" autoLine="0" autoPict="0" altText="">
                <anchor moveWithCells="1">
                  <from>
                    <xdr:col>1</xdr:col>
                    <xdr:colOff>25400</xdr:colOff>
                    <xdr:row>18</xdr:row>
                    <xdr:rowOff>374650</xdr:rowOff>
                  </from>
                  <to>
                    <xdr:col>4</xdr:col>
                    <xdr:colOff>482600</xdr:colOff>
                    <xdr:row>19</xdr:row>
                    <xdr:rowOff>222250</xdr:rowOff>
                  </to>
                </anchor>
              </controlPr>
            </control>
          </mc:Choice>
        </mc:AlternateContent>
        <mc:AlternateContent xmlns:mc="http://schemas.openxmlformats.org/markup-compatibility/2006">
          <mc:Choice Requires="x14">
            <control shapeId="100357" r:id="rId6" name="Check Box 5">
              <controlPr locked="0" defaultSize="0" autoFill="0" autoLine="0" autoPict="0" altText="">
                <anchor moveWithCells="1">
                  <from>
                    <xdr:col>1</xdr:col>
                    <xdr:colOff>25400</xdr:colOff>
                    <xdr:row>19</xdr:row>
                    <xdr:rowOff>374650</xdr:rowOff>
                  </from>
                  <to>
                    <xdr:col>4</xdr:col>
                    <xdr:colOff>482600</xdr:colOff>
                    <xdr:row>20</xdr:row>
                    <xdr:rowOff>222250</xdr:rowOff>
                  </to>
                </anchor>
              </controlPr>
            </control>
          </mc:Choice>
        </mc:AlternateContent>
        <mc:AlternateContent xmlns:mc="http://schemas.openxmlformats.org/markup-compatibility/2006">
          <mc:Choice Requires="x14">
            <control shapeId="100358" r:id="rId7" name="Check Box 6">
              <controlPr locked="0" defaultSize="0" autoFill="0" autoLine="0" autoPict="0" altText="">
                <anchor moveWithCells="1">
                  <from>
                    <xdr:col>1</xdr:col>
                    <xdr:colOff>31750</xdr:colOff>
                    <xdr:row>20</xdr:row>
                    <xdr:rowOff>533400</xdr:rowOff>
                  </from>
                  <to>
                    <xdr:col>4</xdr:col>
                    <xdr:colOff>482600</xdr:colOff>
                    <xdr:row>21</xdr:row>
                    <xdr:rowOff>215900</xdr:rowOff>
                  </to>
                </anchor>
              </controlPr>
            </control>
          </mc:Choice>
        </mc:AlternateContent>
        <mc:AlternateContent xmlns:mc="http://schemas.openxmlformats.org/markup-compatibility/2006">
          <mc:Choice Requires="x14">
            <control shapeId="100359" r:id="rId8" name="Check Box 7">
              <controlPr locked="0" defaultSize="0" autoFill="0" autoLine="0" autoPict="0" altText="">
                <anchor moveWithCells="1">
                  <from>
                    <xdr:col>1</xdr:col>
                    <xdr:colOff>31750</xdr:colOff>
                    <xdr:row>21</xdr:row>
                    <xdr:rowOff>203200</xdr:rowOff>
                  </from>
                  <to>
                    <xdr:col>4</xdr:col>
                    <xdr:colOff>482600</xdr:colOff>
                    <xdr:row>22</xdr:row>
                    <xdr:rowOff>215900</xdr:rowOff>
                  </to>
                </anchor>
              </controlPr>
            </control>
          </mc:Choice>
        </mc:AlternateContent>
        <mc:AlternateContent xmlns:mc="http://schemas.openxmlformats.org/markup-compatibility/2006">
          <mc:Choice Requires="x14">
            <control shapeId="100361" r:id="rId9" name="Check Box 9">
              <controlPr locked="0" defaultSize="0" autoFill="0" autoLine="0" autoPict="0">
                <anchor moveWithCells="1">
                  <from>
                    <xdr:col>1</xdr:col>
                    <xdr:colOff>25400</xdr:colOff>
                    <xdr:row>12</xdr:row>
                    <xdr:rowOff>114300</xdr:rowOff>
                  </from>
                  <to>
                    <xdr:col>4</xdr:col>
                    <xdr:colOff>482600</xdr:colOff>
                    <xdr:row>13</xdr:row>
                    <xdr:rowOff>222250</xdr:rowOff>
                  </to>
                </anchor>
              </controlPr>
            </control>
          </mc:Choice>
        </mc:AlternateContent>
        <mc:AlternateContent xmlns:mc="http://schemas.openxmlformats.org/markup-compatibility/2006">
          <mc:Choice Requires="x14">
            <control shapeId="100362" r:id="rId10" name="Check Box 10">
              <controlPr locked="0" defaultSize="0" autoFill="0" autoLine="0" autoPict="0" altText="">
                <anchor moveWithCells="1">
                  <from>
                    <xdr:col>1</xdr:col>
                    <xdr:colOff>25400</xdr:colOff>
                    <xdr:row>13</xdr:row>
                    <xdr:rowOff>762000</xdr:rowOff>
                  </from>
                  <to>
                    <xdr:col>4</xdr:col>
                    <xdr:colOff>482600</xdr:colOff>
                    <xdr:row>14</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C9E182FF-7CFF-4AAF-9E94-BBECB8DF2E30}">
            <xm:f>Data1!$E$602="Yes"</xm:f>
            <x14:dxf>
              <font>
                <color theme="0"/>
              </font>
              <fill>
                <patternFill>
                  <bgColor theme="0"/>
                </patternFill>
              </fill>
              <border>
                <left/>
                <right/>
                <top/>
                <bottom/>
              </border>
            </x14:dxf>
          </x14:cfRule>
          <xm:sqref>K2:N3 K10:M10 M12 K14:M15 M17 K19:N23 K27:M27 K32:M32 K34:M34 K40:M40 K49:M49 M52:N52 M54 M56 K61:M63 K69:M70 K73:M78 M80 M88 K89:N94 M96 K108:M108 K112:N120 M122 K123:N123 M125 M132 K141:M141 K145:M153 M157 M155 K158:N166 K170:M170 K174:M174 K178:M178 K81:N86 M48:N48 N47 M42 K126:N130 K133:N137</xm:sqref>
        </x14:conditionalFormatting>
        <x14:conditionalFormatting xmlns:xm="http://schemas.microsoft.com/office/excel/2006/main">
          <x14:cfRule type="expression" priority="30" id="{00000000-000E-0000-0800-00000D000000}">
            <xm:f>Data1!$B28=TRUE</xm:f>
            <x14:dxf>
              <fill>
                <patternFill>
                  <bgColor theme="9" tint="0.79998168889431442"/>
                </patternFill>
              </fill>
            </x14:dxf>
          </x14:cfRule>
          <xm:sqref>B19:H23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83"/>
  <sheetViews>
    <sheetView showGridLines="0" zoomScaleNormal="100" zoomScaleSheetLayoutView="100" workbookViewId="0">
      <pane ySplit="2" topLeftCell="A3" activePane="bottomLeft" state="frozen"/>
      <selection pane="bottomLeft" activeCell="G3" sqref="G3:I3"/>
    </sheetView>
  </sheetViews>
  <sheetFormatPr defaultColWidth="9.1796875" defaultRowHeight="14.5"/>
  <cols>
    <col min="1" max="1" width="3" style="14" customWidth="1"/>
    <col min="2" max="3" width="3.54296875" style="14" customWidth="1"/>
    <col min="4" max="4" width="4.453125" style="14" customWidth="1"/>
    <col min="5" max="5" width="23.81640625" style="14" customWidth="1"/>
    <col min="6" max="6" width="16.1796875" style="14" customWidth="1"/>
    <col min="7" max="8" width="19" style="14" customWidth="1"/>
    <col min="9" max="9" width="18.81640625" style="14" customWidth="1"/>
    <col min="10" max="10" width="8.81640625" style="389" customWidth="1"/>
    <col min="11" max="11" width="3.54296875" style="389" customWidth="1"/>
    <col min="12" max="13" width="3.54296875" style="389" hidden="1" customWidth="1"/>
    <col min="14" max="14" width="35.81640625" style="14" hidden="1" customWidth="1"/>
    <col min="15" max="15" width="3.54296875" style="14" hidden="1" customWidth="1"/>
    <col min="16" max="16384" width="9.1796875" style="14"/>
  </cols>
  <sheetData>
    <row r="1" spans="1:28" ht="35.9" customHeight="1" thickBot="1">
      <c r="A1" s="2115" t="s">
        <v>256</v>
      </c>
      <c r="B1" s="2116"/>
      <c r="C1" s="2116"/>
      <c r="D1" s="2116"/>
      <c r="E1" s="2116"/>
      <c r="F1" s="2116"/>
      <c r="G1" s="2116"/>
      <c r="H1" s="2116"/>
      <c r="I1" s="2117"/>
      <c r="K1" s="2142" t="str">
        <f>"There are "&amp;TEXT(COUNTIF($L$3:$L$73,"=1"),"0")&amp;" required input fields and "&amp;TEXT(COUNTIF($L$3:$L$73,"=2"),"0")&amp;" optional input fields tracked on this tab."&amp;CHAR(10)&amp;"There "&amp;IF(COUNTIFS($L$3:$L$73,"=1",$M$3:$M$73,"=1")=1,"is 1 required input field ","are "&amp;TEXT(COUNTIFS($L$3:$L$73,"=1",$M$3:$M$73,"=1"),"0")&amp;" required input fields")&amp;" and "&amp;TEXT(COUNTIFS($L$3:$L$73,"=2",$M$3:$M$73,"=2"),"0")&amp;" optional input field"&amp;IF(COUNTIFS($L$3:$L$73,"=2",$M$3:$M$73,"=2")=1," with an entry","s with entries")&amp;" tracked on this tab."&amp;CHAR(10)&amp;"There "&amp;IF(Data1!G603=1,"is ","are ")&amp;TEXT(Data1!G603,"0")&amp;" required input field"&amp;IF(Data1!G603=1," that need an entry","s that need entries")&amp;" and "&amp;TEXT(Data1!H603,"0")&amp;" optional input field"&amp;IF(Data1!H603=1," that may or may not need an entry","s that may or may not need entries")&amp;" tracked on this tab."</f>
        <v>There are 3 required input fields and 5 optional input fields tracked on this tab.
There are 0 required input fields and 0 optional input fields with entries tracked on this tab.
There are 3 required input fields that need entries and 5 optional input fields that may or may not need entries tracked on this tab.</v>
      </c>
      <c r="L1" s="2142"/>
      <c r="M1" s="2142"/>
      <c r="N1" s="2142"/>
      <c r="O1" s="2142"/>
      <c r="P1" s="2142"/>
      <c r="Q1" s="2142"/>
      <c r="R1" s="2142"/>
      <c r="S1" s="2142"/>
      <c r="T1" s="2142"/>
      <c r="U1" s="2142"/>
      <c r="V1" s="2142"/>
      <c r="W1" s="2142"/>
      <c r="X1" s="2142"/>
      <c r="Y1" s="2142"/>
      <c r="Z1" s="2142"/>
      <c r="AA1" s="2142"/>
      <c r="AB1" s="2142"/>
    </row>
    <row r="2" spans="1:28">
      <c r="A2" s="16"/>
      <c r="B2" s="16"/>
      <c r="C2" s="16"/>
      <c r="D2" s="16"/>
      <c r="E2" s="16"/>
      <c r="F2" s="16"/>
      <c r="G2" s="16"/>
      <c r="H2" s="16"/>
      <c r="I2" s="16"/>
      <c r="J2" s="380"/>
      <c r="K2" s="2142"/>
      <c r="L2" s="2142"/>
      <c r="M2" s="2142"/>
      <c r="N2" s="2142"/>
      <c r="O2" s="2142"/>
      <c r="P2" s="2142"/>
      <c r="Q2" s="2142"/>
      <c r="R2" s="2142"/>
      <c r="S2" s="2142"/>
      <c r="T2" s="2142"/>
      <c r="U2" s="2142"/>
      <c r="V2" s="2142"/>
      <c r="W2" s="2142"/>
      <c r="X2" s="2142"/>
      <c r="Y2" s="2142"/>
      <c r="Z2" s="2142"/>
      <c r="AA2" s="2142"/>
      <c r="AB2" s="2142"/>
    </row>
    <row r="3" spans="1:28" s="29" customFormat="1" ht="17.5" customHeight="1">
      <c r="A3" s="1067" t="s">
        <v>206</v>
      </c>
      <c r="B3" s="2194" t="s">
        <v>257</v>
      </c>
      <c r="C3" s="2194"/>
      <c r="D3" s="2194"/>
      <c r="E3" s="2194"/>
      <c r="F3" s="2194"/>
      <c r="G3" s="2195"/>
      <c r="H3" s="2195"/>
      <c r="I3" s="2195"/>
      <c r="J3" s="390"/>
      <c r="K3" s="390"/>
      <c r="L3" s="569">
        <v>1</v>
      </c>
      <c r="M3" s="387">
        <f>IF(AND(L3&lt;&gt;0,G3&lt;&gt;""),L3,0)</f>
        <v>0</v>
      </c>
      <c r="N3" s="1583" t="str">
        <f>CHOOSE(L3+1,"Not to be included in this RFA","A REQUIRED input field for this RFA","An OPTIONAL input field for this RFA")</f>
        <v>A REQUIRED input field for this RFA</v>
      </c>
    </row>
    <row r="4" spans="1:28" s="32" customFormat="1" ht="14.5" customHeight="1">
      <c r="A4" s="30"/>
      <c r="B4" s="30"/>
      <c r="C4" s="1374" t="str">
        <f>IF(G3="","(The Name of the Proposed Development must have an entry to turn on some of the validation formulas in Exhibit A)","")</f>
        <v>(The Name of the Proposed Development must have an entry to turn on some of the validation formulas in Exhibit A)</v>
      </c>
      <c r="D4" s="30"/>
      <c r="E4" s="30"/>
      <c r="F4" s="30"/>
      <c r="G4" s="31"/>
      <c r="H4" s="31"/>
      <c r="I4" s="30"/>
      <c r="J4" s="31"/>
      <c r="K4" s="31"/>
      <c r="L4" s="2147" t="s">
        <v>1772</v>
      </c>
      <c r="M4" s="2147"/>
      <c r="N4" s="2147"/>
      <c r="O4" s="2147"/>
    </row>
    <row r="5" spans="1:28" s="29" customFormat="1" ht="14.5" customHeight="1">
      <c r="A5" s="1068" t="s">
        <v>215</v>
      </c>
      <c r="B5" s="150" t="s">
        <v>258</v>
      </c>
      <c r="C5" s="150"/>
      <c r="D5" s="150"/>
      <c r="E5" s="150"/>
      <c r="F5" s="150"/>
      <c r="G5" s="144"/>
      <c r="H5" s="144"/>
      <c r="I5" s="1559"/>
      <c r="J5" s="1559"/>
      <c r="K5" s="1548"/>
      <c r="L5" s="32"/>
      <c r="M5" s="395"/>
    </row>
    <row r="6" spans="1:28" s="29" customFormat="1" ht="17.5" customHeight="1">
      <c r="A6" s="144"/>
      <c r="B6" s="564">
        <v>1</v>
      </c>
      <c r="C6" s="155" t="s">
        <v>259</v>
      </c>
      <c r="D6" s="110"/>
      <c r="F6" s="144"/>
      <c r="G6" s="2192" t="s">
        <v>16</v>
      </c>
      <c r="H6" s="2192"/>
      <c r="I6" s="1559"/>
      <c r="J6" s="1559"/>
      <c r="K6" s="1548"/>
      <c r="L6" s="403">
        <v>3</v>
      </c>
      <c r="M6" s="395">
        <f>IF(AND(L6&lt;&gt;0,AND(G6&lt;&gt;"&lt;select one&gt;",G6&lt;&gt;"")),L6,0)</f>
        <v>3</v>
      </c>
      <c r="N6" s="1583" t="str">
        <f>CHOOSE(L6+1,"Not to be included in this RFA","A REQUIRED input field for this RFA","An OPTIONAL input field for this RFA","Ignored in this RFA")</f>
        <v>Ignored in this RFA</v>
      </c>
      <c r="O6" s="553"/>
    </row>
    <row r="7" spans="1:28" s="29" customFormat="1" ht="14.5" customHeight="1">
      <c r="A7" s="1546"/>
      <c r="F7" s="2193" t="str">
        <f>IF(AND('General Information'!$K$34&lt;&gt;0,Self_Sourced_Applicant="Yes"),IF(Development_Category&lt;&gt;"New Construction","Self-Sourced Applicants must select New Construction",""),"")</f>
        <v/>
      </c>
      <c r="G7" s="2193"/>
      <c r="H7" s="2193"/>
      <c r="I7" s="1548"/>
      <c r="J7" s="1548"/>
      <c r="K7" s="1548"/>
      <c r="L7" s="32"/>
      <c r="M7" s="395"/>
    </row>
    <row r="8" spans="1:28" s="29" customFormat="1" ht="17.5" customHeight="1">
      <c r="A8" s="144"/>
      <c r="B8" s="564">
        <f>IF($N$8=0,"",MAX(B$6:B6)+1)</f>
        <v>2</v>
      </c>
      <c r="C8" s="1492" t="s">
        <v>1749</v>
      </c>
      <c r="D8" s="1491"/>
      <c r="E8" s="1491"/>
      <c r="F8" s="1491"/>
      <c r="G8" s="1491"/>
      <c r="H8" s="1491"/>
      <c r="I8" s="1267"/>
      <c r="J8" s="390"/>
      <c r="K8" s="390"/>
      <c r="L8" s="32"/>
      <c r="M8" s="395"/>
      <c r="N8" s="561">
        <v>1</v>
      </c>
    </row>
    <row r="9" spans="1:28" s="29" customFormat="1" ht="7.5" customHeight="1">
      <c r="A9" s="1445"/>
      <c r="B9" s="136"/>
      <c r="C9" s="1446"/>
      <c r="D9" s="1446"/>
      <c r="E9" s="1446"/>
      <c r="F9" s="1446"/>
      <c r="G9" s="1446"/>
      <c r="H9" s="1268"/>
      <c r="I9" s="1465"/>
      <c r="J9" s="390"/>
      <c r="K9" s="390"/>
      <c r="L9" s="32"/>
      <c r="M9" s="395"/>
      <c r="O9" s="32"/>
    </row>
    <row r="10" spans="1:28" s="29" customFormat="1" ht="30" customHeight="1">
      <c r="A10" s="1468"/>
      <c r="B10" s="136"/>
      <c r="C10" s="2103" t="str">
        <f>IF(OR(Development_Category="Redevelopment",Development_Category="Acquisition and Redevelopment",Development_Category="Preservation",Development_Category="Acquisition and Preservation"),"Provide the Development Category Qualification Letter as Attachment 6 and using the criteria described in Section Four.","This area intentionally left blank.")</f>
        <v>This area intentionally left blank.</v>
      </c>
      <c r="D10" s="2103"/>
      <c r="E10" s="2103"/>
      <c r="F10" s="2103"/>
      <c r="G10" s="2103"/>
      <c r="H10" s="2103"/>
      <c r="I10" s="2103"/>
      <c r="J10" s="390"/>
      <c r="K10" s="390"/>
      <c r="L10" s="32"/>
      <c r="M10" s="395"/>
      <c r="N10" s="1587">
        <v>1</v>
      </c>
      <c r="O10" s="32"/>
    </row>
    <row r="11" spans="1:28" s="29" customFormat="1" ht="7.5" customHeight="1">
      <c r="A11" s="1468"/>
      <c r="B11" s="136"/>
      <c r="C11" s="1467"/>
      <c r="D11" s="1467"/>
      <c r="E11" s="1467"/>
      <c r="F11" s="1467"/>
      <c r="G11" s="1467"/>
      <c r="H11" s="1268"/>
      <c r="I11" s="1465"/>
      <c r="J11" s="390"/>
      <c r="K11" s="390"/>
      <c r="L11" s="32"/>
      <c r="M11" s="395"/>
      <c r="O11" s="32"/>
    </row>
    <row r="12" spans="1:28" s="29" customFormat="1" ht="34" hidden="1" customHeight="1">
      <c r="A12" s="1445"/>
      <c r="B12" s="136"/>
      <c r="C12" s="2179" t="str">
        <f>"Does the Unit Characteristics Chart below demonstrate that "&amp;IF(OR(Development_Category="Rehabilitation",Development_Category="Acquisition and Rehabilitation"),"less than "&amp;TEXT(Data1!B197*100,"0"),IF(OR(Development_Category="Preservation",Development_Category="Acquisition and Preservation"),"less than "&amp;TEXT(Data1!B174*100,"0"),IF(OR(Development_Category="Redevelopment",Development_Category="Acquisition and Redevelopment"),"at least "&amp;TEXT(Data1!B165*100,"0"),"at least "&amp;TEXT(Data1!B158*100,"0"))))&amp;" percent of the total units consist of new construction?"</f>
        <v>Does the Unit Characteristics Chart below demonstrate that at least 50 percent of the total units consist of new construction?</v>
      </c>
      <c r="D12" s="2180"/>
      <c r="E12" s="2180"/>
      <c r="F12" s="2180"/>
      <c r="G12" s="2180"/>
      <c r="H12" s="2180"/>
      <c r="I12" s="1575" t="str">
        <f>IF(OR(Development_Category="Rehabilitation",Development_Category="Acquisition and Rehabilitation"),Data1!B200,IF(OR(Development_Category="Preservation",Development_Category="Acquisition and Preservation"),Data1!B177,IF(OR(Development_Category="Redevelopment",Development_Category="Acquisition and Redevelopment"),Data1!B168,Data1!B161)))</f>
        <v>TBD</v>
      </c>
      <c r="J12" s="390"/>
      <c r="K12" s="390"/>
      <c r="L12" s="32"/>
      <c r="M12" s="395"/>
      <c r="N12" s="561">
        <v>0</v>
      </c>
      <c r="O12" s="32"/>
    </row>
    <row r="13" spans="1:28" s="29" customFormat="1" ht="7.5" hidden="1" customHeight="1">
      <c r="A13" s="1445"/>
      <c r="B13" s="136"/>
      <c r="C13" s="2190"/>
      <c r="D13" s="2190"/>
      <c r="E13" s="2190"/>
      <c r="F13" s="2190"/>
      <c r="G13" s="2190"/>
      <c r="H13" s="2190"/>
      <c r="I13" s="2190"/>
      <c r="J13" s="390"/>
      <c r="K13" s="390"/>
      <c r="L13" s="32"/>
      <c r="M13" s="395"/>
      <c r="O13" s="32"/>
    </row>
    <row r="14" spans="1:28" s="29" customFormat="1" ht="52" hidden="1" customHeight="1">
      <c r="A14" s="1445"/>
      <c r="B14" s="2188"/>
      <c r="C14" s="2179" t="str">
        <f>IF(OR(Development_Category="Rehabilitation",Development_Category="Acquisition and Rehabilitation",Development_Category="Preservation",Development_Category="Acquisition and Preservation"),"Does the Development Cost Pro Forma demonstrate that the estimated total amount of rehabilitation expenses is equal to or greater than "&amp;TEXT(IF(OR(Development_Category="Rehabilitation",Development_Category="Acquisition and Rehabilitation"),Data1!B202,Data1!B179)*100,"0")&amp;" percent of the adjusted basis of the acquired building?","This area intentionally left blank.")</f>
        <v>This area intentionally left blank.</v>
      </c>
      <c r="D14" s="2180"/>
      <c r="E14" s="2180"/>
      <c r="F14" s="2180"/>
      <c r="G14" s="2180"/>
      <c r="H14" s="2180"/>
      <c r="I14" s="1575" t="str">
        <f>IF(OR(Development_Category="Rehabilitation",Development_Category="Acquisition and Rehabilitation"),Data1!B207,IF(OR(Development_Category="Preservation",Development_Category="Acquisition and Preservation"),Data1!B184,""))</f>
        <v/>
      </c>
      <c r="J14" s="390"/>
      <c r="K14" s="390"/>
      <c r="L14" s="1576"/>
      <c r="M14" s="395"/>
      <c r="N14" s="1877">
        <f>IF(OR(IFERROR(FIND("Rehab",_xlfn.CONCAT(DS_DevCat_DDMenu)),0)&gt;0,IFERROR(FIND("Pres",_xlfn.CONCAT(DS_DevCat_DDMenu)),0)&gt;0),1,0)</f>
        <v>0</v>
      </c>
      <c r="O14" s="32"/>
    </row>
    <row r="15" spans="1:28" s="29" customFormat="1" ht="34" hidden="1" customHeight="1">
      <c r="A15" s="1445"/>
      <c r="B15" s="2188"/>
      <c r="C15" s="2181" t="str">
        <f>IF(OR(Development_Category="Rehabilitation",Development_Category="Acquisition and Rehabilitation",Development_Category="Preservation",Development_Category="Acquisition and Preservation"),"The stated rehabilitation expenditures of "&amp;TEXT(IF(OR(Development_Category="Rehabilitation",Development_Category="Acquisition and Rehabilitation"),IF(LEFT(Data1!B203,1)="(",0,Data1!B203),IF(LEFT(Data1!B180,1)="(",0,Data1!B180)),"$#,##0")&amp;" is "&amp;IF(OR(Development_Category="Rehabilitation",Development_Category="Acquisition and Rehabilitation"),IF(IF(LEFT(Data1!B203,1)="(",0,Data1!B203)&gt;Data1!B205,"more than",IF(IF(LEFT(Data1!B203,1)="(",0,Data1!B203)=Data1!B205,"equal to",IF(IF(LEFT(Data1!B203,1)="(",0,Data1!B203)&lt;Data1!B205,"less than","TBD"))),IF(IF(LEFT(Data1!B180,1)="(",0,Data1!B180)&gt;Data1!B182,"more than",IF(IF(LEFT(Data1!B180,1)="(",0,Data1!B180)=Data1!B182,"equal to",IF(IF(LEFT(Data1!B180,1)="(",0,Data1!B180)&lt;Data1!B182,"less than","TBD"))))&amp;" "&amp;TEXT(IF(OR(Development_Category="Rehabilitation",Development_Category="Acquisition and Rehabilitation"),Data1!B205,Data1!B182),"$#,##0")&amp;", which is "&amp;TEXT(IF(OR(Development_Category="Rehabilitation",Development_Category="Acquisition and Rehabilitation"),Data1!B202,Data1!B179),"0%")&amp;" of the adjusted basis amount of "&amp;TEXT(IF(OR(Development_Category="Rehabilitation",Development_Category="Acquisition and Rehabilitation"),IF(LEFT(Data1!B204,1)="(",0,Data1!B204),IF(LEFT(Data1!B181,1)="(",0,Data1!B181)),"$#,##0")&amp;".","")</f>
        <v/>
      </c>
      <c r="D15" s="2182"/>
      <c r="E15" s="2182"/>
      <c r="F15" s="2182"/>
      <c r="G15" s="2182"/>
      <c r="H15" s="2182"/>
      <c r="I15" s="2182"/>
      <c r="J15" s="390"/>
      <c r="K15" s="390"/>
      <c r="L15" s="1567"/>
      <c r="M15" s="395"/>
      <c r="N15" s="2149" t="s">
        <v>2077</v>
      </c>
      <c r="O15" s="32"/>
    </row>
    <row r="16" spans="1:28" s="29" customFormat="1" ht="7.5" hidden="1" customHeight="1">
      <c r="A16" s="1445"/>
      <c r="B16" s="2188"/>
      <c r="C16" s="2191"/>
      <c r="D16" s="2191"/>
      <c r="E16" s="2191"/>
      <c r="F16" s="2191"/>
      <c r="G16" s="2191"/>
      <c r="H16" s="2191"/>
      <c r="I16" s="2191"/>
      <c r="J16" s="390"/>
      <c r="K16" s="390"/>
      <c r="L16" s="32"/>
      <c r="M16" s="395"/>
      <c r="N16" s="2150"/>
      <c r="O16" s="32"/>
    </row>
    <row r="17" spans="1:15" s="29" customFormat="1" ht="52" hidden="1" customHeight="1">
      <c r="A17" s="1445"/>
      <c r="B17" s="2188"/>
      <c r="C17" s="2180" t="str">
        <f>IF(OR(Development_Category="Rehabilitation",Development_Category="Acquisition and Rehabilitation",Development_Category="Preservation",Development_Category="Acquisition and Preservation"),"Does the Development Cost Pro Forma demonstrate that the qualified basis of the estimated total amount of rehabilitation expenses per low-income unit must be greater than or equal to "&amp;TEXT(IF(OR(Development_Category="Rehabilitation",Development_Category="Acquisition and Rehabilitation"),Data1!B208,Data1!B185),"$#,##0")&amp;"?","")</f>
        <v/>
      </c>
      <c r="D17" s="2180"/>
      <c r="E17" s="2180"/>
      <c r="F17" s="2180"/>
      <c r="G17" s="2180"/>
      <c r="H17" s="2180"/>
      <c r="I17" s="1575" t="str">
        <f>IF(OR(Development_Category="Rehabilitation",Development_Category="Acquisition and Rehabilitation"),Data1!B214,IF(OR(Development_Category="Preservation",Development_Category="Acquisition and Preservation"),Data1!B191,""))</f>
        <v/>
      </c>
      <c r="J17" s="390"/>
      <c r="K17" s="390"/>
      <c r="L17" s="1576" t="s">
        <v>2125</v>
      </c>
      <c r="M17" s="395"/>
      <c r="O17" s="32"/>
    </row>
    <row r="18" spans="1:15" s="29" customFormat="1" ht="51" hidden="1" customHeight="1">
      <c r="A18" s="1445"/>
      <c r="B18" s="2188"/>
      <c r="C18" s="2182" t="str">
        <f>IF(OR(Development_Category="Rehabilitation",Development_Category="Acquisition and Rehabilitation",Development_Category="Preservation",Development_Category="Acquisition and Preservation"),"Because the Applicant indicated the Development does "&amp;IF(OR(Development_Category="Rehabilitation",Development_Category="Acquisition and Rehabilitation"),IF(Data1!B209=1,"not ",""),IF(Data1!B186=1,"not ",""))&amp;"qualify for the basis boost, the adjusted basis of the rehabilitation expenditures is "&amp;TEXT(IF(OR(Development_Category="Rehabilitation",Development_Category="Acquisition and Rehabilitation"),IF(LEFT(Data1!B212,1)="(",0,Data1!B212),IF(LEFT(Data1!B189,1)="(",0,Data1!B189)),"$#,##0.00")&amp;" ("&amp;TEXT(IF(OR(Development_Category="Rehabilitation",Development_Category="Acquisition and Rehabilitation"),IF(LEFT(Data1!B203,1)="(",0,Data1!B203),IF(LEFT(Data1!B180,1)="(",0,Data1!B180)),"$#,##0.00")&amp;" x "&amp;TEXT(IF(OR(Development_Category="Rehabilitation",Development_Category="Acquisition and Rehabilitation"),Data1!B209,Data1!B186),"0.00")&amp;").  The qualified basis per housing credit unit is "&amp;TEXT(IF(OR(Development_Category="Rehabilitation",Development_Category="Acquisition and Rehabilitation"),IF(LEFT(Data1!B213,1)="(",0,Data1!B213),IF(LEFT(Data1!B190,1)="(",0,Data1!B190)),"$#,##0.00")&amp;", which is "&amp;IF(OR(Development_Category="Rehabilitation",Development_Category="Acquisition and Rehabilitation"),IF(IF(LEFT(Data1!B213,1)="(",0,Data1!B213)&gt;Data1!B208,"greater than ",IF(IF(LEFT(Data1!B213,1)="(",0,Data1!B213)=Data1!B208,"equal to ","less than ")),IF(IF(LEFT(Data1!B190,1)="(",0,Data1!B190)&gt;Data1!B185,"greater than ",IF(IF(LEFT(Data1!B190,1)="(",0,Data1!B190)=Data1!B185,"equal to ","less than ")))&amp;TEXT(IF(OR(Development_Category="Rehabilitation",Development_Category="Acquisition and Rehabilitation"),Data1!B208,Data1!B185),"$#,##0")&amp;".","")</f>
        <v/>
      </c>
      <c r="D18" s="2182"/>
      <c r="E18" s="2182"/>
      <c r="F18" s="2182"/>
      <c r="G18" s="2182"/>
      <c r="H18" s="2182"/>
      <c r="I18" s="2182"/>
      <c r="J18" s="390"/>
      <c r="K18" s="390"/>
      <c r="L18" s="1567" t="s">
        <v>2126</v>
      </c>
      <c r="M18" s="395"/>
      <c r="O18" s="32"/>
    </row>
    <row r="19" spans="1:15" s="29" customFormat="1" ht="7.5" hidden="1" customHeight="1">
      <c r="A19" s="1614"/>
      <c r="B19" s="136"/>
      <c r="C19" s="2189"/>
      <c r="D19" s="2189"/>
      <c r="E19" s="2189"/>
      <c r="F19" s="2189"/>
      <c r="G19" s="2189"/>
      <c r="H19" s="2189"/>
      <c r="I19" s="2189"/>
      <c r="J19" s="390"/>
      <c r="K19" s="390"/>
      <c r="L19" s="32"/>
      <c r="M19" s="395"/>
      <c r="O19" s="32"/>
    </row>
    <row r="20" spans="1:15" s="29" customFormat="1" ht="51" hidden="1" customHeight="1">
      <c r="A20" s="1614"/>
      <c r="B20" s="136"/>
      <c r="C20" s="2180" t="s">
        <v>1827</v>
      </c>
      <c r="D20" s="2180"/>
      <c r="E20" s="2180"/>
      <c r="F20" s="2180"/>
      <c r="G20" s="2180"/>
      <c r="H20" s="2180"/>
      <c r="I20" s="1635" t="str">
        <f>IF(OR(Development_Category="Rehabilitation",Development_Category="Acquisition and Rehabilitation",Development_Category="Preservation",Development_Category="Acquisition and Preservation"),IF(AND(DevCat_Test_Units="Yes",DevCat_Test_RehabExps="Yes",DevCat_Test_QualBasis="Yes"),"Yes","No"),IF(OR(Development_Category="New Construction",Development_Category="Redevelopment",Development_Category="Acquisition and Redevelopment"),DevCat_Test_Units,"NA"))</f>
        <v>TBD</v>
      </c>
      <c r="J20" s="390"/>
      <c r="K20" s="390"/>
      <c r="L20" s="32"/>
      <c r="M20" s="395"/>
      <c r="O20" s="32"/>
    </row>
    <row r="21" spans="1:15" s="29" customFormat="1" ht="7.5" hidden="1" customHeight="1">
      <c r="A21" s="1614"/>
      <c r="B21" s="136"/>
      <c r="C21" s="1616"/>
      <c r="D21" s="1616"/>
      <c r="E21" s="1616"/>
      <c r="F21" s="1616"/>
      <c r="G21" s="1616"/>
      <c r="H21" s="1616"/>
      <c r="I21" s="1615"/>
      <c r="J21" s="390"/>
      <c r="K21" s="390"/>
      <c r="L21" s="32"/>
      <c r="M21" s="395"/>
      <c r="O21" s="32"/>
    </row>
    <row r="22" spans="1:15" s="29" customFormat="1" ht="34" hidden="1" customHeight="1">
      <c r="A22" s="639"/>
      <c r="B22" s="136"/>
      <c r="C22" s="2182" t="str">
        <f>IF(G3="","This area intentionally left blank.",IF(Development_Category="New Construction",Data1!G162,IF(OR(Development_Category="Redevelopment",Development_Category="Acquisition and Redevelopment"),Data1!G171,IF(OR(Development_Category="Preservation",Development_Category="Acquisition and Preservation"),Data1!G194,IF(OR(Development_Category="Rehabilitation",Development_Category="Acquisition and Rehabilitation"),Data1!G215,"This area intentionally left blank.")))))</f>
        <v>This area intentionally left blank.</v>
      </c>
      <c r="D22" s="2182"/>
      <c r="E22" s="2182"/>
      <c r="F22" s="2182"/>
      <c r="G22" s="2182"/>
      <c r="H22" s="2182"/>
      <c r="I22" s="2182"/>
      <c r="J22" s="390"/>
      <c r="K22" s="390"/>
      <c r="L22" s="32"/>
      <c r="M22" s="395"/>
    </row>
    <row r="23" spans="1:15" s="29" customFormat="1" ht="17.5" hidden="1" customHeight="1">
      <c r="A23" s="144"/>
      <c r="B23" s="564" t="str">
        <f>IF($N$23=0,"",MAX(B$6:B22)+1)</f>
        <v/>
      </c>
      <c r="C23" s="155" t="s">
        <v>260</v>
      </c>
      <c r="D23" s="110"/>
      <c r="F23" s="155"/>
      <c r="G23" s="155"/>
      <c r="H23" s="642"/>
      <c r="I23" s="641"/>
      <c r="J23" s="390"/>
      <c r="K23" s="390"/>
      <c r="L23" s="32"/>
      <c r="M23" s="395"/>
      <c r="N23" s="561">
        <v>0</v>
      </c>
    </row>
    <row r="24" spans="1:15" s="29" customFormat="1" ht="14.5" hidden="1" customHeight="1">
      <c r="A24" s="144"/>
      <c r="B24" s="155"/>
      <c r="C24" s="135" t="s">
        <v>217</v>
      </c>
      <c r="D24" s="155" t="s">
        <v>261</v>
      </c>
      <c r="F24" s="155"/>
      <c r="G24" s="155"/>
      <c r="H24" s="642"/>
      <c r="I24" s="641"/>
      <c r="J24" s="390"/>
      <c r="K24" s="390"/>
      <c r="L24" s="32"/>
      <c r="M24" s="395"/>
    </row>
    <row r="25" spans="1:15" s="29" customFormat="1" ht="34.4" hidden="1" customHeight="1">
      <c r="A25" s="144"/>
      <c r="B25" s="144"/>
      <c r="C25" s="144"/>
      <c r="E25" s="2134" t="s">
        <v>262</v>
      </c>
      <c r="F25" s="2134"/>
      <c r="G25" s="2134"/>
      <c r="H25" s="2134"/>
      <c r="I25" s="2134"/>
      <c r="J25" s="390"/>
      <c r="K25" s="390"/>
      <c r="L25" s="32"/>
      <c r="M25" s="395"/>
      <c r="N25" s="395"/>
    </row>
    <row r="26" spans="1:15" s="29" customFormat="1" ht="14.5" hidden="1" customHeight="1">
      <c r="A26" s="144"/>
      <c r="B26" s="144"/>
      <c r="C26" s="135" t="s">
        <v>229</v>
      </c>
      <c r="D26" s="155" t="s">
        <v>263</v>
      </c>
      <c r="F26" s="144"/>
      <c r="G26" s="144"/>
      <c r="H26" s="143"/>
      <c r="I26" s="144"/>
      <c r="J26" s="390"/>
      <c r="K26" s="390"/>
      <c r="L26" s="32"/>
      <c r="M26" s="395"/>
    </row>
    <row r="27" spans="1:15" s="29" customFormat="1" ht="36" hidden="1" customHeight="1">
      <c r="A27" s="144"/>
      <c r="B27" s="144"/>
      <c r="C27" s="144"/>
      <c r="D27" s="144"/>
      <c r="E27" s="2134" t="s">
        <v>264</v>
      </c>
      <c r="F27" s="2134"/>
      <c r="G27" s="2134"/>
      <c r="H27" s="2134"/>
      <c r="I27" s="2134"/>
      <c r="J27" s="392"/>
      <c r="K27" s="392"/>
      <c r="L27" s="32"/>
      <c r="M27" s="395"/>
    </row>
    <row r="28" spans="1:15" s="29" customFormat="1" ht="17.5" hidden="1" customHeight="1">
      <c r="A28" s="144"/>
      <c r="B28" s="144"/>
      <c r="C28" s="144"/>
      <c r="D28" s="144"/>
      <c r="E28" s="137" t="s">
        <v>265</v>
      </c>
      <c r="F28" s="632"/>
      <c r="G28" s="144"/>
      <c r="H28" s="143"/>
      <c r="I28" s="144"/>
      <c r="J28" s="390"/>
      <c r="K28" s="390"/>
      <c r="L28" s="1711">
        <f>IF(N$23=0,0,O28)</f>
        <v>0</v>
      </c>
      <c r="M28" s="606">
        <f>IF(AND(L28&lt;&gt;0,F28&lt;&gt;""),L28,0)</f>
        <v>0</v>
      </c>
      <c r="N28" s="1584" t="str">
        <f>CHOOSE(L28+1,"Not to be included in this RFA","A REQUIRED input field for this RFA","An OPTIONAL input field for this RFA")</f>
        <v>Not to be included in this RFA</v>
      </c>
      <c r="O28" s="403">
        <v>2</v>
      </c>
    </row>
    <row r="29" spans="1:15" s="29" customFormat="1" ht="10.4" hidden="1" customHeight="1">
      <c r="A29" s="144"/>
      <c r="B29" s="144"/>
      <c r="C29" s="144"/>
      <c r="D29" s="144"/>
      <c r="E29" s="138"/>
      <c r="F29" s="85"/>
      <c r="G29" s="85"/>
      <c r="H29" s="631"/>
      <c r="I29" s="144"/>
      <c r="J29" s="390"/>
      <c r="K29" s="390"/>
      <c r="L29" s="553"/>
      <c r="M29" s="606"/>
      <c r="N29" s="1588"/>
      <c r="O29" s="1307"/>
    </row>
    <row r="30" spans="1:15" s="29" customFormat="1" ht="30" hidden="1" customHeight="1">
      <c r="A30" s="144"/>
      <c r="B30" s="144"/>
      <c r="C30" s="144"/>
      <c r="D30" s="144"/>
      <c r="E30" s="137" t="s">
        <v>266</v>
      </c>
      <c r="F30" s="877"/>
      <c r="G30" s="2184" t="str">
        <f>IF(F30+F31+IF(OR(Development_Category="New Construction",Development_Category="Rehabilitation",Development_Category="Acquisition and Rehabilitation"),F32,0)&gt;Total_Units,"  The number of Rental Assistance Units entered exceeds Total Units.","")</f>
        <v/>
      </c>
      <c r="H30" s="2184"/>
      <c r="I30" s="2184"/>
      <c r="J30" s="390"/>
      <c r="K30" s="390"/>
      <c r="L30" s="1711">
        <f>IF(N$23=0,0,O30)</f>
        <v>0</v>
      </c>
      <c r="M30" s="606">
        <f>IF(AND(L30&lt;&gt;0,F30&lt;&gt;""),L30,0)</f>
        <v>0</v>
      </c>
      <c r="N30" s="1584" t="str">
        <f>CHOOSE(L30+1,"Not to be included in this RFA","A REQUIRED input field for this RFA","An OPTIONAL input field for this RFA")</f>
        <v>Not to be included in this RFA</v>
      </c>
      <c r="O30" s="1481">
        <v>2</v>
      </c>
    </row>
    <row r="31" spans="1:15" s="29" customFormat="1" ht="17.5" hidden="1" customHeight="1">
      <c r="A31" s="144"/>
      <c r="B31" s="144"/>
      <c r="C31" s="144"/>
      <c r="D31" s="144"/>
      <c r="E31" s="137" t="s">
        <v>267</v>
      </c>
      <c r="F31" s="878"/>
      <c r="H31" s="84"/>
      <c r="I31" s="144"/>
      <c r="J31" s="390"/>
      <c r="K31" s="390"/>
      <c r="L31" s="1711">
        <f>IF(N$23=0,0,O31)</f>
        <v>0</v>
      </c>
      <c r="M31" s="606">
        <f>IF(AND(L31&lt;&gt;0,F31&lt;&gt;""),L31,0)</f>
        <v>0</v>
      </c>
      <c r="N31" s="1584" t="str">
        <f>CHOOSE(L31+1,"Not to be included in this RFA","A REQUIRED input field for this RFA","An OPTIONAL input field for this RFA")</f>
        <v>Not to be included in this RFA</v>
      </c>
      <c r="O31" s="403">
        <v>2</v>
      </c>
    </row>
    <row r="32" spans="1:15" s="29" customFormat="1" ht="30" hidden="1" customHeight="1">
      <c r="A32" s="144"/>
      <c r="B32" s="553"/>
      <c r="C32" s="553"/>
      <c r="D32" s="2187" t="s">
        <v>1758</v>
      </c>
      <c r="E32" s="2187"/>
      <c r="F32" s="1755"/>
      <c r="G32" s="1749" t="s">
        <v>1179</v>
      </c>
      <c r="H32" s="1754" t="s">
        <v>2</v>
      </c>
      <c r="I32" s="553"/>
      <c r="J32" s="391"/>
      <c r="K32" s="391"/>
      <c r="L32" s="1711">
        <f>IF(N$23=0,0,O32)</f>
        <v>0</v>
      </c>
      <c r="M32" s="606">
        <f>IF(AND(L32&lt;&gt;0,F32&lt;&gt;""),L32,0)</f>
        <v>0</v>
      </c>
      <c r="N32" s="740" t="str">
        <f>CHOOSE(L32+1,"Not to be included in this RFA","A REQUIRED input field for this RFA","An OPTIONAL input field for this RFA")</f>
        <v>Not to be included in this RFA</v>
      </c>
      <c r="O32" s="404">
        <v>2</v>
      </c>
    </row>
    <row r="33" spans="1:16" s="29" customFormat="1" ht="14.5" hidden="1" customHeight="1">
      <c r="A33" s="808"/>
      <c r="B33" s="553"/>
      <c r="C33" s="553"/>
      <c r="D33" s="553"/>
      <c r="E33" s="1513" t="s">
        <v>1759</v>
      </c>
      <c r="F33" s="1084"/>
      <c r="G33" s="883"/>
      <c r="H33" s="91"/>
      <c r="I33" s="30"/>
      <c r="J33" s="391"/>
      <c r="K33" s="391"/>
      <c r="L33" s="1021"/>
      <c r="M33" s="806"/>
      <c r="N33" s="810"/>
    </row>
    <row r="34" spans="1:16" s="29" customFormat="1" ht="10.4" hidden="1" customHeight="1">
      <c r="A34" s="1480"/>
      <c r="B34" s="1480"/>
      <c r="C34" s="1480"/>
      <c r="D34" s="1480"/>
      <c r="E34" s="882"/>
      <c r="F34" s="1084"/>
      <c r="G34" s="883"/>
      <c r="H34" s="91"/>
      <c r="I34" s="30"/>
      <c r="J34" s="391"/>
      <c r="K34" s="391"/>
      <c r="L34" s="1021"/>
      <c r="M34" s="1478"/>
      <c r="N34" s="1479"/>
    </row>
    <row r="35" spans="1:16" s="29" customFormat="1" ht="45.75" hidden="1" customHeight="1">
      <c r="A35" s="144"/>
      <c r="B35" s="144"/>
      <c r="C35" s="144"/>
      <c r="D35" s="144"/>
      <c r="E35" s="2178" t="str">
        <f>IF(Data1!D227=0,"This Application qualifies for RA Level 6.","The "&amp;TEXT(Data1!D227,"0")&amp;" unit"&amp;IF(Data1!D227&gt;1,"s","")&amp;" entered to receive Rental Assistance represents "&amp;TEXT(Data1!D226,"0.00%")&amp;" of Total Units. This data indicates the proposed Development qualifies for a Rental Assistance Level of "&amp;TEXT(Data1!F228,"0")&amp;" via the "&amp;IF(Data1!D228="Percent","Percentage of Total Units method",IF(Data1!D228="Num","Number of RA Units method",IF(Data1!D228="Both","either method","neither method")))&amp;".")</f>
        <v>This Application qualifies for RA Level 6.</v>
      </c>
      <c r="F35" s="2178"/>
      <c r="G35" s="2178"/>
      <c r="H35" s="2178"/>
      <c r="I35" s="2178"/>
      <c r="J35" s="390"/>
      <c r="K35" s="390"/>
      <c r="L35" s="1498"/>
      <c r="M35" s="396"/>
      <c r="N35" s="32"/>
    </row>
    <row r="36" spans="1:16" s="29" customFormat="1" ht="10.4" hidden="1" customHeight="1">
      <c r="A36" s="808"/>
      <c r="B36" s="808"/>
      <c r="C36" s="808"/>
      <c r="D36" s="808"/>
      <c r="E36" s="86"/>
      <c r="F36" s="86"/>
      <c r="G36" s="86"/>
      <c r="H36" s="86"/>
      <c r="I36" s="808"/>
      <c r="J36" s="390"/>
      <c r="K36" s="390"/>
      <c r="L36" s="399"/>
      <c r="M36" s="395"/>
    </row>
    <row r="37" spans="1:16" s="36" customFormat="1" ht="14.5" hidden="1" customHeight="1">
      <c r="A37" s="35"/>
      <c r="B37" s="564" t="str">
        <f>IF($L$39=0,"",MAX(B$6:B35)+1)</f>
        <v/>
      </c>
      <c r="C37" s="34" t="s">
        <v>268</v>
      </c>
      <c r="D37" s="33"/>
      <c r="F37" s="34"/>
      <c r="G37" s="35"/>
      <c r="H37" s="143"/>
      <c r="I37" s="35"/>
      <c r="J37" s="390"/>
      <c r="K37" s="390"/>
      <c r="L37" s="1945"/>
      <c r="M37" s="606"/>
      <c r="N37" s="1110">
        <v>0</v>
      </c>
    </row>
    <row r="38" spans="1:16" s="36" customFormat="1" ht="34.4" hidden="1" customHeight="1">
      <c r="A38" s="35"/>
      <c r="B38" s="35"/>
      <c r="C38" s="35"/>
      <c r="D38" s="2134" t="s">
        <v>269</v>
      </c>
      <c r="E38" s="2134"/>
      <c r="F38" s="2134"/>
      <c r="G38" s="2134"/>
      <c r="H38" s="2134"/>
      <c r="I38" s="2134"/>
      <c r="J38" s="390"/>
      <c r="K38" s="390"/>
      <c r="L38" s="1945"/>
      <c r="M38" s="606"/>
      <c r="N38" s="553"/>
    </row>
    <row r="39" spans="1:16" s="36" customFormat="1" ht="17.5" hidden="1" customHeight="1">
      <c r="A39" s="35"/>
      <c r="B39" s="35"/>
      <c r="C39" s="35"/>
      <c r="D39" s="2152" t="s">
        <v>2</v>
      </c>
      <c r="E39" s="2152"/>
      <c r="G39" s="35"/>
      <c r="H39" s="141"/>
      <c r="I39" s="35"/>
      <c r="J39" s="390"/>
      <c r="K39" s="390"/>
      <c r="L39" s="1938">
        <f>IF(N37=0,0,IF(OR(Development_Category="Rehabilitation",Development_Category="Acquisition and Rehabilitation"),1,2))</f>
        <v>0</v>
      </c>
      <c r="M39" s="606">
        <f>IF(AND(L39&lt;&gt;0,AND(D39&lt;&gt;"&lt;select one&gt;",D39&lt;&gt;"")),L39,0)</f>
        <v>0</v>
      </c>
      <c r="N39" s="1669" t="str">
        <f>CHOOSE(L39+1,"Not to be included in this RFA","A REQUIRED input field for this RFA","An OPTIONAL input field for this RFA")</f>
        <v>Not to be included in this RFA</v>
      </c>
    </row>
    <row r="40" spans="1:16" s="37" customFormat="1" ht="8.25" hidden="1" customHeight="1">
      <c r="A40" s="34"/>
      <c r="B40" s="34"/>
      <c r="C40" s="34"/>
      <c r="D40" s="34"/>
      <c r="E40" s="59"/>
      <c r="F40" s="34"/>
      <c r="G40" s="34"/>
      <c r="H40" s="141"/>
      <c r="I40" s="34"/>
      <c r="J40" s="31"/>
      <c r="K40" s="31"/>
      <c r="L40" s="399"/>
      <c r="M40" s="396"/>
    </row>
    <row r="41" spans="1:16" s="36" customFormat="1" ht="46" hidden="1" customHeight="1">
      <c r="A41" s="35"/>
      <c r="B41" s="35"/>
      <c r="C41" s="35"/>
      <c r="D41" s="35"/>
      <c r="E41" s="2112" t="s">
        <v>270</v>
      </c>
      <c r="F41" s="2112"/>
      <c r="G41" s="2112"/>
      <c r="H41" s="2112"/>
      <c r="I41" s="2112"/>
      <c r="J41" s="390"/>
      <c r="K41" s="390"/>
      <c r="L41" s="398"/>
      <c r="M41" s="395"/>
      <c r="P41" s="1020"/>
    </row>
    <row r="42" spans="1:16" s="36" customFormat="1" ht="10.4" hidden="1" customHeight="1">
      <c r="A42" s="35"/>
      <c r="B42" s="35"/>
      <c r="C42" s="35"/>
      <c r="D42" s="35"/>
      <c r="E42" s="141"/>
      <c r="F42" s="141"/>
      <c r="G42" s="141"/>
      <c r="H42" s="141"/>
      <c r="I42" s="35"/>
      <c r="J42" s="390"/>
      <c r="K42" s="390"/>
      <c r="L42" s="398"/>
      <c r="M42" s="395"/>
      <c r="P42" s="1020"/>
    </row>
    <row r="43" spans="1:16" s="29" customFormat="1" ht="14.5" customHeight="1">
      <c r="A43" s="1069" t="str" cm="1">
        <f t="array" ref="A43">IF($L45=0,"",CHAR(CODE(LOOKUP(2,1/(COUNTIF(A$3:A42,"&gt;"&amp;A$3:A42&amp;"*")=0),A$3:A42))+1))</f>
        <v>c</v>
      </c>
      <c r="B43" s="1109" t="s">
        <v>2042</v>
      </c>
      <c r="C43" s="169"/>
      <c r="D43" s="169"/>
      <c r="E43" s="169"/>
      <c r="F43" s="2185" t="str">
        <f>IF(C45="&lt;select one&gt;","",IF(H$74&lt;Total_Units,"(Please complete the Unit Characteristics table in "&amp;A54&amp;". below)",IF(DS_UnitTypeMatch=1,"(Your selection for Development Type is confirmed by the Unit Characteristics table below)","(Your selection for Development Type is NOT confirmed by the Unit Characteristics table below"&amp;IF(Other_ESS_NC_units+Other_Non_ESS_NC_units+Other_ESS_Rehab_units&gt;Data1!B247,", unless the 'Other Dev Type*' unit description is comprised of more than 1 eligible Development Type and one of those Types has at least "&amp;TEXT(Data1!D247,"0")&amp;" units","")&amp;")")))</f>
        <v/>
      </c>
      <c r="G43" s="2185"/>
      <c r="H43" s="2185"/>
      <c r="I43" s="2185"/>
      <c r="J43" s="390"/>
      <c r="K43" s="390"/>
      <c r="L43" s="398"/>
      <c r="M43" s="395"/>
      <c r="P43" s="1020"/>
    </row>
    <row r="44" spans="1:16" s="29" customFormat="1" ht="14.5" customHeight="1">
      <c r="A44" s="1069"/>
      <c r="B44" s="1116">
        <v>1</v>
      </c>
      <c r="C44" s="1870" t="s">
        <v>2083</v>
      </c>
      <c r="D44" s="1109"/>
      <c r="E44" s="1109"/>
      <c r="F44" s="2185"/>
      <c r="G44" s="2185"/>
      <c r="H44" s="2185"/>
      <c r="I44" s="2185"/>
      <c r="J44" s="390"/>
      <c r="K44" s="390"/>
      <c r="L44" s="398"/>
      <c r="M44" s="395"/>
      <c r="P44" s="1020"/>
    </row>
    <row r="45" spans="1:16" s="29" customFormat="1" ht="17.5" customHeight="1">
      <c r="A45" s="144"/>
      <c r="B45" s="144"/>
      <c r="C45" s="2152" t="s">
        <v>2</v>
      </c>
      <c r="D45" s="2152"/>
      <c r="E45" s="2152"/>
      <c r="F45" s="2185"/>
      <c r="G45" s="2185"/>
      <c r="H45" s="2185"/>
      <c r="I45" s="2185"/>
      <c r="J45" s="390"/>
      <c r="K45" s="390"/>
      <c r="L45" s="569">
        <v>1</v>
      </c>
      <c r="M45" s="395">
        <f>IF(AND(L45&lt;&gt;0,AND(C45&lt;&gt;"&lt;select one&gt;",C45&lt;&gt;"")),L45,0)</f>
        <v>0</v>
      </c>
      <c r="N45" s="1581" t="str">
        <f>CHOOSE(L45+1,"Not to be included in this RFA","A REQUIRED input field for this RFA","An OPTIONAL input field for this RFA")</f>
        <v>A REQUIRED input field for this RFA</v>
      </c>
      <c r="P45" s="1020"/>
    </row>
    <row r="46" spans="1:16" s="29" customFormat="1" ht="10.4" customHeight="1">
      <c r="A46" s="144"/>
      <c r="B46" s="144"/>
      <c r="C46" s="144"/>
      <c r="D46" s="144"/>
      <c r="E46" s="38"/>
      <c r="F46" s="2185"/>
      <c r="G46" s="2185"/>
      <c r="H46" s="2185"/>
      <c r="I46" s="2185"/>
      <c r="J46" s="390"/>
      <c r="K46" s="390"/>
      <c r="L46" s="398"/>
      <c r="M46" s="395"/>
      <c r="P46" s="1020"/>
    </row>
    <row r="47" spans="1:16" s="29" customFormat="1" ht="45" customHeight="1">
      <c r="A47" s="1026"/>
      <c r="B47" s="1026"/>
      <c r="D47" s="2186" t="str">
        <f>"Based on the input in the Unit Characteristics Table below, "&amp;IF(OR(N(Total_Units)=0,N(total_units_in_unit_desc_chart)&lt;&gt;N(Total_Units)),"the predominant unit type is yet to be determined as the table input is not complete.","there "&amp;IF(Data1!O239&gt;1,"are ","is ")&amp;Data1!O239&amp;" predominant unit type"&amp;IF(Data1!O239&gt;1,"s and they are "," and it is ")&amp;Data1!O247&amp;".")</f>
        <v>Based on the input in the Unit Characteristics Table below, the predominant unit type is yet to be determined as the table input is not complete.</v>
      </c>
      <c r="E47" s="2186"/>
      <c r="F47" s="2186"/>
      <c r="G47" s="2186"/>
      <c r="H47" s="2186"/>
      <c r="I47" s="2186"/>
      <c r="J47" s="390"/>
      <c r="K47" s="390"/>
      <c r="L47" s="398"/>
      <c r="M47" s="395"/>
      <c r="N47" s="1047"/>
      <c r="P47" s="1020"/>
    </row>
    <row r="48" spans="1:16" s="29" customFormat="1" ht="14.5" customHeight="1">
      <c r="A48" s="1865"/>
      <c r="B48" s="1116">
        <f>IF($N$45=0,"",MAX(B$44:B46)+1)</f>
        <v>2</v>
      </c>
      <c r="C48" s="108" t="s">
        <v>2084</v>
      </c>
      <c r="D48" s="1868"/>
      <c r="E48" s="1868"/>
      <c r="F48" s="1868"/>
      <c r="G48" s="1868"/>
      <c r="H48" s="1868"/>
      <c r="I48" s="1868"/>
      <c r="J48" s="390"/>
      <c r="K48" s="390"/>
      <c r="L48" s="398"/>
      <c r="M48" s="395"/>
      <c r="N48" s="1047"/>
      <c r="P48" s="1020"/>
    </row>
    <row r="49" spans="1:17" s="29" customFormat="1" ht="6.75" customHeight="1">
      <c r="A49" s="1026"/>
      <c r="B49" s="1026"/>
      <c r="C49" s="1026"/>
      <c r="D49" s="1026"/>
      <c r="E49" s="38"/>
      <c r="F49" s="1030"/>
      <c r="G49" s="1030"/>
      <c r="H49" s="1030"/>
      <c r="I49" s="1030"/>
      <c r="J49" s="390"/>
      <c r="K49" s="390"/>
      <c r="L49" s="398"/>
      <c r="M49" s="395"/>
      <c r="P49" s="1020"/>
    </row>
    <row r="50" spans="1:17" s="39" customFormat="1" ht="14.5" hidden="1" customHeight="1">
      <c r="A50" s="1093" t="str" cm="1">
        <f t="array" ref="A50">IF($L52=0,"",CHAR(CODE(LOOKUP(2,1/(COUNTIF(A$3:A46,"&gt;"&amp;A$3:A46&amp;"*")=0),A$3:A46))+1))</f>
        <v/>
      </c>
      <c r="B50" s="393" t="s">
        <v>1257</v>
      </c>
      <c r="C50" s="40"/>
      <c r="D50" s="40"/>
      <c r="E50" s="40"/>
      <c r="F50" s="1091"/>
      <c r="G50" s="1091"/>
      <c r="H50" s="1092"/>
      <c r="I50" s="1091"/>
      <c r="J50" s="393"/>
      <c r="K50" s="393"/>
      <c r="L50" s="400"/>
      <c r="M50" s="397"/>
      <c r="P50" s="1020"/>
    </row>
    <row r="51" spans="1:17" s="29" customFormat="1" ht="30" hidden="1" customHeight="1">
      <c r="A51" s="1046"/>
      <c r="B51" s="2183" t="s">
        <v>271</v>
      </c>
      <c r="C51" s="2183"/>
      <c r="D51" s="2183"/>
      <c r="E51" s="2183"/>
      <c r="F51" s="2183"/>
      <c r="G51" s="2183"/>
      <c r="H51" s="2183"/>
      <c r="I51" s="2183"/>
      <c r="J51" s="390"/>
      <c r="K51" s="390"/>
      <c r="L51" s="398"/>
      <c r="M51" s="395"/>
      <c r="P51" s="1020"/>
    </row>
    <row r="52" spans="1:17" s="29" customFormat="1" ht="17.5" hidden="1" customHeight="1">
      <c r="A52" s="553"/>
      <c r="B52" s="40"/>
      <c r="C52" s="2151" t="str">
        <f>IF(L52=0,"",IF(H74=0,"Units must be entered in the Unit Characteristics table below to evaluate the Funding Preference.",IF(AND(H74&gt;0,H74&lt;&gt;N(Total_Units)),"Total Units in the Unit Characteristics table below does not match Total Units entered in Section 4.A.6.a.",IF(SUMIF(F59:G73,"ESS Construction",B59:B73)&gt;=ROUNDUP(50%*Total_Units,0),"Yes, at least 50% of Total Units ("&amp;TEXT(SUMIF(F59:G73,"ESS Construction",B59:B73),"0")&amp;" of "&amp;TEXT(Total_Units,"0")&amp;", or "&amp;TEXT(SUMIF(F59:G73,"ESS Construction",B59:B73)/Total_Units,"0%")&amp;") indicate they meet the Funding Preference requirement.","No, less than 50% of Total Units ("&amp;TEXT(SUMIF(F59:G73,"ESS Construction",B59:B73),"0")&amp;" of "&amp;TEXT(Total_Units,"0")&amp;", or "&amp;TEXT(SUMIF(F59:G73,"ESS Construction",B59:B73)/Total_Units,"0%")&amp;") indicate they meet the Funding Preference requirement."))))</f>
        <v/>
      </c>
      <c r="D52" s="2151"/>
      <c r="E52" s="2151"/>
      <c r="F52" s="2151"/>
      <c r="G52" s="2151"/>
      <c r="H52" s="2151"/>
      <c r="I52" s="2151"/>
      <c r="J52" s="390"/>
      <c r="K52" s="390"/>
      <c r="L52" s="569">
        <v>0</v>
      </c>
      <c r="M52" s="395">
        <f>IF(AND(L52&lt;&gt;0,AND(C52&lt;&gt;"&lt;select one&gt;",C52&lt;&gt;"")),L52,0)</f>
        <v>0</v>
      </c>
      <c r="N52" s="1256" t="str">
        <f>CHOOSE(L52+1,"Not to be included in this RFA","A REQUIRED input field for this RFA","An OPTIONAL input field for this RFA")</f>
        <v>Not to be included in this RFA</v>
      </c>
    </row>
    <row r="53" spans="1:17" s="29" customFormat="1" ht="6.75" hidden="1" customHeight="1">
      <c r="A53" s="144"/>
      <c r="B53" s="144"/>
      <c r="C53" s="144"/>
      <c r="D53" s="144"/>
      <c r="E53" s="144"/>
      <c r="F53" s="1042"/>
      <c r="G53" s="1042"/>
      <c r="H53" s="1042"/>
      <c r="I53" s="1042"/>
      <c r="J53" s="390"/>
      <c r="K53" s="390"/>
      <c r="L53" s="398"/>
      <c r="M53" s="395"/>
    </row>
    <row r="54" spans="1:17" s="29" customFormat="1" ht="14.5" customHeight="1">
      <c r="A54" s="1069" t="str" cm="1">
        <f t="array" ref="A54">IF(SUM($L59:$L73)=0,"",CHAR(CODE(LOOKUP(2,1/(COUNTIF(A$3:A53,"&gt;"&amp;A$3:A53&amp;"*")=0),A$3:A53))+1))</f>
        <v>d</v>
      </c>
      <c r="B54" s="1109" t="s">
        <v>2041</v>
      </c>
      <c r="C54" s="169"/>
      <c r="D54" s="169"/>
      <c r="E54" s="169"/>
      <c r="F54" s="169"/>
      <c r="G54" s="169"/>
      <c r="H54" s="169"/>
      <c r="I54" s="143"/>
      <c r="J54" s="390"/>
      <c r="K54" s="390"/>
      <c r="L54" s="398"/>
      <c r="M54" s="395"/>
    </row>
    <row r="55" spans="1:17" s="29" customFormat="1" ht="47.25" customHeight="1">
      <c r="A55" s="144"/>
      <c r="B55" s="2134" t="s">
        <v>1913</v>
      </c>
      <c r="C55" s="2134"/>
      <c r="D55" s="2134"/>
      <c r="E55" s="2134"/>
      <c r="F55" s="2134"/>
      <c r="G55" s="2134"/>
      <c r="H55" s="2134"/>
      <c r="I55" s="2134"/>
      <c r="J55" s="390"/>
      <c r="K55" s="390"/>
      <c r="L55" s="398"/>
      <c r="M55" s="395"/>
    </row>
    <row r="56" spans="1:17" ht="10.4" customHeight="1">
      <c r="A56" s="16"/>
      <c r="B56" s="41"/>
      <c r="C56" s="41"/>
      <c r="D56" s="41"/>
      <c r="E56" s="41"/>
      <c r="F56" s="149"/>
      <c r="G56" s="149"/>
      <c r="H56" s="149"/>
      <c r="I56" s="149"/>
      <c r="J56" s="380"/>
      <c r="K56" s="380"/>
      <c r="L56" s="398"/>
      <c r="M56" s="395"/>
    </row>
    <row r="57" spans="1:17" ht="18" customHeight="1">
      <c r="A57" s="16"/>
      <c r="B57" s="563"/>
      <c r="C57" s="2164" t="s">
        <v>272</v>
      </c>
      <c r="D57" s="2165"/>
      <c r="E57" s="2165"/>
      <c r="F57" s="2165"/>
      <c r="G57" s="2166"/>
      <c r="H57" s="2177" t="s">
        <v>273</v>
      </c>
      <c r="I57" s="2176" t="s">
        <v>892</v>
      </c>
      <c r="J57" s="380"/>
      <c r="K57" s="380"/>
      <c r="L57" s="398"/>
      <c r="M57" s="395"/>
    </row>
    <row r="58" spans="1:17" ht="18" customHeight="1">
      <c r="A58" s="16"/>
      <c r="B58" s="563"/>
      <c r="C58" s="2167"/>
      <c r="D58" s="2168"/>
      <c r="E58" s="2168"/>
      <c r="F58" s="2168"/>
      <c r="G58" s="2169"/>
      <c r="H58" s="2177"/>
      <c r="I58" s="2176"/>
      <c r="J58" s="380"/>
      <c r="K58" s="380"/>
      <c r="L58" s="398"/>
      <c r="M58" s="395"/>
    </row>
    <row r="59" spans="1:17" ht="17.5" customHeight="1">
      <c r="A59" s="1430" t="str">
        <f>IF(H$74=0,"",IF(COUNTIF(H$59:H$73,MAX(H$59:H$73))=1,"",IF(COUNTA(F$59:F59)=IFERROR(MATCH(MAX(H$59:H$73),H$59:H$73,0),""),"",IF(N(H59)=MAX(H$59:H$73),COUNTA(F$59:F59),""))))</f>
        <v/>
      </c>
      <c r="B59" s="1963">
        <f>N(H59)</f>
        <v>0</v>
      </c>
      <c r="C59" s="2170" t="s">
        <v>16</v>
      </c>
      <c r="D59" s="2171"/>
      <c r="E59" s="562" t="s">
        <v>274</v>
      </c>
      <c r="F59" s="2153" t="s">
        <v>275</v>
      </c>
      <c r="G59" s="2154"/>
      <c r="H59" s="78"/>
      <c r="I59" s="597">
        <f>DS_Lev_MP_GA*DS_Lev_MP_ESS</f>
        <v>0.8004</v>
      </c>
      <c r="K59" s="1430"/>
      <c r="L59" s="1960">
        <f>IF(O59=1,IF(OR(H$74=0,H$74&lt;N(Total_Units),AND(H$74=N(Total_Units),H59&gt;0)),1,2),O59)</f>
        <v>1</v>
      </c>
      <c r="M59" s="606">
        <f>IF(AND(L59&lt;&gt;0,H59&lt;&gt;""),L59,0)</f>
        <v>0</v>
      </c>
      <c r="N59" s="378" t="str">
        <f t="shared" ref="N59:N73" si="0">CHOOSE(L59+1,"Not to be included in this RFA","A REQUIRED input field for this RFA","An OPTIONAL input field for this RFA")</f>
        <v>A REQUIRED input field for this RFA</v>
      </c>
      <c r="O59" s="1378">
        <v>1</v>
      </c>
      <c r="P59" s="389"/>
    </row>
    <row r="60" spans="1:17" ht="17.5" customHeight="1">
      <c r="A60" s="1430" t="str">
        <f>IF(H$74=0,"",IF(COUNTIF(H$59:H$73,MAX(H$59:H$73))=1,"",IF(COUNTA(F$59:F60)=IFERROR(MATCH(MAX(H$59:H$73),H$59:H$73,0),""),"",IF(N(H60)=MAX(H$59:H$73),COUNTA(F$59:F60),""))))</f>
        <v/>
      </c>
      <c r="B60" s="1963">
        <f t="shared" ref="B60:B73" si="1">N(H60)</f>
        <v>0</v>
      </c>
      <c r="C60" s="2172"/>
      <c r="D60" s="2173"/>
      <c r="E60" s="77" t="s">
        <v>274</v>
      </c>
      <c r="F60" s="2153" t="s">
        <v>276</v>
      </c>
      <c r="G60" s="2154"/>
      <c r="H60" s="78"/>
      <c r="I60" s="597">
        <f>DS_Lev_MP_GA*1</f>
        <v>0.92</v>
      </c>
      <c r="K60" s="1430"/>
      <c r="L60" s="1960">
        <f>IF(O60=1,IF(OR(AND(H$74&lt;Total_Units,COUNTIF(O$59:O60,1)=COUNTIF(H$59:H60,"&gt;0")+1,H60=0),AND(H$74&lt;Total_Units,COUNTIF(L$59:L59,1)=COUNTIF(H$59:H59,"&gt;0"),H60=0),AND(H$74=Total_Units,H60&gt;0)),1,2),O60)</f>
        <v>2</v>
      </c>
      <c r="M60" s="606">
        <f t="shared" ref="M60:M73" si="2">IF(AND(L60&lt;&gt;0,H60&lt;&gt;""),L60,0)</f>
        <v>0</v>
      </c>
      <c r="N60" s="378" t="str">
        <f t="shared" si="0"/>
        <v>An OPTIONAL input field for this RFA</v>
      </c>
      <c r="O60" s="1377">
        <v>1</v>
      </c>
      <c r="P60" s="1045"/>
      <c r="Q60" s="19"/>
    </row>
    <row r="61" spans="1:17" ht="17.5" customHeight="1">
      <c r="A61" s="1430" t="str">
        <f>IF(H$74=0,"",IF(COUNTIF(H$59:H$73,MAX(H$59:H$73))=1,"",IF(COUNTA(F$59:F61)=IFERROR(MATCH(MAX(H$59:H$73),H$59:H$73,0),""),"",IF(N(H61)=MAX(H$59:H$73),COUNTA(F$59:F61),""))))</f>
        <v/>
      </c>
      <c r="B61" s="1963">
        <f t="shared" si="1"/>
        <v>0</v>
      </c>
      <c r="C61" s="2172"/>
      <c r="D61" s="2173"/>
      <c r="E61" s="77" t="s">
        <v>277</v>
      </c>
      <c r="F61" s="2153" t="s">
        <v>275</v>
      </c>
      <c r="G61" s="2154"/>
      <c r="H61" s="78"/>
      <c r="I61" s="597">
        <f>DS_Lev_MP_MR*DS_Lev_MP_ESS</f>
        <v>0.73949999999999994</v>
      </c>
      <c r="K61" s="1430"/>
      <c r="L61" s="1960">
        <f>IF(O61=1,IF(OR(AND(H$74&lt;Total_Units,COUNTIF(O$59:O61,1)=COUNTIF(H$59:H61,"&gt;0")+1,H61=0),AND(H$74&lt;Total_Units,COUNTIF(L$59:L60,1)=COUNTIF(H$59:H60,"&gt;0"),H61=0),AND(H$74=Total_Units,H61&gt;0)),1,2),O61)</f>
        <v>2</v>
      </c>
      <c r="M61" s="606">
        <f t="shared" si="2"/>
        <v>0</v>
      </c>
      <c r="N61" s="378" t="str">
        <f t="shared" si="0"/>
        <v>An OPTIONAL input field for this RFA</v>
      </c>
      <c r="O61" s="1377">
        <v>1</v>
      </c>
      <c r="P61" s="1045"/>
      <c r="Q61" s="19"/>
    </row>
    <row r="62" spans="1:17" ht="17.5" customHeight="1">
      <c r="A62" s="1430" t="str">
        <f>IF(H$74=0,"",IF(COUNTIF(H$59:H$73,MAX(H$59:H$73))=1,"",IF(COUNTA(F$59:F62)=IFERROR(MATCH(MAX(H$59:H$73),H$59:H$73,0),""),"",IF(N(H62)=MAX(H$59:H$73),COUNTA(F$59:F62),""))))</f>
        <v/>
      </c>
      <c r="B62" s="1963">
        <f t="shared" si="1"/>
        <v>0</v>
      </c>
      <c r="C62" s="2172"/>
      <c r="D62" s="2173"/>
      <c r="E62" s="77" t="s">
        <v>277</v>
      </c>
      <c r="F62" s="2153" t="s">
        <v>276</v>
      </c>
      <c r="G62" s="2154"/>
      <c r="H62" s="78"/>
      <c r="I62" s="597">
        <f>DS_Lev_MP_MR*1</f>
        <v>0.85</v>
      </c>
      <c r="K62" s="1430"/>
      <c r="L62" s="1960">
        <f>IF(O62=1,IF(OR(AND(H$74&lt;Total_Units,COUNTIF(O$59:O62,1)=COUNTIF(H$59:H62,"&gt;0")+1,H62=0),AND(H$74&lt;Total_Units,COUNTIF(L$59:L61,1)=COUNTIF(H$59:H61,"&gt;0"),H62=0),AND(H$74=Total_Units,H62&gt;0)),1,2),O62)</f>
        <v>2</v>
      </c>
      <c r="M62" s="606">
        <f t="shared" si="2"/>
        <v>0</v>
      </c>
      <c r="N62" s="378" t="str">
        <f t="shared" si="0"/>
        <v>An OPTIONAL input field for this RFA</v>
      </c>
      <c r="O62" s="1377">
        <v>1</v>
      </c>
      <c r="P62" s="1045"/>
      <c r="Q62" s="19"/>
    </row>
    <row r="63" spans="1:17" ht="17.5" hidden="1" customHeight="1">
      <c r="A63" s="1430" t="str">
        <f>IF(H$74=0,"",IF(COUNTIF(H$59:H$73,MAX(H$59:H$73))=1,"",IF(COUNTA(F$59:F63)=IFERROR(MATCH(MAX(H$59:H$73),H$59:H$73,0),""),"",IF(N(H63)=MAX(H$59:H$73),COUNTA(F$59:F63),""))))</f>
        <v/>
      </c>
      <c r="B63" s="1963">
        <f t="shared" si="1"/>
        <v>0</v>
      </c>
      <c r="C63" s="2172"/>
      <c r="D63" s="2173"/>
      <c r="E63" s="77" t="s">
        <v>115</v>
      </c>
      <c r="F63" s="2153" t="s">
        <v>275</v>
      </c>
      <c r="G63" s="2154"/>
      <c r="H63" s="78"/>
      <c r="I63" s="597">
        <f>DS_Lev_MP_HR*DS_Lev_MP_ESS</f>
        <v>0.71339999999999992</v>
      </c>
      <c r="K63" s="1430"/>
      <c r="L63" s="1960">
        <f>IF(O63=1,IF(OR(AND(H$74&lt;Total_Units,COUNTIF(O$59:O63,1)=COUNTIF(H$59:H63,"&gt;0")+1,H63=0),AND(H$74&lt;Total_Units,COUNTIF(L$59:L62,1)=COUNTIF(H$59:H62,"&gt;0"),H63=0),AND(H$74=Total_Units,H63&gt;0)),1,2),O63)</f>
        <v>0</v>
      </c>
      <c r="M63" s="606">
        <f t="shared" si="2"/>
        <v>0</v>
      </c>
      <c r="N63" s="378" t="str">
        <f t="shared" si="0"/>
        <v>Not to be included in this RFA</v>
      </c>
      <c r="O63" s="1377">
        <v>0</v>
      </c>
      <c r="P63" s="1020"/>
      <c r="Q63" s="1020"/>
    </row>
    <row r="64" spans="1:17" ht="17.5" hidden="1" customHeight="1">
      <c r="A64" s="1430" t="str">
        <f>IF(H$74=0,"",IF(COUNTIF(H$59:H$73,MAX(H$59:H$73))=1,"",IF(COUNTA(F$59:F64)=IFERROR(MATCH(MAX(H$59:H$73),H$59:H$73,0),""),"",IF(N(H64)=MAX(H$59:H$73),COUNTA(F$59:F64),""))))</f>
        <v/>
      </c>
      <c r="B64" s="1963">
        <f t="shared" si="1"/>
        <v>0</v>
      </c>
      <c r="C64" s="2172"/>
      <c r="D64" s="2173"/>
      <c r="E64" s="77" t="s">
        <v>108</v>
      </c>
      <c r="F64" s="2153" t="s">
        <v>275</v>
      </c>
      <c r="G64" s="2154"/>
      <c r="H64" s="645"/>
      <c r="I64" s="597">
        <f>DS_Lev_MP_Oth*DS_Lev_MP_ESS</f>
        <v>0.87</v>
      </c>
      <c r="K64" s="1430"/>
      <c r="L64" s="1960">
        <f>IF(O64=1,IF(OR(AND(H$74&lt;Total_Units,COUNTIF(O$59:O64,1)=COUNTIF(H$59:H64,"&gt;0")+1,H64=0),AND(H$74&lt;Total_Units,COUNTIF(L$59:L63,1)=COUNTIF(H$59:H63,"&gt;0"),H64=0),AND(H$74=Total_Units,H64&gt;0)),1,2),O64)</f>
        <v>0</v>
      </c>
      <c r="M64" s="606">
        <f t="shared" si="2"/>
        <v>0</v>
      </c>
      <c r="N64" s="616" t="str">
        <f t="shared" ref="N64:N65" si="3">CHOOSE(L64+1,"Not to be included in this RFA","A REQUIRED input field for this RFA","An OPTIONAL input field for this RFA")</f>
        <v>Not to be included in this RFA</v>
      </c>
      <c r="O64" s="1377">
        <v>0</v>
      </c>
      <c r="P64" s="1020"/>
      <c r="Q64" s="19"/>
    </row>
    <row r="65" spans="1:21" ht="17.5" hidden="1" customHeight="1">
      <c r="A65" s="1430" t="str">
        <f>IF(H$74=0,"",IF(COUNTIF(H$59:H$73,MAX(H$59:H$73))=1,"",IF(COUNTA(F$59:F65)=IFERROR(MATCH(MAX(H$59:H$73),H$59:H$73,0),""),"",IF(N(H65)=MAX(H$59:H$73),COUNTA(F$59:F65),""))))</f>
        <v/>
      </c>
      <c r="B65" s="1963">
        <f t="shared" si="1"/>
        <v>0</v>
      </c>
      <c r="C65" s="2172"/>
      <c r="D65" s="2173"/>
      <c r="E65" s="77" t="s">
        <v>108</v>
      </c>
      <c r="F65" s="2153" t="s">
        <v>276</v>
      </c>
      <c r="G65" s="2154"/>
      <c r="H65" s="645"/>
      <c r="I65" s="597">
        <f>DS_Lev_MP_Oth*1</f>
        <v>1</v>
      </c>
      <c r="K65" s="1430"/>
      <c r="L65" s="1960">
        <f>IF(O65=1,IF(OR(AND(H$74&lt;Total_Units,COUNTIF(O$59:O65,1)=COUNTIF(H$59:H65,"&gt;0")+1,H65=0),AND(H$74&lt;Total_Units,COUNTIF(L$59:L64,1)=COUNTIF(H$59:H64,"&gt;0"),H65=0),AND(H$74=Total_Units,H65&gt;0)),1,2),O65)</f>
        <v>0</v>
      </c>
      <c r="M65" s="606">
        <f t="shared" si="2"/>
        <v>0</v>
      </c>
      <c r="N65" s="616" t="str">
        <f t="shared" si="3"/>
        <v>Not to be included in this RFA</v>
      </c>
      <c r="O65" s="1377">
        <v>0</v>
      </c>
      <c r="P65" s="1045"/>
      <c r="Q65" s="19"/>
    </row>
    <row r="66" spans="1:21" ht="17.5" customHeight="1">
      <c r="A66" s="1430" t="str">
        <f>IF(H$74=0,"",IF(COUNTIF(H$59:H$73,MAX(H$59:H$73))=1,"",IF(COUNTA(F$59:F66)=IFERROR(MATCH(MAX(H$59:H$73),H$59:H$73,0),""),"",IF(N(H66)=MAX(H$59:H$73),COUNTA(F$59:F66),""))))</f>
        <v/>
      </c>
      <c r="B66" s="1963">
        <f t="shared" si="1"/>
        <v>0</v>
      </c>
      <c r="C66" s="2172"/>
      <c r="D66" s="2173"/>
      <c r="E66" s="79" t="s">
        <v>278</v>
      </c>
      <c r="F66" s="2153" t="s">
        <v>275</v>
      </c>
      <c r="G66" s="2154"/>
      <c r="H66" s="78"/>
      <c r="I66" s="597">
        <f>DS_Lev_MP_Oth*DS_Lev_MP_ESS</f>
        <v>0.87</v>
      </c>
      <c r="K66" s="1430"/>
      <c r="L66" s="1960">
        <f>IF(O66=1,IF(OR(AND(H$74&lt;Total_Units,COUNTIF(O$59:O66,1)=COUNTIF(H$59:H66,"&gt;0")+1,H66=0),AND(H$74&lt;Total_Units,COUNTIF(L$59:L65,1)=COUNTIF(H$59:H65,"&gt;0"),H66=0),AND(H$74=Total_Units,H66&gt;0)),1,2),O66)</f>
        <v>2</v>
      </c>
      <c r="M66" s="606">
        <f t="shared" si="2"/>
        <v>0</v>
      </c>
      <c r="N66" s="378" t="str">
        <f t="shared" si="0"/>
        <v>An OPTIONAL input field for this RFA</v>
      </c>
      <c r="O66" s="1377">
        <v>1</v>
      </c>
      <c r="P66" s="1020"/>
      <c r="Q66" s="19"/>
    </row>
    <row r="67" spans="1:21" ht="17.5" customHeight="1" thickBot="1">
      <c r="A67" s="1430" t="str">
        <f>IF(H$74=0,"",IF(COUNTIF(H$59:H$73,MAX(H$59:H$73))=1,"",IF(COUNTA(F$59:F67)=IFERROR(MATCH(MAX(H$59:H$73),H$59:H$73,0),""),"",IF(N(H67)=MAX(H$59:H$73),COUNTA(F$59:F67),""))))</f>
        <v/>
      </c>
      <c r="B67" s="1963">
        <f t="shared" si="1"/>
        <v>0</v>
      </c>
      <c r="C67" s="2174"/>
      <c r="D67" s="2175"/>
      <c r="E67" s="79" t="s">
        <v>278</v>
      </c>
      <c r="F67" s="2153" t="s">
        <v>276</v>
      </c>
      <c r="G67" s="2154"/>
      <c r="H67" s="78"/>
      <c r="I67" s="597">
        <f>DS_Lev_MP_Oth*1</f>
        <v>1</v>
      </c>
      <c r="K67" s="1430"/>
      <c r="L67" s="1960">
        <f>IF(O67=1,IF(OR(AND(H$74&lt;Total_Units,COUNTIF(O$59:O67,1)=COUNTIF(H$59:H67,"&gt;0")+1,H67=0),AND(H$74&lt;Total_Units,COUNTIF(L$59:L66,1)=COUNTIF(H$59:H66,"&gt;0"),H67=0),AND(H$74=Total_Units,H67&gt;0)),1,2),O67)</f>
        <v>2</v>
      </c>
      <c r="M67" s="606">
        <f t="shared" si="2"/>
        <v>0</v>
      </c>
      <c r="N67" s="378" t="str">
        <f t="shared" si="0"/>
        <v>An OPTIONAL input field for this RFA</v>
      </c>
      <c r="O67" s="1377">
        <v>1</v>
      </c>
      <c r="P67" s="1045"/>
      <c r="Q67" s="19"/>
    </row>
    <row r="68" spans="1:21" ht="17.5" hidden="1" customHeight="1">
      <c r="A68" s="1430" t="str">
        <f>IF(H$74=0,"",IF(COUNTIF(H$59:H$73,MAX(H$59:H$73))=1,"",IF(COUNTA(F$59:F68)=IFERROR(MATCH(MAX(H$59:H$73),H$59:H$73,0),""),"",IF(N(H68)=MAX(H$59:H$73),COUNTA(F$59:F68),""))))</f>
        <v/>
      </c>
      <c r="B68" s="1963">
        <f t="shared" si="1"/>
        <v>0</v>
      </c>
      <c r="C68" s="2158" t="s">
        <v>279</v>
      </c>
      <c r="D68" s="2159"/>
      <c r="E68" s="152" t="s">
        <v>274</v>
      </c>
      <c r="F68" s="2156" t="s">
        <v>275</v>
      </c>
      <c r="G68" s="2156"/>
      <c r="H68" s="78"/>
      <c r="I68" s="597">
        <v>1</v>
      </c>
      <c r="K68" s="1430"/>
      <c r="L68" s="1960">
        <f>IF(O68=1,IF(OR(AND(H$74&lt;Total_Units,COUNTIF(O$59:O68,1)=COUNTIF(H$59:H68,"&gt;0")+1,H68=0),AND(H$74&lt;Total_Units,COUNTIF(L$59:L67,1)=COUNTIF(H$59:H67,"&gt;0"),H68=0),AND(H$74=Total_Units,H68&gt;0)),1,2),O68)</f>
        <v>0</v>
      </c>
      <c r="M68" s="606">
        <f t="shared" si="2"/>
        <v>0</v>
      </c>
      <c r="N68" s="378" t="str">
        <f t="shared" si="0"/>
        <v>Not to be included in this RFA</v>
      </c>
      <c r="O68" s="1377">
        <v>0</v>
      </c>
      <c r="P68" s="1045"/>
      <c r="Q68" s="19"/>
    </row>
    <row r="69" spans="1:21" ht="17.5" hidden="1" customHeight="1">
      <c r="A69" s="1430" t="str">
        <f>IF(H$74=0,"",IF(COUNTIF(H$59:H$73,MAX(H$59:H$73))=1,"",IF(COUNTA(F$59:F69)=IFERROR(MATCH(MAX(H$59:H$73),H$59:H$73,0),""),"",IF(N(H69)=MAX(H$59:H$73),COUNTA(F$59:F69),""))))</f>
        <v/>
      </c>
      <c r="B69" s="1963">
        <f t="shared" si="1"/>
        <v>0</v>
      </c>
      <c r="C69" s="2160"/>
      <c r="D69" s="2161"/>
      <c r="E69" s="1027" t="s">
        <v>274</v>
      </c>
      <c r="F69" s="2156" t="s">
        <v>276</v>
      </c>
      <c r="G69" s="2156"/>
      <c r="H69" s="1028"/>
      <c r="I69" s="597">
        <v>1</v>
      </c>
      <c r="K69" s="1430"/>
      <c r="L69" s="1960">
        <f>IF(O69=1,IF(OR(AND(H$74&lt;Total_Units,COUNTIF(O$59:O69,1)=COUNTIF(H$59:H69,"&gt;0")+1,H69=0),AND(H$74&lt;Total_Units,COUNTIF(L$59:L68,1)=COUNTIF(H$59:H68,"&gt;0"),H69=0),AND(H$74=Total_Units,H69&gt;0)),1,2),O69)</f>
        <v>0</v>
      </c>
      <c r="M69" s="606">
        <f t="shared" si="2"/>
        <v>0</v>
      </c>
      <c r="N69" s="378" t="str">
        <f t="shared" si="0"/>
        <v>Not to be included in this RFA</v>
      </c>
      <c r="O69" s="1377">
        <v>0</v>
      </c>
      <c r="P69" s="389"/>
    </row>
    <row r="70" spans="1:21" ht="17.5" hidden="1" customHeight="1">
      <c r="A70" s="1430" t="str">
        <f>IF(H$74=0,"",IF(COUNTIF(H$59:H$73,MAX(H$59:H$73))=1,"",IF(COUNTA(F$59:F70)=IFERROR(MATCH(MAX(H$59:H$73),H$59:H$73,0),""),"",IF(N(H70)=MAX(H$59:H$73),COUNTA(F$59:F70),""))))</f>
        <v/>
      </c>
      <c r="B70" s="1963">
        <f t="shared" si="1"/>
        <v>0</v>
      </c>
      <c r="C70" s="2160"/>
      <c r="D70" s="2161"/>
      <c r="E70" s="1027" t="s">
        <v>280</v>
      </c>
      <c r="F70" s="2155" t="s">
        <v>275</v>
      </c>
      <c r="G70" s="2155"/>
      <c r="H70" s="1028"/>
      <c r="I70" s="597">
        <v>1</v>
      </c>
      <c r="K70" s="1430"/>
      <c r="L70" s="1960">
        <f>IF(O70=1,IF(OR(AND(H$74&lt;Total_Units,COUNTIF(O$59:O70,1)=COUNTIF(H$59:H70,"&gt;0")+1,H70=0),AND(H$74&lt;Total_Units,COUNTIF(L$59:L69,1)=COUNTIF(H$59:H69,"&gt;0"),H70=0),AND(H$74=Total_Units,H70&gt;0)),1,2),O70)</f>
        <v>0</v>
      </c>
      <c r="M70" s="606">
        <f>IF(AND(L70&lt;&gt;0,H70&lt;&gt;""),L70,0)</f>
        <v>0</v>
      </c>
      <c r="N70" s="1025" t="str">
        <f>CHOOSE(L70+1,"Not to be included in this RFA","A REQUIRED input field for this RFA","An OPTIONAL input field for this RFA")</f>
        <v>Not to be included in this RFA</v>
      </c>
      <c r="O70" s="1377">
        <v>0</v>
      </c>
      <c r="P70" s="389"/>
    </row>
    <row r="71" spans="1:21" ht="17.5" hidden="1" customHeight="1">
      <c r="A71" s="1430" t="str">
        <f>IF(H$74=0,"",IF(COUNTIF(H$59:H$73,MAX(H$59:H$73))=1,"",IF(COUNTA(F$59:F71)=IFERROR(MATCH(MAX(H$59:H$73),H$59:H$73,0),""),"",IF(N(H71)=MAX(H$59:H$73),COUNTA(F$59:F71),""))))</f>
        <v/>
      </c>
      <c r="B71" s="1963">
        <f t="shared" si="1"/>
        <v>0</v>
      </c>
      <c r="C71" s="2160"/>
      <c r="D71" s="2161"/>
      <c r="E71" s="1027" t="s">
        <v>280</v>
      </c>
      <c r="F71" s="2155" t="s">
        <v>276</v>
      </c>
      <c r="G71" s="2155"/>
      <c r="H71" s="1028"/>
      <c r="I71" s="597">
        <v>1</v>
      </c>
      <c r="K71" s="1430"/>
      <c r="L71" s="1960">
        <f>IF(O71=1,IF(OR(AND(H$74&lt;Total_Units,COUNTIF(O$59:O71,1)=COUNTIF(H$59:H71,"&gt;0")+1,H71=0),AND(H$74&lt;Total_Units,COUNTIF(L$59:L70,1)=COUNTIF(H$59:H70,"&gt;0"),H71=0),AND(H$74=Total_Units,H71&gt;0)),1,2),O71)</f>
        <v>0</v>
      </c>
      <c r="M71" s="606">
        <f>IF(AND(L71&lt;&gt;0,H71&lt;&gt;""),L71,0)</f>
        <v>0</v>
      </c>
      <c r="N71" s="1025" t="str">
        <f>CHOOSE(L71+1,"Not to be included in this RFA","A REQUIRED input field for this RFA","An OPTIONAL input field for this RFA")</f>
        <v>Not to be included in this RFA</v>
      </c>
      <c r="O71" s="1377">
        <v>0</v>
      </c>
      <c r="P71" s="389"/>
    </row>
    <row r="72" spans="1:21" ht="17.5" hidden="1" customHeight="1">
      <c r="A72" s="1430" t="str">
        <f>IF(H$74=0,"",IF(COUNTIF(H$59:H$73,MAX(H$59:H$73))=1,"",IF(COUNTA(F$59:F72)=IFERROR(MATCH(MAX(H$59:H$73),H$59:H$73,0),""),"",IF(N(H72)=MAX(H$59:H$73),COUNTA(F$59:F72),""))))</f>
        <v/>
      </c>
      <c r="B72" s="1963">
        <f t="shared" si="1"/>
        <v>0</v>
      </c>
      <c r="C72" s="2160"/>
      <c r="D72" s="2161"/>
      <c r="E72" s="79" t="s">
        <v>278</v>
      </c>
      <c r="F72" s="2155" t="s">
        <v>275</v>
      </c>
      <c r="G72" s="2155"/>
      <c r="H72" s="401"/>
      <c r="I72" s="1087">
        <v>1</v>
      </c>
      <c r="K72" s="1430"/>
      <c r="L72" s="1960">
        <f>IF(O72=1,IF(OR(AND(H$74&lt;Total_Units,COUNTIF(O$59:O72,1)=COUNTIF(H$59:H72,"&gt;0")+1,H72=0),AND(H$74&lt;Total_Units,COUNTIF(L$59:L71,1)=COUNTIF(H$59:H71,"&gt;0"),H72=0),AND(H$74=Total_Units,H72&gt;0)),1,2),O72)</f>
        <v>0</v>
      </c>
      <c r="M72" s="606">
        <f>IF(AND(L72&lt;&gt;0,H72&lt;&gt;""),L72,0)</f>
        <v>0</v>
      </c>
      <c r="N72" s="1025" t="str">
        <f>CHOOSE(L72+1,"Not to be included in this RFA","A REQUIRED input field for this RFA","An OPTIONAL input field for this RFA")</f>
        <v>Not to be included in this RFA</v>
      </c>
      <c r="O72" s="1377">
        <v>0</v>
      </c>
      <c r="P72" s="389"/>
    </row>
    <row r="73" spans="1:21" ht="17.5" hidden="1" customHeight="1" thickBot="1">
      <c r="A73" s="1430" t="str">
        <f>IF(H$74=0,"",IF(COUNTIF(H$59:H$73,MAX(H$59:H$73))=1,"",IF(COUNTA(F$59:F73)=IFERROR(MATCH(MAX(H$59:H$73),H$59:H$73,0),""),"",IF(N(H73)=MAX(H$59:H$73),COUNTA(F$59:F73),""))))</f>
        <v/>
      </c>
      <c r="B73" s="1963">
        <f t="shared" si="1"/>
        <v>0</v>
      </c>
      <c r="C73" s="2162"/>
      <c r="D73" s="2163"/>
      <c r="E73" s="79" t="s">
        <v>278</v>
      </c>
      <c r="F73" s="2155" t="s">
        <v>276</v>
      </c>
      <c r="G73" s="2155"/>
      <c r="H73" s="401"/>
      <c r="I73" s="1087">
        <v>1</v>
      </c>
      <c r="K73" s="1430"/>
      <c r="L73" s="1960">
        <f>IF(O73=1,IF(OR(AND(H$74&lt;Total_Units,COUNTIF(O$59:O73,1)=COUNTIF(H$59:H73,"&gt;0")+1,H73=0),AND(H$74&lt;Total_Units,COUNTIF(L$59:L72,1)=COUNTIF(H$59:H72,"&gt;0"),H73=0),AND(H$74=Total_Units,H73&gt;0)),1,2),O73)</f>
        <v>0</v>
      </c>
      <c r="M73" s="606">
        <f t="shared" si="2"/>
        <v>0</v>
      </c>
      <c r="N73" s="378" t="str">
        <f t="shared" si="0"/>
        <v>Not to be included in this RFA</v>
      </c>
      <c r="O73" s="1377">
        <v>0</v>
      </c>
    </row>
    <row r="74" spans="1:21" ht="17.5" customHeight="1" thickTop="1">
      <c r="A74" s="389"/>
      <c r="B74" s="149"/>
      <c r="C74" s="1633"/>
      <c r="D74" s="1633"/>
      <c r="E74" s="1633"/>
      <c r="F74" s="1634"/>
      <c r="G74" s="154" t="s">
        <v>281</v>
      </c>
      <c r="H74" s="1964">
        <f>SUM(H59:H73)</f>
        <v>0</v>
      </c>
      <c r="I74" s="598">
        <f>IF(H74=0,0,SUMPRODUCT(H59:H73,I59:I73)/H74)</f>
        <v>0</v>
      </c>
      <c r="K74" s="1552"/>
      <c r="L74" s="1552"/>
      <c r="M74" s="1552"/>
      <c r="N74" s="1552"/>
      <c r="O74" s="1552"/>
      <c r="P74" s="1552"/>
      <c r="Q74" s="1552"/>
      <c r="R74" s="1552"/>
      <c r="S74" s="1552"/>
      <c r="T74" s="1552"/>
      <c r="U74" s="1552"/>
    </row>
    <row r="75" spans="1:21" ht="10.4" customHeight="1">
      <c r="A75" s="16"/>
      <c r="B75" s="149"/>
      <c r="C75" s="149"/>
      <c r="D75" s="149"/>
      <c r="E75" s="149"/>
      <c r="F75" s="149"/>
      <c r="G75" s="149"/>
      <c r="H75" s="16"/>
      <c r="I75" s="16"/>
      <c r="J75" s="1554"/>
      <c r="K75" s="1552"/>
      <c r="L75" s="1552"/>
      <c r="M75" s="1552"/>
      <c r="N75" s="1552"/>
      <c r="O75" s="1552"/>
      <c r="P75" s="1552"/>
      <c r="Q75" s="1552"/>
      <c r="R75" s="1552"/>
      <c r="S75" s="1552"/>
      <c r="T75" s="1552"/>
      <c r="U75" s="1552"/>
    </row>
    <row r="76" spans="1:21" ht="14.5" customHeight="1">
      <c r="A76" s="1551"/>
      <c r="B76" s="1547"/>
      <c r="C76" s="2157"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f>
        <v>The number of units calculated here matches the 0 units in stated at 6.a.</v>
      </c>
      <c r="D76" s="2157"/>
      <c r="E76" s="2157"/>
      <c r="F76" s="2157"/>
      <c r="G76" s="2157"/>
      <c r="H76" s="2157"/>
      <c r="I76" s="2157"/>
      <c r="J76" s="1553"/>
      <c r="K76" s="1545"/>
      <c r="L76" s="1545"/>
      <c r="M76" s="1545"/>
      <c r="N76" s="1545"/>
      <c r="O76" s="1545"/>
      <c r="P76" s="1545"/>
      <c r="Q76" s="1545"/>
      <c r="R76" s="1545"/>
      <c r="S76" s="1545"/>
      <c r="T76" s="1545"/>
      <c r="U76" s="1545"/>
    </row>
    <row r="77" spans="1:21" ht="10.4" customHeight="1">
      <c r="A77" s="1551"/>
      <c r="B77" s="1547"/>
      <c r="C77" s="1547"/>
      <c r="D77" s="1547"/>
      <c r="E77" s="1547"/>
      <c r="F77" s="1547"/>
      <c r="G77" s="1547"/>
      <c r="H77" s="1551"/>
      <c r="I77" s="1551"/>
      <c r="J77" s="1553"/>
      <c r="K77" s="1545"/>
      <c r="L77" s="1545"/>
      <c r="M77" s="1545"/>
      <c r="N77" s="1545"/>
      <c r="O77" s="1545"/>
      <c r="P77" s="1545"/>
      <c r="Q77" s="1545"/>
      <c r="R77" s="1545"/>
      <c r="S77" s="1545"/>
      <c r="T77" s="1545"/>
      <c r="U77" s="1545"/>
    </row>
    <row r="78" spans="1:21" ht="30" customHeight="1">
      <c r="A78" s="16"/>
      <c r="B78" s="2134" t="s">
        <v>845</v>
      </c>
      <c r="C78" s="2134"/>
      <c r="D78" s="2134"/>
      <c r="E78" s="2134"/>
      <c r="F78" s="2134"/>
      <c r="G78" s="2134"/>
      <c r="H78" s="2134"/>
      <c r="I78" s="2134"/>
      <c r="J78" s="1554"/>
      <c r="K78" s="1552"/>
      <c r="L78" s="542"/>
      <c r="M78" s="542"/>
      <c r="N78" s="542"/>
      <c r="O78" s="542"/>
      <c r="P78" s="542"/>
    </row>
    <row r="79" spans="1:21" ht="78" customHeight="1">
      <c r="B79" s="2101" t="str" cm="1">
        <f t="array" aca="1" ref="B79"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79" s="2101"/>
      <c r="D79" s="2101"/>
      <c r="E79" s="2101"/>
      <c r="F79" s="2101"/>
      <c r="G79" s="2101"/>
      <c r="H79" s="2101"/>
      <c r="I79" s="2101"/>
    </row>
    <row r="80" spans="1:21" ht="10.4" customHeight="1">
      <c r="A80" s="389"/>
      <c r="B80" s="389"/>
      <c r="C80" s="389"/>
      <c r="D80" s="389"/>
      <c r="E80" s="389"/>
      <c r="F80" s="389"/>
      <c r="G80" s="389"/>
      <c r="H80" s="389"/>
      <c r="I80" s="389"/>
    </row>
    <row r="81" spans="1:9">
      <c r="A81" s="389"/>
      <c r="B81" s="389"/>
      <c r="C81" s="389"/>
      <c r="D81" s="389"/>
      <c r="E81" s="389"/>
      <c r="F81" s="389"/>
      <c r="G81" s="389"/>
      <c r="H81" s="389"/>
      <c r="I81" s="389"/>
    </row>
    <row r="82" spans="1:9">
      <c r="A82" s="389"/>
      <c r="B82" s="389"/>
      <c r="C82" s="389"/>
      <c r="D82" s="389"/>
      <c r="E82" s="389"/>
      <c r="F82" s="389"/>
      <c r="G82" s="389"/>
      <c r="H82" s="389"/>
      <c r="I82" s="389"/>
    </row>
    <row r="83" spans="1:9">
      <c r="A83" s="389"/>
      <c r="B83" s="389"/>
      <c r="C83" s="389"/>
      <c r="D83" s="389"/>
      <c r="E83" s="389"/>
      <c r="F83" s="389"/>
      <c r="G83" s="389"/>
      <c r="H83" s="389"/>
      <c r="I83" s="389"/>
    </row>
  </sheetData>
  <sheetProtection algorithmName="SHA-512" hashValue="OZQuabxO69zRhiUQiDXh5H+WMGpsDUucWhTIJ4K7VSfQQB6IOnX+UX/7oQPHLC9fvyzS1itSHkDkrYI8yv3xGA==" saltValue="T5Shi/k7uJT/pRJjV999pQ==" spinCount="100000" sheet="1" objects="1" scenarios="1" formatRows="0" selectLockedCells="1"/>
  <mergeCells count="57">
    <mergeCell ref="L4:O4"/>
    <mergeCell ref="K1:AB2"/>
    <mergeCell ref="A1:I1"/>
    <mergeCell ref="B3:F3"/>
    <mergeCell ref="G3:I3"/>
    <mergeCell ref="C19:I19"/>
    <mergeCell ref="C13:I13"/>
    <mergeCell ref="C20:H20"/>
    <mergeCell ref="C16:I16"/>
    <mergeCell ref="G6:H6"/>
    <mergeCell ref="C10:I10"/>
    <mergeCell ref="F7:H7"/>
    <mergeCell ref="E35:I35"/>
    <mergeCell ref="B55:I55"/>
    <mergeCell ref="C12:H12"/>
    <mergeCell ref="C14:H14"/>
    <mergeCell ref="C15:I15"/>
    <mergeCell ref="C17:H17"/>
    <mergeCell ref="C18:I18"/>
    <mergeCell ref="C22:I22"/>
    <mergeCell ref="B51:I51"/>
    <mergeCell ref="G30:I30"/>
    <mergeCell ref="F43:I46"/>
    <mergeCell ref="D47:I47"/>
    <mergeCell ref="E25:I25"/>
    <mergeCell ref="E27:I27"/>
    <mergeCell ref="D32:E32"/>
    <mergeCell ref="B14:B18"/>
    <mergeCell ref="I57:I58"/>
    <mergeCell ref="F59:G59"/>
    <mergeCell ref="F60:G60"/>
    <mergeCell ref="F61:G61"/>
    <mergeCell ref="F62:G62"/>
    <mergeCell ref="H57:H58"/>
    <mergeCell ref="C68:D73"/>
    <mergeCell ref="F66:G66"/>
    <mergeCell ref="F67:G67"/>
    <mergeCell ref="C57:G58"/>
    <mergeCell ref="C59:D67"/>
    <mergeCell ref="F63:G63"/>
    <mergeCell ref="F73:G73"/>
    <mergeCell ref="N15:N16"/>
    <mergeCell ref="C52:I52"/>
    <mergeCell ref="B79:I79"/>
    <mergeCell ref="E41:I41"/>
    <mergeCell ref="D38:I38"/>
    <mergeCell ref="D39:E39"/>
    <mergeCell ref="C45:E45"/>
    <mergeCell ref="B78:I78"/>
    <mergeCell ref="F64:G64"/>
    <mergeCell ref="F65:G65"/>
    <mergeCell ref="F71:G71"/>
    <mergeCell ref="F72:G72"/>
    <mergeCell ref="F70:G70"/>
    <mergeCell ref="F68:G68"/>
    <mergeCell ref="F69:G69"/>
    <mergeCell ref="C76:I76"/>
  </mergeCells>
  <conditionalFormatting sqref="G3">
    <cfRule type="cellIs" dxfId="554" priority="8" operator="notEqual">
      <formula>""</formula>
    </cfRule>
  </conditionalFormatting>
  <conditionalFormatting sqref="G6:H6">
    <cfRule type="cellIs" dxfId="553" priority="9" stopIfTrue="1" operator="equal">
      <formula>""</formula>
    </cfRule>
    <cfRule type="cellIs" dxfId="552" priority="11" operator="notEqual">
      <formula>"&lt;select one&gt;"</formula>
    </cfRule>
  </conditionalFormatting>
  <conditionalFormatting sqref="F28:F32">
    <cfRule type="cellIs" dxfId="551" priority="43" operator="notEqual">
      <formula>""</formula>
    </cfRule>
  </conditionalFormatting>
  <conditionalFormatting sqref="C45">
    <cfRule type="cellIs" dxfId="550" priority="108" stopIfTrue="1" operator="equal">
      <formula>""</formula>
    </cfRule>
    <cfRule type="cellIs" dxfId="549" priority="109" operator="notEqual">
      <formula>"&lt;select one&gt;"</formula>
    </cfRule>
  </conditionalFormatting>
  <conditionalFormatting sqref="D39">
    <cfRule type="cellIs" dxfId="548" priority="102" stopIfTrue="1" operator="equal">
      <formula>""</formula>
    </cfRule>
    <cfRule type="cellIs" dxfId="547" priority="103" operator="notEqual">
      <formula>"&lt;select one&gt;"</formula>
    </cfRule>
  </conditionalFormatting>
  <conditionalFormatting sqref="H59:H73">
    <cfRule type="cellIs" dxfId="546" priority="159" operator="notEqual">
      <formula>""</formula>
    </cfRule>
  </conditionalFormatting>
  <conditionalFormatting sqref="B8:I22">
    <cfRule type="expression" dxfId="545" priority="14">
      <formula>$N$8=0</formula>
    </cfRule>
  </conditionalFormatting>
  <conditionalFormatting sqref="G30:I30">
    <cfRule type="cellIs" dxfId="544" priority="49" operator="notEqual">
      <formula>""</formula>
    </cfRule>
  </conditionalFormatting>
  <conditionalFormatting sqref="F43:F44">
    <cfRule type="expression" dxfId="543" priority="107">
      <formula>FIND("NOT",F43)</formula>
    </cfRule>
  </conditionalFormatting>
  <conditionalFormatting sqref="E59:I73">
    <cfRule type="expression" dxfId="542" priority="156">
      <formula>$L59=0</formula>
    </cfRule>
  </conditionalFormatting>
  <conditionalFormatting sqref="A50:I53">
    <cfRule type="expression" dxfId="541" priority="114">
      <formula>$L$52=0</formula>
    </cfRule>
  </conditionalFormatting>
  <conditionalFormatting sqref="A23:I36">
    <cfRule type="expression" dxfId="540" priority="42">
      <formula>$N$23=0</formula>
    </cfRule>
  </conditionalFormatting>
  <conditionalFormatting sqref="A37:I42">
    <cfRule type="expression" dxfId="539" priority="56">
      <formula>$L$39=0</formula>
    </cfRule>
  </conditionalFormatting>
  <conditionalFormatting sqref="B12:I22">
    <cfRule type="expression" dxfId="538" priority="18">
      <formula>$N$12=0</formula>
    </cfRule>
  </conditionalFormatting>
  <conditionalFormatting sqref="B10:I11">
    <cfRule type="expression" dxfId="537" priority="16">
      <formula>$N$10=0</formula>
    </cfRule>
  </conditionalFormatting>
  <conditionalFormatting sqref="C14">
    <cfRule type="expression" dxfId="536" priority="27">
      <formula>IFERROR(FIND("NOT",$C14)&gt;0,0)&gt;0</formula>
    </cfRule>
    <cfRule type="expression" dxfId="535" priority="28">
      <formula>IFERROR(FIND("Applicant still needs to",$C14)&gt;0,0)&gt;0</formula>
    </cfRule>
  </conditionalFormatting>
  <conditionalFormatting sqref="I14">
    <cfRule type="expression" dxfId="534" priority="26">
      <formula>AND(Development_Category&lt;&gt;"Rehabilitation",Development_Category&lt;&gt;"Acquisition and Rehabilitation",Development_Category&lt;&gt;"Preservation",Development_Category&lt;&gt;"Acquisition and Preservation")</formula>
    </cfRule>
  </conditionalFormatting>
  <conditionalFormatting sqref="I17">
    <cfRule type="expression" dxfId="533" priority="31">
      <formula>AND(Development_Category&lt;&gt;"Rehabilitation",Development_Category&lt;&gt;"Acquisition and Rehabilitation",Development_Category&lt;&gt;"Preservation",Development_Category&lt;&gt;"Acquisition and Preservation")</formula>
    </cfRule>
  </conditionalFormatting>
  <conditionalFormatting sqref="C12 C15 C17">
    <cfRule type="expression" dxfId="532" priority="19">
      <formula>IFERROR(FIND("NOT",$C12)&gt;0,0)&gt;0</formula>
    </cfRule>
    <cfRule type="expression" dxfId="531" priority="20">
      <formula>IFERROR(FIND("Applicant still needs to",$C12)&gt;0,0)&gt;0</formula>
    </cfRule>
  </conditionalFormatting>
  <conditionalFormatting sqref="I12 I14 I17 I20">
    <cfRule type="cellIs" dxfId="530" priority="21" operator="equal">
      <formula>"No"</formula>
    </cfRule>
  </conditionalFormatting>
  <conditionalFormatting sqref="C22:I22">
    <cfRule type="expression" dxfId="529" priority="37">
      <formula>AND($C22&lt;&gt;"This area intentionally left blank.",$C22&lt;&gt;"")</formula>
    </cfRule>
  </conditionalFormatting>
  <conditionalFormatting sqref="A43:I49">
    <cfRule type="expression" dxfId="528" priority="5">
      <formula>$L$45=0</formula>
    </cfRule>
  </conditionalFormatting>
  <conditionalFormatting sqref="F7:H7">
    <cfRule type="cellIs" dxfId="527" priority="12" operator="notEqual">
      <formula>""</formula>
    </cfRule>
  </conditionalFormatting>
  <conditionalFormatting sqref="C18">
    <cfRule type="expression" dxfId="526" priority="32">
      <formula>IFERROR(FIND("Applicant still needs to",$C18)&gt;0,0)&gt;0</formula>
    </cfRule>
    <cfRule type="expression" dxfId="525" priority="34">
      <formula>IFERROR(FIND("NOT",$C18)&gt;0,0)&gt;0</formula>
    </cfRule>
  </conditionalFormatting>
  <conditionalFormatting sqref="B32:I33">
    <cfRule type="expression" dxfId="524" priority="52">
      <formula>$L$32=0</formula>
    </cfRule>
  </conditionalFormatting>
  <conditionalFormatting sqref="B14:B18">
    <cfRule type="expression" dxfId="523" priority="24">
      <formula>$C$14="This area intentionally left blank."</formula>
    </cfRule>
  </conditionalFormatting>
  <conditionalFormatting sqref="C19:I19">
    <cfRule type="expression" dxfId="522" priority="35">
      <formula>$C$14="This area intentionally left blank."</formula>
    </cfRule>
  </conditionalFormatting>
  <conditionalFormatting sqref="C13:I13">
    <cfRule type="expression" dxfId="521" priority="23">
      <formula>$C$14="This area intentionally left blank."</formula>
    </cfRule>
  </conditionalFormatting>
  <conditionalFormatting sqref="C15:I16 C18:I18">
    <cfRule type="expression" dxfId="520" priority="30">
      <formula>$C$14="This area intentionally left blank."</formula>
    </cfRule>
  </conditionalFormatting>
  <conditionalFormatting sqref="C10 C14 C22">
    <cfRule type="cellIs" dxfId="519" priority="17" operator="equal">
      <formula>"This area intentionally left blank."</formula>
    </cfRule>
  </conditionalFormatting>
  <conditionalFormatting sqref="C14:I19">
    <cfRule type="expression" dxfId="518" priority="25">
      <formula>$N$14=0</formula>
    </cfRule>
  </conditionalFormatting>
  <conditionalFormatting sqref="B78:I78">
    <cfRule type="expression" dxfId="517" priority="1735">
      <formula>$O$66+$O$67+$O$72+$O$73=0</formula>
    </cfRule>
  </conditionalFormatting>
  <conditionalFormatting sqref="C52:I52">
    <cfRule type="expression" dxfId="516" priority="116">
      <formula>IFERROR(LEFT($C52,2),"")="No"</formula>
    </cfRule>
    <cfRule type="expression" dxfId="515" priority="150">
      <formula>IFERROR(LEFT($C52,3),"")="Yes"</formula>
    </cfRule>
  </conditionalFormatting>
  <conditionalFormatting sqref="H32">
    <cfRule type="cellIs" dxfId="514" priority="54" operator="notEqual">
      <formula>"&lt;select one&gt;"</formula>
    </cfRule>
  </conditionalFormatting>
  <conditionalFormatting sqref="E35:I35">
    <cfRule type="cellIs" dxfId="513" priority="152" operator="equal">
      <formula>"This Application qualifies for RA Level 6."</formula>
    </cfRule>
  </conditionalFormatting>
  <conditionalFormatting sqref="D38:I38 E41:I41 D39:E39">
    <cfRule type="expression" dxfId="512" priority="4">
      <formula>AND(Development_Category&lt;&gt;"&lt;select one&gt;",Development_Category&lt;&gt;"Rehabilitation",Development_Category&lt;&gt;"Acquisition and Rehabilitation")</formula>
    </cfRule>
  </conditionalFormatting>
  <conditionalFormatting sqref="D39:E39">
    <cfRule type="expression" dxfId="511" priority="3">
      <formula>AND(Development_Category&lt;&gt;"&lt;select one&gt;",Development_Category&lt;&gt;"Rehabilitation",Development_Category&lt;&gt;"Acquisition and Rehabilitation")</formula>
    </cfRule>
  </conditionalFormatting>
  <conditionalFormatting sqref="H74">
    <cfRule type="cellIs" dxfId="510" priority="1" stopIfTrue="1" operator="notEqual">
      <formula>Total_Units</formula>
    </cfRule>
    <cfRule type="expression" dxfId="509" priority="2">
      <formula>AND(H74=Total_Units,H74&lt;&gt;0)</formula>
    </cfRule>
  </conditionalFormatting>
  <dataValidations count="4">
    <dataValidation type="list" allowBlank="1" showInputMessage="1" showErrorMessage="1" sqref="E40 D39" xr:uid="{B5EE8E3B-0709-4B9E-AE62-1DC2AA9646C6}">
      <formula1>"&lt;select one&gt;, Yes, No"</formula1>
    </dataValidation>
    <dataValidation type="list" allowBlank="1" showInputMessage="1" showErrorMessage="1" sqref="G6:H6" xr:uid="{964FFFAA-1FAD-4533-B6F5-97867934EA41}">
      <formula1>DS_DevCat_DDMenu</formula1>
    </dataValidation>
    <dataValidation type="whole" operator="greaterThanOrEqual" allowBlank="1" showInputMessage="1" showErrorMessage="1" sqref="F30:F32" xr:uid="{1DCF8483-F436-43DD-8662-E041D85C294D}">
      <formula1>0</formula1>
    </dataValidation>
    <dataValidation type="list" allowBlank="1" showInputMessage="1" showErrorMessage="1" sqref="H32" xr:uid="{4ADEDEAD-22E4-47E7-96BC-E9B92E801898}">
      <formula1>DS_RA_Source_DDMenu</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3" id="{BC88F2F8-6902-4443-A600-178F6A8F1684}">
            <xm:f>Data1!$E$603="Yes"</xm:f>
            <x14:dxf>
              <font>
                <color theme="0"/>
              </font>
              <fill>
                <patternFill>
                  <bgColor theme="0"/>
                </patternFill>
              </fill>
              <border>
                <left/>
                <right/>
                <top/>
                <bottom/>
              </border>
            </x14:dxf>
          </x14:cfRule>
          <xm:sqref>L3:N3 L6:N6 N8 N10 N12 N14:N15 L17:O18 N23 L28:O28 L30:O32 N37 L39:N39 L45:N45 L52:N52 N59:O73</xm:sqref>
        </x14:conditionalFormatting>
        <x14:conditionalFormatting xmlns:xm="http://schemas.microsoft.com/office/excel/2006/main">
          <x14:cfRule type="expression" priority="15" id="{00000000-000E-0000-0800-00001B000000}">
            <xm:f>Data1!$T$173=0</xm:f>
            <x14:dxf>
              <fill>
                <patternFill patternType="darkUp">
                  <fgColor theme="0" tint="-0.24994659260841701"/>
                </patternFill>
              </fill>
            </x14:dxf>
          </x14:cfRule>
          <xm:sqref>B9:I11</xm:sqref>
        </x14:conditionalFormatting>
        <x14:conditionalFormatting xmlns:xm="http://schemas.microsoft.com/office/excel/2006/main">
          <x14:cfRule type="expression" priority="1642" id="{6A24685D-6F75-43C3-9658-14700296D782}">
            <xm:f>$H$74&lt;&gt;'Units, Set-Asides, Bldgs'!$K$3</xm:f>
            <x14:dxf>
              <font>
                <b val="0"/>
                <i val="0"/>
                <strike val="0"/>
                <color rgb="FFC00000"/>
              </font>
              <fill>
                <patternFill>
                  <bgColor rgb="FFFFE6FF"/>
                </patternFill>
              </fill>
            </x14:dxf>
          </x14:cfRule>
          <xm:sqref>C76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Data1!$F$326:$F$338</xm:f>
          </x14:formula1>
          <xm:sqref>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36"/>
  <sheetViews>
    <sheetView showGridLines="0" zoomScaleNormal="100" zoomScaleSheetLayoutView="100" workbookViewId="0">
      <pane ySplit="2" topLeftCell="A3" activePane="bottomLeft" state="frozen"/>
      <selection pane="bottomLeft" activeCell="F3" sqref="F3"/>
    </sheetView>
  </sheetViews>
  <sheetFormatPr defaultColWidth="8.54296875" defaultRowHeight="14.5"/>
  <cols>
    <col min="1" max="1" width="3" style="42" customWidth="1"/>
    <col min="2" max="3" width="3.54296875" style="42" customWidth="1"/>
    <col min="4" max="4" width="4.453125" style="42" customWidth="1"/>
    <col min="5" max="6" width="23.453125" style="42" customWidth="1"/>
    <col min="7" max="7" width="16.453125" style="42" customWidth="1"/>
    <col min="8" max="8" width="13.54296875" style="42" customWidth="1"/>
    <col min="9" max="9" width="11.453125" style="42" customWidth="1"/>
    <col min="10" max="10" width="8.54296875" style="42"/>
    <col min="11" max="11" width="8.81640625" style="42" customWidth="1"/>
    <col min="12" max="12" width="3.54296875" style="42" customWidth="1"/>
    <col min="13" max="14" width="3.54296875" style="42" hidden="1" customWidth="1"/>
    <col min="15" max="15" width="35.81640625" style="42" hidden="1" customWidth="1"/>
    <col min="16" max="16" width="3.54296875" style="42" hidden="1" customWidth="1"/>
    <col min="17" max="16384" width="8.54296875" style="42"/>
  </cols>
  <sheetData>
    <row r="1" spans="1:31" ht="35.9" customHeight="1" thickBot="1">
      <c r="A1" s="2115" t="s">
        <v>282</v>
      </c>
      <c r="B1" s="2116"/>
      <c r="C1" s="2116"/>
      <c r="D1" s="2116"/>
      <c r="E1" s="2116"/>
      <c r="F1" s="2116"/>
      <c r="G1" s="2116"/>
      <c r="H1" s="2116"/>
      <c r="I1" s="2116"/>
      <c r="J1" s="2117"/>
      <c r="L1" s="2142" t="str">
        <f>"There are "&amp;TEXT(COUNTIF($M$3:$M$31,"=1"),"0")&amp;" required input fields and "&amp;TEXT(COUNTIF($M$3:$M$31,"=2"),"0")&amp;" optional input fields tracked on this tab."&amp;CHAR(10)&amp;"There "&amp;IF(COUNTIFS($M$3:$M$31,"=1",$N$3:$N$31,"=1")=1,"is 1 required input field","are "&amp;TEXT(COUNTIFS($M$3:$M$31,"=1",$N$3:$N$31,"=1"),"0")&amp;" required input fields")&amp;" and "&amp;TEXT(COUNTIFS($M$3:$M$31,"=2",$N$3:$N$31,"=2"),"0")&amp;" optional input field"&amp;IF(COUNTIFS($M$3:$M$31,"=2",$N$3:$N$31,"=2")=1," with an entry","s with entries")&amp;" tracked on this tab."&amp;CHAR(10)&amp;"There "&amp;IF(Data1!G604=1,"is ","are ")&amp;TEXT(Data1!G604,"0")&amp;" required input field"&amp;IF(Data1!G604=1," that need an entry","s that need entries")&amp;" and "&amp;TEXT(Data1!H604,"0")&amp;" optional input field"&amp;IF(Data1!H604=1,"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142"/>
      <c r="N1" s="2142"/>
      <c r="O1" s="2142"/>
      <c r="P1" s="2142"/>
      <c r="Q1" s="2142"/>
      <c r="R1" s="2142"/>
      <c r="S1" s="2142"/>
      <c r="T1" s="2142"/>
      <c r="U1" s="2142"/>
      <c r="V1" s="2142"/>
      <c r="W1" s="2142"/>
      <c r="X1" s="2142"/>
      <c r="Y1" s="2142"/>
      <c r="Z1" s="2142"/>
      <c r="AA1" s="2142"/>
      <c r="AB1" s="2142"/>
      <c r="AC1" s="2142"/>
      <c r="AD1" s="2142"/>
      <c r="AE1" s="2142"/>
    </row>
    <row r="2" spans="1:31" ht="14.5" customHeight="1">
      <c r="A2" s="4"/>
      <c r="B2" s="4"/>
      <c r="C2" s="4"/>
      <c r="D2" s="4"/>
      <c r="E2" s="4"/>
      <c r="F2" s="4"/>
      <c r="G2" s="4"/>
      <c r="H2" s="4"/>
      <c r="I2" s="4"/>
      <c r="J2" s="4"/>
      <c r="L2" s="2142"/>
      <c r="M2" s="2142"/>
      <c r="N2" s="2142"/>
      <c r="O2" s="2142"/>
      <c r="P2" s="2142"/>
      <c r="Q2" s="2142"/>
      <c r="R2" s="2142"/>
      <c r="S2" s="2142"/>
      <c r="T2" s="2142"/>
      <c r="U2" s="2142"/>
      <c r="V2" s="2142"/>
      <c r="W2" s="2142"/>
      <c r="X2" s="2142"/>
      <c r="Y2" s="2142"/>
      <c r="Z2" s="2142"/>
      <c r="AA2" s="2142"/>
      <c r="AB2" s="2142"/>
      <c r="AC2" s="2142"/>
      <c r="AD2" s="2142"/>
      <c r="AE2" s="2142"/>
    </row>
    <row r="3" spans="1:31" ht="17.5" customHeight="1">
      <c r="A3" s="1071" t="s">
        <v>914</v>
      </c>
      <c r="B3" s="2194" t="s">
        <v>283</v>
      </c>
      <c r="C3" s="2194"/>
      <c r="D3" s="2194"/>
      <c r="E3" s="2194"/>
      <c r="F3" s="367" t="s">
        <v>2</v>
      </c>
      <c r="G3" s="950" t="s">
        <v>1150</v>
      </c>
      <c r="H3" s="1565" t="str">
        <f>IF(County="&lt;select one&gt;","",LOOKUP(County,Data1!A250:A316,Data1!H250:H316))</f>
        <v/>
      </c>
      <c r="I3" s="43"/>
      <c r="J3" s="4"/>
      <c r="M3" s="403">
        <v>1</v>
      </c>
      <c r="N3" s="606">
        <f>IF(AND(M3&lt;&gt;0,AND(F3&lt;&gt;"&lt;select one&gt;",F3&lt;&gt;"")),M3,0)</f>
        <v>0</v>
      </c>
      <c r="O3" s="1276" t="str">
        <f>CHOOSE(M3+1,"Not to be included in this RFA","A REQUIRED input field for this RFA","An OPTIONAL input field for this RFA")</f>
        <v>A REQUIRED input field for this RFA</v>
      </c>
    </row>
    <row r="4" spans="1:31" ht="14.5" customHeight="1">
      <c r="A4" s="4"/>
      <c r="B4" s="4"/>
      <c r="C4" s="1419" t="str">
        <f>IF(F3="&lt;select one&gt;","(The proposed Development's County must have an entry to turn on some of the validation formulas in Exhibit A)","")</f>
        <v>(The proposed Development's County must have an entry to turn on some of the validation formulas in Exhibit A)</v>
      </c>
      <c r="D4" s="4"/>
      <c r="E4" s="4"/>
      <c r="F4" s="4"/>
      <c r="G4" s="4"/>
      <c r="H4" s="4"/>
      <c r="I4" s="4"/>
      <c r="J4" s="4"/>
      <c r="M4" s="2147" t="s">
        <v>1772</v>
      </c>
      <c r="N4" s="2147"/>
      <c r="O4" s="2147"/>
      <c r="P4" s="2147"/>
    </row>
    <row r="5" spans="1:31" ht="35.15" customHeight="1">
      <c r="A5" s="4"/>
      <c r="B5" s="568" t="str">
        <f>IF(M5&lt;&gt;0,"(1)","(-)")</f>
        <v>(1)</v>
      </c>
      <c r="C5" s="2134" t="s">
        <v>1657</v>
      </c>
      <c r="D5" s="2134"/>
      <c r="E5" s="2134"/>
      <c r="F5" s="2134"/>
      <c r="G5" s="2134"/>
      <c r="H5" s="2200" t="s">
        <v>2</v>
      </c>
      <c r="I5" s="2200"/>
      <c r="J5" s="2200"/>
      <c r="M5" s="1711">
        <f>IF(P5=0,0,IF(County="Monroe",1,2))</f>
        <v>2</v>
      </c>
      <c r="N5" s="395">
        <f>IF(AND(M5&lt;&gt;0,AND(H5&lt;&gt;"&lt;select one&gt;",H5&lt;&gt;"")),M5,0)</f>
        <v>0</v>
      </c>
      <c r="O5" s="575" t="str">
        <f>CHOOSE(M5+1,"Not to be included in this RFA","A REQUIRED input field for this RFA","An OPTIONAL input field for this RFA")</f>
        <v>An OPTIONAL input field for this RFA</v>
      </c>
      <c r="P5" s="569">
        <v>1</v>
      </c>
    </row>
    <row r="6" spans="1:31" ht="10.5" customHeight="1">
      <c r="A6" s="4"/>
      <c r="B6" s="4"/>
      <c r="C6" s="4"/>
      <c r="D6" s="4"/>
      <c r="E6" s="4"/>
      <c r="F6" s="4"/>
      <c r="G6" s="4"/>
      <c r="H6" s="4"/>
      <c r="I6" s="4"/>
      <c r="J6" s="4"/>
      <c r="M6" s="222"/>
    </row>
    <row r="7" spans="1:31" ht="35.15" hidden="1" customHeight="1">
      <c r="A7" s="4"/>
      <c r="B7" s="568" t="str">
        <f>IF(AND(M7&lt;&gt;0,M5&lt;&gt;0),"(2)",IF(AND(M7&lt;&gt;0,M5=0),"(1)","(-)"))</f>
        <v>(-)</v>
      </c>
      <c r="C7" s="2134" t="s">
        <v>1497</v>
      </c>
      <c r="D7" s="2134"/>
      <c r="E7" s="2134"/>
      <c r="F7" s="2134"/>
      <c r="G7" s="2134"/>
      <c r="H7" s="2200" t="s">
        <v>2</v>
      </c>
      <c r="I7" s="2200"/>
      <c r="J7" s="2200"/>
      <c r="M7" s="1711">
        <f>IF(P7=0,0,IF(County="Miami-Dade",1,2))</f>
        <v>0</v>
      </c>
      <c r="N7" s="395">
        <f>IF(AND(M7&lt;&gt;0,AND(H7&lt;&gt;"&lt;select one&gt;",H7&lt;&gt;"")),M7,0)</f>
        <v>0</v>
      </c>
      <c r="O7" s="575" t="str">
        <f>CHOOSE(M7+1,"Not to be included in this RFA","A REQUIRED input field for this RFA","An OPTIONAL input field for this RFA")</f>
        <v>Not to be included in this RFA</v>
      </c>
      <c r="P7" s="569">
        <v>0</v>
      </c>
    </row>
    <row r="8" spans="1:31" ht="10.4" hidden="1" customHeight="1">
      <c r="A8" s="4"/>
      <c r="B8" s="464"/>
      <c r="C8" s="4"/>
      <c r="D8" s="4"/>
      <c r="E8" s="4"/>
      <c r="F8" s="4"/>
      <c r="G8" s="4"/>
      <c r="H8" s="4"/>
      <c r="I8" s="4"/>
      <c r="J8" s="4"/>
    </row>
    <row r="9" spans="1:31" ht="14.5" customHeight="1">
      <c r="A9" s="1070" t="str" cm="1">
        <f t="array" ref="A9">IF($M11=0,"",CHAR(CODE(LOOKUP(2,1/(COUNTIF(A$3:A8,"&gt;"&amp;A$3:A8&amp;"*")=0),A$3:A8))+1))</f>
        <v>b</v>
      </c>
      <c r="B9" s="2198" t="s">
        <v>284</v>
      </c>
      <c r="C9" s="2198"/>
      <c r="D9" s="2198"/>
      <c r="E9" s="2198"/>
      <c r="F9" s="2198"/>
      <c r="G9" s="4"/>
      <c r="H9" s="4"/>
      <c r="I9" s="4"/>
      <c r="J9" s="4"/>
      <c r="M9" s="1566" t="s">
        <v>1774</v>
      </c>
    </row>
    <row r="10" spans="1:31" ht="14.5" customHeight="1">
      <c r="A10" s="4"/>
      <c r="B10" s="4" t="s">
        <v>285</v>
      </c>
      <c r="C10" s="4"/>
      <c r="D10" s="4"/>
      <c r="E10" s="4"/>
      <c r="F10" s="4"/>
      <c r="G10" s="4"/>
      <c r="H10" s="4"/>
      <c r="I10" s="4"/>
      <c r="M10" s="1566" t="s">
        <v>1775</v>
      </c>
    </row>
    <row r="11" spans="1:31" ht="118" customHeight="1">
      <c r="A11" s="4"/>
      <c r="B11" s="4"/>
      <c r="C11" s="4"/>
      <c r="D11" s="4"/>
      <c r="E11" s="2199"/>
      <c r="F11" s="2199"/>
      <c r="G11" s="2199"/>
      <c r="H11" s="2199"/>
      <c r="I11" s="2199"/>
      <c r="J11" s="2199"/>
      <c r="M11" s="569">
        <v>1</v>
      </c>
      <c r="N11" s="388">
        <f>IF(AND(M11&lt;&gt;0,E11&lt;&gt;""),M11,0)</f>
        <v>0</v>
      </c>
      <c r="O11" s="378" t="str">
        <f>CHOOSE(M11+1,"Not to be included in this RFA","A REQUIRED input field for this RFA","An OPTIONAL input field for this RFA")</f>
        <v>A REQUIRED input field for this RFA</v>
      </c>
    </row>
    <row r="12" spans="1:31" s="45" customFormat="1" ht="10.5" customHeight="1">
      <c r="A12" s="3"/>
      <c r="B12" s="3"/>
      <c r="C12" s="3"/>
      <c r="D12" s="3"/>
      <c r="E12" s="75"/>
      <c r="F12" s="75"/>
      <c r="G12" s="75"/>
      <c r="H12" s="75"/>
      <c r="I12" s="75"/>
      <c r="J12" s="75"/>
    </row>
    <row r="13" spans="1:31" ht="17.5" customHeight="1">
      <c r="A13" s="4"/>
      <c r="B13" s="4"/>
      <c r="C13" s="4"/>
      <c r="D13" s="4"/>
      <c r="E13" s="2111" t="s">
        <v>286</v>
      </c>
      <c r="F13" s="2111"/>
      <c r="G13" s="2152"/>
      <c r="H13" s="2152"/>
      <c r="I13" s="2152"/>
      <c r="J13" s="2152"/>
      <c r="M13" s="569">
        <v>1</v>
      </c>
      <c r="N13" s="388">
        <f>IF(AND(M13&lt;&gt;0,G13&lt;&gt;""),M13,0)</f>
        <v>0</v>
      </c>
      <c r="O13" s="378" t="str">
        <f>CHOOSE(M13+1,"Not to be included in this RFA","A REQUIRED input field for this RFA","An OPTIONAL input field for this RFA")</f>
        <v>A REQUIRED input field for this RFA</v>
      </c>
    </row>
    <row r="14" spans="1:31" ht="14.5" customHeight="1">
      <c r="A14" s="4"/>
      <c r="B14" s="4"/>
      <c r="C14" s="4"/>
      <c r="D14" s="4"/>
      <c r="E14" s="180" t="s">
        <v>287</v>
      </c>
      <c r="F14" s="4"/>
      <c r="G14" s="4"/>
      <c r="H14" s="4"/>
      <c r="I14" s="4"/>
      <c r="J14" s="4"/>
    </row>
    <row r="15" spans="1:31" ht="10.4" customHeight="1">
      <c r="A15" s="4"/>
      <c r="B15" s="4"/>
      <c r="C15" s="4"/>
      <c r="D15" s="4"/>
      <c r="E15" s="4"/>
      <c r="F15" s="4"/>
      <c r="G15" s="4"/>
      <c r="H15" s="4"/>
      <c r="I15" s="4"/>
      <c r="J15" s="4"/>
    </row>
    <row r="16" spans="1:31" ht="14.5" customHeight="1">
      <c r="A16" s="1070" t="str" cm="1">
        <f t="array" ref="A16">IF($M18=0,"",CHAR(CODE(LOOKUP(2,1/(COUNTIF(A$3:A15,"&gt;"&amp;A$3:A15&amp;"*")=0),A$3:A15))+1))</f>
        <v>c</v>
      </c>
      <c r="B16" s="46" t="s">
        <v>912</v>
      </c>
      <c r="C16" s="4"/>
      <c r="D16" s="4"/>
      <c r="E16" s="4"/>
      <c r="F16" s="4"/>
      <c r="G16" s="4"/>
      <c r="H16" s="4"/>
      <c r="I16" s="4"/>
      <c r="J16" s="4"/>
    </row>
    <row r="17" spans="1:15" ht="10.4" customHeight="1">
      <c r="A17" s="4"/>
      <c r="B17" s="4"/>
      <c r="C17" s="4"/>
      <c r="D17" s="4"/>
      <c r="E17" s="4"/>
      <c r="F17" s="4"/>
      <c r="G17" s="4"/>
      <c r="H17" s="4"/>
      <c r="I17" s="4"/>
      <c r="J17" s="4"/>
    </row>
    <row r="18" spans="1:15" ht="17.5" customHeight="1">
      <c r="A18" s="4"/>
      <c r="B18" s="133" t="s">
        <v>208</v>
      </c>
      <c r="C18" s="1561" t="s">
        <v>913</v>
      </c>
      <c r="D18" s="4"/>
      <c r="E18" s="4"/>
      <c r="F18" s="4"/>
      <c r="G18" s="1089" t="s">
        <v>2</v>
      </c>
      <c r="H18" s="4"/>
      <c r="I18" s="4"/>
      <c r="J18" s="4"/>
      <c r="M18" s="569">
        <v>1</v>
      </c>
      <c r="N18" s="395">
        <f>IF(AND(M18&lt;&gt;0,AND(G18&lt;&gt;"&lt;select one&gt;",G18&lt;&gt;"")),M18,0)</f>
        <v>0</v>
      </c>
      <c r="O18" s="378" t="str">
        <f>CHOOSE(M18+1,"Not to be included in this RFA","A REQUIRED input field for this RFA","An OPTIONAL input field for this RFA")</f>
        <v>A REQUIRED input field for this RFA</v>
      </c>
    </row>
    <row r="19" spans="1:15" ht="10.4" customHeight="1">
      <c r="A19" s="4"/>
      <c r="B19" s="4"/>
      <c r="C19" s="4"/>
      <c r="D19" s="4"/>
      <c r="E19" s="4"/>
      <c r="F19" s="4"/>
      <c r="G19" s="4"/>
      <c r="H19" s="4"/>
      <c r="I19" s="4"/>
      <c r="J19" s="4"/>
    </row>
    <row r="20" spans="1:15" ht="14.5" customHeight="1">
      <c r="A20" s="1070" t="str" cm="1">
        <f t="array" ref="A20">IF($M23=0,"",CHAR(CODE(LOOKUP(2,1/(COUNTIF(A$3:A19,"&gt;"&amp;A$3:A19&amp;"*")=0),A$3:A19))+1))</f>
        <v>d</v>
      </c>
      <c r="B20" s="46" t="s">
        <v>288</v>
      </c>
      <c r="C20" s="46"/>
      <c r="D20" s="46"/>
      <c r="E20" s="46"/>
      <c r="F20" s="46"/>
      <c r="G20" s="4"/>
      <c r="H20" s="4"/>
      <c r="I20" s="4"/>
      <c r="J20" s="610"/>
    </row>
    <row r="21" spans="1:15" ht="14.5" customHeight="1">
      <c r="A21" s="4"/>
      <c r="B21" s="133" t="s">
        <v>208</v>
      </c>
      <c r="C21" s="1150" t="s">
        <v>289</v>
      </c>
      <c r="D21" s="1150"/>
      <c r="E21" s="1150"/>
      <c r="O21" s="42" t="str">
        <f>J22</f>
        <v/>
      </c>
    </row>
    <row r="22" spans="1:15" ht="14.5" customHeight="1">
      <c r="A22" s="4"/>
      <c r="B22" s="4"/>
      <c r="C22" s="4"/>
      <c r="D22" s="4"/>
      <c r="E22" s="4"/>
      <c r="F22" s="1150"/>
      <c r="G22" s="1180"/>
      <c r="H22" s="1180"/>
      <c r="I22" s="1180"/>
      <c r="J22" s="155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3" spans="1:15" ht="17.5" customHeight="1">
      <c r="A23" s="4"/>
      <c r="B23" s="4"/>
      <c r="C23" s="4"/>
      <c r="D23" s="160" t="s">
        <v>290</v>
      </c>
      <c r="E23" s="160"/>
      <c r="F23" s="160"/>
      <c r="H23" s="2204"/>
      <c r="I23" s="2204"/>
      <c r="J23" s="2204"/>
      <c r="M23" s="569">
        <v>1</v>
      </c>
      <c r="N23" s="388">
        <f>IF(AND(M23&lt;&gt;0,H23&lt;&gt;""),M23,0)</f>
        <v>0</v>
      </c>
      <c r="O23" s="378" t="str">
        <f>CHOOSE(M23+1,"Not to be included in this RFA","A REQUIRED input field for this RFA","An OPTIONAL input field for this RFA")</f>
        <v>A REQUIRED input field for this RFA</v>
      </c>
    </row>
    <row r="24" spans="1:15" ht="17.5" customHeight="1">
      <c r="A24" s="4"/>
      <c r="B24" s="4"/>
      <c r="C24" s="4"/>
      <c r="D24" s="4" t="s">
        <v>291</v>
      </c>
      <c r="F24" s="4"/>
      <c r="G24" s="4"/>
      <c r="H24" s="2205"/>
      <c r="I24" s="2205"/>
      <c r="J24" s="2205"/>
      <c r="M24" s="630">
        <v>1</v>
      </c>
      <c r="N24" s="388">
        <f>IF(AND(M24&lt;&gt;0,H24&lt;&gt;""),M24,0)</f>
        <v>0</v>
      </c>
      <c r="O24" s="378" t="str">
        <f>CHOOSE(M24+1,"Not to be included in this RFA","A REQUIRED input field for this RFA","An OPTIONAL input field for this RFA")</f>
        <v>A REQUIRED input field for this RFA</v>
      </c>
    </row>
    <row r="25" spans="1:15">
      <c r="A25" s="4"/>
      <c r="B25" s="4"/>
      <c r="C25" s="4"/>
      <c r="D25" s="4"/>
      <c r="E25" s="4"/>
      <c r="F25" s="4"/>
      <c r="G25" s="4"/>
      <c r="H25" s="4"/>
      <c r="I25" s="4"/>
      <c r="J25" s="4"/>
    </row>
    <row r="26" spans="1:15" ht="42" customHeight="1">
      <c r="A26" s="4"/>
      <c r="B26" s="133" t="s">
        <v>210</v>
      </c>
      <c r="C26" s="2134" t="s">
        <v>292</v>
      </c>
      <c r="D26" s="2134"/>
      <c r="E26" s="2134"/>
      <c r="F26" s="2134"/>
      <c r="G26" s="2134"/>
      <c r="H26" s="2134"/>
      <c r="I26" s="2134"/>
      <c r="J26" s="2134"/>
    </row>
    <row r="27" spans="1:15" ht="9.75" customHeight="1">
      <c r="A27" s="4"/>
      <c r="B27" s="4"/>
      <c r="C27" s="4"/>
      <c r="D27" s="4"/>
      <c r="E27" s="4"/>
      <c r="F27" s="4"/>
      <c r="G27" s="4"/>
      <c r="H27" s="4"/>
      <c r="I27" s="4"/>
      <c r="J27" s="4"/>
    </row>
    <row r="28" spans="1:15" ht="36" customHeight="1">
      <c r="A28" s="4"/>
      <c r="B28" s="4"/>
      <c r="C28" s="4"/>
      <c r="D28" s="4"/>
      <c r="E28" s="2196"/>
      <c r="F28" s="2196"/>
      <c r="G28" s="2196"/>
      <c r="H28" s="2196"/>
      <c r="I28" s="2196"/>
      <c r="J28" s="2196"/>
      <c r="M28" s="2201">
        <f>IF(G18="No",0,IF(G18="Yes",1,2))</f>
        <v>2</v>
      </c>
      <c r="N28" s="2203">
        <f>IF(AND(M28&lt;&gt;0,E28&lt;&gt;""),M28,0)</f>
        <v>0</v>
      </c>
      <c r="O28" s="2202" t="str">
        <f>CHOOSE(M28+1,"Not to be included in this RFA","A REQUIRED input field for this RFA","An OPTIONAL input field for this RFA")</f>
        <v>An OPTIONAL input field for this RFA</v>
      </c>
    </row>
    <row r="29" spans="1:15">
      <c r="A29" s="4"/>
      <c r="B29" s="4"/>
      <c r="C29" s="4"/>
      <c r="D29" s="4"/>
      <c r="E29" s="2196"/>
      <c r="F29" s="2196"/>
      <c r="G29" s="2196"/>
      <c r="H29" s="2196"/>
      <c r="I29" s="2196"/>
      <c r="J29" s="2196"/>
      <c r="M29" s="2201"/>
      <c r="N29" s="2203"/>
      <c r="O29" s="2202"/>
    </row>
    <row r="30" spans="1:15">
      <c r="A30" s="4"/>
      <c r="B30" s="4"/>
      <c r="C30" s="4"/>
      <c r="D30" s="4"/>
      <c r="E30" s="2196"/>
      <c r="F30" s="2196"/>
      <c r="G30" s="2196"/>
      <c r="H30" s="2196"/>
      <c r="I30" s="2196"/>
      <c r="J30" s="2196"/>
      <c r="M30" s="2201"/>
      <c r="N30" s="2203"/>
      <c r="O30" s="2202"/>
    </row>
    <row r="31" spans="1:15">
      <c r="A31" s="4"/>
      <c r="B31" s="4"/>
      <c r="C31" s="4"/>
      <c r="D31" s="4"/>
      <c r="E31" s="2197"/>
      <c r="F31" s="2197"/>
      <c r="G31" s="2197"/>
      <c r="H31" s="2197"/>
      <c r="I31" s="2197"/>
      <c r="J31" s="2197"/>
      <c r="M31" s="2201"/>
      <c r="N31" s="2203"/>
      <c r="O31" s="2202"/>
    </row>
    <row r="32" spans="1:15" ht="10.4" customHeight="1">
      <c r="A32" s="4"/>
      <c r="B32" s="4"/>
      <c r="C32" s="4"/>
      <c r="D32" s="4"/>
      <c r="E32" s="4"/>
      <c r="F32" s="4"/>
      <c r="G32" s="4"/>
      <c r="H32" s="4"/>
      <c r="I32" s="4"/>
      <c r="J32" s="4"/>
    </row>
    <row r="33" spans="1:15">
      <c r="A33" s="1297" t="str" cm="1">
        <f t="array" ref="A33">IF($O33=0,"",CHAR(CODE(LOOKUP(2,1/(COUNTIF(A$3:A32,"&gt;"&amp;A$3:A32&amp;"*")=0),A$3:A32))+1))</f>
        <v>e</v>
      </c>
      <c r="B33" s="402" t="s">
        <v>1508</v>
      </c>
      <c r="C33" s="402"/>
      <c r="D33" s="402"/>
      <c r="E33" s="402"/>
      <c r="F33" s="402"/>
      <c r="G33"/>
      <c r="H33"/>
      <c r="I33"/>
      <c r="J33" s="1298"/>
      <c r="K33"/>
      <c r="L33"/>
      <c r="M33" s="553"/>
      <c r="N33" s="606"/>
      <c r="O33" s="1110">
        <v>1</v>
      </c>
    </row>
    <row r="34" spans="1:15" ht="10.4" customHeight="1">
      <c r="A34" s="1297"/>
      <c r="B34"/>
      <c r="C34"/>
      <c r="D34"/>
      <c r="E34"/>
      <c r="F34"/>
      <c r="G34"/>
      <c r="H34"/>
      <c r="I34"/>
      <c r="J34" s="1298"/>
      <c r="K34"/>
      <c r="L34"/>
      <c r="M34"/>
      <c r="N34" s="606"/>
      <c r="O34" s="1272"/>
    </row>
    <row r="35" spans="1:15" ht="40.25" customHeight="1">
      <c r="A35"/>
      <c r="B35" s="2101" t="s">
        <v>1509</v>
      </c>
      <c r="C35" s="2101"/>
      <c r="D35" s="2101"/>
      <c r="E35" s="2101"/>
      <c r="F35" s="2101"/>
      <c r="G35" s="2101"/>
      <c r="H35" s="2101"/>
      <c r="I35" s="2101"/>
      <c r="J35" s="2101"/>
      <c r="K35"/>
      <c r="L35"/>
      <c r="M35"/>
      <c r="N35"/>
      <c r="O35"/>
    </row>
    <row r="36" spans="1:15">
      <c r="A36"/>
      <c r="B36" t="s">
        <v>1510</v>
      </c>
      <c r="C36"/>
      <c r="D36"/>
      <c r="E36"/>
      <c r="F36"/>
      <c r="G36"/>
      <c r="H36"/>
      <c r="I36"/>
      <c r="J36"/>
      <c r="K36"/>
      <c r="L36"/>
      <c r="M36"/>
      <c r="N36"/>
      <c r="O36"/>
    </row>
  </sheetData>
  <sheetProtection algorithmName="SHA-512" hashValue="k9/sx6Zb1h4wun8/PHN6Ke4TWarh88FAnmaHVTmdl23eJEzLsfxWUFL7oi3iCpR/pAWF019zinFIphGoaVpbSw==" saltValue="wINMOlwtmJXQJi/om4DQmg==" spinCount="100000" sheet="1" objects="1" scenarios="1" formatRows="0" selectLockedCells="1"/>
  <mergeCells count="20">
    <mergeCell ref="B35:J35"/>
    <mergeCell ref="M28:M31"/>
    <mergeCell ref="O28:O31"/>
    <mergeCell ref="N28:N31"/>
    <mergeCell ref="H23:J23"/>
    <mergeCell ref="H24:J24"/>
    <mergeCell ref="L1:AE2"/>
    <mergeCell ref="M4:P4"/>
    <mergeCell ref="E28:J31"/>
    <mergeCell ref="C26:J26"/>
    <mergeCell ref="C5:G5"/>
    <mergeCell ref="C7:G7"/>
    <mergeCell ref="A1:J1"/>
    <mergeCell ref="B9:F9"/>
    <mergeCell ref="E13:F13"/>
    <mergeCell ref="E11:J11"/>
    <mergeCell ref="B3:E3"/>
    <mergeCell ref="G13:J13"/>
    <mergeCell ref="H5:J5"/>
    <mergeCell ref="H7:J7"/>
  </mergeCells>
  <conditionalFormatting sqref="E11:J11 G13:J13 H23:H24 E28">
    <cfRule type="cellIs" dxfId="505" priority="20" operator="notEqual">
      <formula>""</formula>
    </cfRule>
  </conditionalFormatting>
  <conditionalFormatting sqref="H5:J5">
    <cfRule type="expression" dxfId="504" priority="10" stopIfTrue="1">
      <formula>AND(County&lt;&gt;"Monroe",$H$5&lt;&gt;"&lt;select one&gt;")</formula>
    </cfRule>
    <cfRule type="expression" dxfId="503" priority="11">
      <formula>AND(County="Monroe",$H$5&lt;&gt;"&lt;select one&gt;")</formula>
    </cfRule>
  </conditionalFormatting>
  <conditionalFormatting sqref="H7:J7">
    <cfRule type="expression" dxfId="502" priority="15" stopIfTrue="1">
      <formula>AND(County&lt;&gt;"Miami-Dade",$H$7&lt;&gt;"&lt;select one&gt;")</formula>
    </cfRule>
    <cfRule type="expression" dxfId="501" priority="16">
      <formula>AND(County="Miami-Dade",$H$7&lt;&gt;"&lt;select one&gt;")</formula>
    </cfRule>
  </conditionalFormatting>
  <conditionalFormatting sqref="F3 G18">
    <cfRule type="cellIs" dxfId="500" priority="2" stopIfTrue="1" operator="equal">
      <formula>""</formula>
    </cfRule>
    <cfRule type="cellIs" dxfId="499" priority="3" operator="notEqual">
      <formula>"&lt;select one&gt;"</formula>
    </cfRule>
  </conditionalFormatting>
  <conditionalFormatting sqref="E28">
    <cfRule type="expression" dxfId="498" priority="298">
      <formula>$G$18="no"</formula>
    </cfRule>
  </conditionalFormatting>
  <conditionalFormatting sqref="B5:J6">
    <cfRule type="expression" dxfId="497" priority="6">
      <formula>$M$5=0</formula>
    </cfRule>
  </conditionalFormatting>
  <conditionalFormatting sqref="B7:J8">
    <cfRule type="expression" dxfId="496" priority="14">
      <formula>$M$7=0</formula>
    </cfRule>
  </conditionalFormatting>
  <conditionalFormatting sqref="A9:J15">
    <cfRule type="expression" dxfId="495" priority="17">
      <formula>$M$11=0</formula>
    </cfRule>
  </conditionalFormatting>
  <conditionalFormatting sqref="B13:J15">
    <cfRule type="expression" dxfId="494" priority="21">
      <formula>$M$13=0</formula>
    </cfRule>
  </conditionalFormatting>
  <conditionalFormatting sqref="A16:J19">
    <cfRule type="expression" dxfId="493" priority="22">
      <formula>$M$18=0</formula>
    </cfRule>
  </conditionalFormatting>
  <conditionalFormatting sqref="A20:J32">
    <cfRule type="expression" dxfId="492" priority="23">
      <formula>$M$23+$M$24=0</formula>
    </cfRule>
  </conditionalFormatting>
  <conditionalFormatting sqref="H5:J5 H7:J7">
    <cfRule type="expression" dxfId="491" priority="9">
      <formula>AND($H$5&lt;&gt;"&lt;select one&gt;",$H$7&lt;&gt;"&lt;select one&gt;")</formula>
    </cfRule>
  </conditionalFormatting>
  <conditionalFormatting sqref="D22:J22">
    <cfRule type="expression" dxfId="490" priority="47">
      <formula>$J22&lt;&gt;""</formula>
    </cfRule>
  </conditionalFormatting>
  <conditionalFormatting sqref="A33:J36">
    <cfRule type="expression" dxfId="489" priority="1072">
      <formula>$O$33=0</formula>
    </cfRule>
  </conditionalFormatting>
  <dataValidations count="5">
    <dataValidation type="list" allowBlank="1" showInputMessage="1" showErrorMessage="1" sqref="G18" xr:uid="{00000000-0002-0000-0300-000000000000}">
      <formula1>"&lt;select one&gt;, Yes, No"</formula1>
    </dataValidation>
    <dataValidation type="list" allowBlank="1" showInputMessage="1" showErrorMessage="1" sqref="F3" xr:uid="{DB784D3D-3957-4682-9A17-A3A076A7C10F}">
      <formula1>DS_Counties_DDMenu</formula1>
    </dataValidation>
    <dataValidation type="custom" allowBlank="1" showInputMessage="1" showErrorMessage="1" sqref="P5 M11 M13 M18 M23:M24 M7 M3 P7 M5 M28"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ignoredErrors>
    <ignoredError sqref="B21 B26" numberStoredAsText="1"/>
  </ignoredErrors>
  <extLst>
    <ext xmlns:x14="http://schemas.microsoft.com/office/spreadsheetml/2009/9/main" uri="{78C0D931-6437-407d-A8EE-F0AAD7539E65}">
      <x14:conditionalFormattings>
        <x14:conditionalFormatting xmlns:xm="http://schemas.microsoft.com/office/excel/2006/main">
          <x14:cfRule type="expression" priority="4" id="{A18EE100-DC28-4727-BF16-026884928911}">
            <xm:f>Data1!$E$604="Yes"</xm:f>
            <x14:dxf>
              <font>
                <color theme="0"/>
              </font>
              <fill>
                <patternFill>
                  <bgColor theme="0"/>
                </patternFill>
              </fill>
              <border>
                <left/>
                <right/>
                <top/>
                <bottom/>
              </border>
            </x14:dxf>
          </x14:cfRule>
          <xm:sqref>M3:O3 M5:P5 M7:P7 M9:P10 M11:O11 M13:O13 M18:O18 M23:O24 M28:O31 O33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dimension ref="A1:AD91"/>
  <sheetViews>
    <sheetView showGridLines="0" zoomScaleNormal="100" zoomScaleSheetLayoutView="100" workbookViewId="0">
      <pane ySplit="2" topLeftCell="A3" activePane="bottomLeft" state="frozen"/>
      <selection pane="bottomLeft" activeCell="L3" sqref="L3:O3"/>
    </sheetView>
  </sheetViews>
  <sheetFormatPr defaultColWidth="8.54296875" defaultRowHeight="14.5"/>
  <cols>
    <col min="1" max="1" width="3" style="42" customWidth="1"/>
    <col min="2" max="3" width="3.54296875" style="42" customWidth="1"/>
    <col min="4" max="4" width="4.453125" style="42" customWidth="1"/>
    <col min="5" max="7" width="22.453125" style="42" customWidth="1"/>
    <col min="8" max="8" width="16.81640625" style="42" customWidth="1"/>
    <col min="9" max="9" width="12.81640625" style="42" customWidth="1"/>
    <col min="10" max="10" width="8.81640625" style="45" customWidth="1"/>
    <col min="11" max="11" width="3.54296875" style="45" customWidth="1"/>
    <col min="12" max="13" width="3.54296875" style="42" customWidth="1"/>
    <col min="14" max="14" width="35.81640625" style="42" customWidth="1"/>
    <col min="15" max="15" width="3.54296875" style="42" customWidth="1"/>
    <col min="16" max="16384" width="8.54296875" style="42"/>
  </cols>
  <sheetData>
    <row r="1" spans="1:30" ht="35.9" customHeight="1" thickBot="1">
      <c r="A1" s="2115" t="s">
        <v>479</v>
      </c>
      <c r="B1" s="2116"/>
      <c r="C1" s="2116"/>
      <c r="D1" s="2116"/>
      <c r="E1" s="2116"/>
      <c r="F1" s="2116"/>
      <c r="G1" s="2116"/>
      <c r="H1" s="2116"/>
      <c r="I1" s="2117"/>
      <c r="K1" s="2134" t="str">
        <f>"There are "&amp;TEXT(COUNTIF($L$7:$L$69,"=1"),"0")&amp;" required input fields and "&amp;TEXT(COUNTIF($L$7:$L$69,"=2"),"0")&amp;" optional input fields tracked on this tab."&amp;CHAR(10)&amp;"There "&amp;IF(COUNTIFS($L$7:$L$69,"=1",$M$7:$M$69,"=1")=1,"is 1 required input field","are "&amp;TEXT(COUNTIFS($L$7:$L$69,"=1",$M$7:$M$69,"=1"),"0")&amp;" required input fields")&amp;" and "&amp;TEXT(COUNTIFS($L$7:$L$69,"=2",$M$7:$M$69,"=2"),"0")&amp;" optional input field"&amp;IF(COUNTIFS($L$7:$L$69,"=2",$M$7:$M$69,"=2")=1," with an entry","s with entries")&amp;" tracked on this tab."&amp;CHAR(10)&amp;"There "&amp;IF(Data1!G605=1,"is ","are ")&amp;TEXT(Data1!G605,"0")&amp;" required input field"&amp;IF(Data1!G605=1," that need an entry","s that need entries")&amp;" and "&amp;TEXT(Data1!H605,"0")&amp;" optional input field"&amp;IF(Data1!H605=1," that may or may not need an entry","s that may or may not need entries")&amp;" tracked on this tab."</f>
        <v>There are 11 required input fields and 8 optional input fields tracked on this tab.
There is 1 required input field and 0 optional input fields with entries tracked on this tab.
There are 10 required input fields that need entries and 8 optional input fields that may or may not need entries tracked on this tab.</v>
      </c>
      <c r="L1" s="2134"/>
      <c r="M1" s="2134"/>
      <c r="N1" s="2134"/>
      <c r="O1" s="2134"/>
      <c r="P1" s="2134"/>
      <c r="Q1" s="2134"/>
      <c r="R1" s="2134"/>
      <c r="S1" s="2134"/>
      <c r="T1" s="2134"/>
      <c r="U1" s="2134"/>
      <c r="V1" s="2134"/>
      <c r="W1" s="2134"/>
      <c r="X1" s="2134"/>
      <c r="Y1" s="2134"/>
      <c r="Z1" s="2134"/>
      <c r="AA1" s="2134"/>
      <c r="AB1" s="2134"/>
      <c r="AC1" s="2134"/>
      <c r="AD1" s="2134"/>
    </row>
    <row r="2" spans="1:30">
      <c r="A2" s="4"/>
      <c r="B2" s="4"/>
      <c r="C2" s="4"/>
      <c r="D2" s="4"/>
      <c r="E2" s="4"/>
      <c r="F2" s="4"/>
      <c r="G2" s="4"/>
      <c r="H2" s="4"/>
      <c r="K2" s="2134"/>
      <c r="L2" s="2134"/>
      <c r="M2" s="2134"/>
      <c r="N2" s="2134"/>
      <c r="O2" s="2134"/>
      <c r="P2" s="2134"/>
      <c r="Q2" s="2134"/>
      <c r="R2" s="2134"/>
      <c r="S2" s="2134"/>
      <c r="T2" s="2134"/>
      <c r="U2" s="2134"/>
      <c r="V2" s="2134"/>
      <c r="W2" s="2134"/>
      <c r="X2" s="2134"/>
      <c r="Y2" s="2134"/>
      <c r="Z2" s="2134"/>
      <c r="AA2" s="2134"/>
      <c r="AB2" s="2134"/>
      <c r="AC2" s="2134"/>
      <c r="AD2" s="2134"/>
    </row>
    <row r="3" spans="1:30" ht="17.5" customHeight="1">
      <c r="A3" s="1071" t="str" cm="1">
        <f t="array" ref="A3">IF($L7+$L11+$N23+$N45=0,"",CHAR(CODE(LOOKUP(2,1/(COUNTIF('Development Location'!A$3:A32,"&gt;"&amp;'Development Location'!A$3:A32&amp;"*")=0),'Development Location'!A$3:A32))+1))</f>
        <v>e</v>
      </c>
      <c r="B3" s="17" t="s">
        <v>293</v>
      </c>
      <c r="C3" s="4"/>
      <c r="D3" s="4"/>
      <c r="E3" s="4"/>
      <c r="F3" s="4"/>
      <c r="G3" s="4"/>
      <c r="H3" s="4"/>
      <c r="L3" s="2147" t="s">
        <v>1772</v>
      </c>
      <c r="M3" s="2147"/>
      <c r="N3" s="2147"/>
      <c r="O3" s="2147"/>
    </row>
    <row r="4" spans="1:30" ht="14.5" customHeight="1">
      <c r="A4" s="4"/>
      <c r="B4" s="133" t="s">
        <v>208</v>
      </c>
      <c r="C4" s="6" t="str">
        <f>IF(L7=0,"","PHA")&amp;IF(AND(L7&gt;0,L11&gt;0)," or","")&amp;IF(L11=0,""," RD 515")&amp;" Proximity Point Boost"</f>
        <v>PHA or RD 515 Proximity Point Boost</v>
      </c>
      <c r="E4" s="4"/>
      <c r="F4" s="4"/>
      <c r="G4" s="4"/>
      <c r="H4" s="4"/>
      <c r="L4" s="1573" t="s">
        <v>1854</v>
      </c>
    </row>
    <row r="5" spans="1:30" ht="10.4" customHeight="1">
      <c r="A5" s="4"/>
      <c r="B5" s="7"/>
      <c r="C5" s="7"/>
      <c r="D5" s="4"/>
      <c r="E5" s="4"/>
      <c r="F5" s="4"/>
      <c r="G5" s="4"/>
      <c r="H5" s="4"/>
      <c r="L5" s="14"/>
    </row>
    <row r="6" spans="1:30" ht="14.5" customHeight="1">
      <c r="A6" s="4"/>
      <c r="B6" s="4"/>
      <c r="C6" s="169" t="s">
        <v>217</v>
      </c>
      <c r="D6" s="2134" t="s">
        <v>294</v>
      </c>
      <c r="E6" s="2134"/>
      <c r="F6" s="2134"/>
      <c r="G6" s="2134"/>
      <c r="H6" s="2134"/>
      <c r="L6" s="1573" t="s">
        <v>1775</v>
      </c>
    </row>
    <row r="7" spans="1:30" ht="17.5" customHeight="1">
      <c r="A7" s="4"/>
      <c r="B7" s="4"/>
      <c r="C7" s="4"/>
      <c r="D7" s="2152" t="s">
        <v>2</v>
      </c>
      <c r="E7" s="2152"/>
      <c r="F7" s="4"/>
      <c r="G7" s="4"/>
      <c r="H7" s="4"/>
      <c r="L7" s="569">
        <v>1</v>
      </c>
      <c r="M7" s="395">
        <f>IF(AND(L7&lt;&gt;0,AND(D7&lt;&gt;"&lt;select one&gt;",B7&lt;&gt;"")),L7,0)</f>
        <v>0</v>
      </c>
      <c r="N7" s="555" t="str">
        <f>CHOOSE(L7+1,"Not to be included in this RFA","A REQUIRED input field for this RFA","An OPTIONAL input field for this RFA")</f>
        <v>A REQUIRED input field for this RFA</v>
      </c>
    </row>
    <row r="8" spans="1:30" ht="14.5" customHeight="1">
      <c r="A8" s="4"/>
      <c r="B8" s="4"/>
      <c r="C8" s="4"/>
      <c r="D8" s="4" t="s">
        <v>295</v>
      </c>
      <c r="F8" s="4"/>
      <c r="G8" s="4"/>
      <c r="H8" s="4"/>
    </row>
    <row r="9" spans="1:30" ht="10.4" customHeight="1">
      <c r="A9" s="4"/>
      <c r="B9" s="4"/>
      <c r="C9" s="4"/>
      <c r="D9" s="6"/>
      <c r="E9" s="4"/>
      <c r="F9" s="4"/>
      <c r="G9" s="4"/>
      <c r="H9" s="4"/>
    </row>
    <row r="10" spans="1:30" ht="14.5" customHeight="1">
      <c r="A10" s="4"/>
      <c r="B10" s="4"/>
      <c r="C10" s="169" t="str">
        <f>IF(L7=0,"(a)","(b)")</f>
        <v>(b)</v>
      </c>
      <c r="D10" s="2134" t="s">
        <v>296</v>
      </c>
      <c r="E10" s="2134"/>
      <c r="F10" s="2134"/>
      <c r="G10" s="2134"/>
      <c r="H10" s="2134"/>
    </row>
    <row r="11" spans="1:30" ht="17.5" customHeight="1">
      <c r="A11" s="4"/>
      <c r="B11" s="4"/>
      <c r="C11" s="4"/>
      <c r="D11" s="2152" t="s">
        <v>2</v>
      </c>
      <c r="E11" s="2152"/>
      <c r="F11" s="4"/>
      <c r="G11" s="4"/>
      <c r="H11" s="1193"/>
      <c r="L11" s="569">
        <v>1</v>
      </c>
      <c r="M11" s="395">
        <f>IF(AND(L11&lt;&gt;0,AND(D11&lt;&gt;"&lt;select one&gt;",B11&lt;&gt;"")),L11,0)</f>
        <v>0</v>
      </c>
      <c r="N11" s="555" t="str">
        <f>CHOOSE(L11+1,"Not to be included in this RFA","A REQUIRED input field for this RFA","An OPTIONAL input field for this RFA")</f>
        <v>A REQUIRED input field for this RFA</v>
      </c>
    </row>
    <row r="12" spans="1:30" ht="14.5" customHeight="1">
      <c r="A12" s="4"/>
      <c r="B12" s="4"/>
      <c r="C12" s="4"/>
      <c r="D12" s="4" t="s">
        <v>297</v>
      </c>
      <c r="F12" s="4"/>
      <c r="G12" s="4"/>
      <c r="H12" s="1193"/>
    </row>
    <row r="13" spans="1:30" ht="10.5" customHeight="1">
      <c r="A13" s="4"/>
      <c r="B13" s="4"/>
      <c r="C13" s="4"/>
      <c r="D13" s="4"/>
      <c r="E13" s="4"/>
      <c r="F13" s="4"/>
      <c r="G13" s="4"/>
      <c r="H13" s="4"/>
    </row>
    <row r="14" spans="1:30" ht="14.5" customHeight="1">
      <c r="A14" s="4"/>
      <c r="B14" s="133" t="s">
        <v>210</v>
      </c>
      <c r="C14" s="160" t="s">
        <v>298</v>
      </c>
      <c r="E14" s="4"/>
      <c r="F14" s="4"/>
      <c r="G14" s="4"/>
      <c r="H14" s="4"/>
    </row>
    <row r="15" spans="1:30" ht="10.5" customHeight="1">
      <c r="A15" s="4"/>
      <c r="B15" s="4"/>
      <c r="C15" s="4"/>
      <c r="D15" s="4"/>
      <c r="E15" s="4"/>
      <c r="F15" s="4"/>
      <c r="G15" s="4"/>
      <c r="H15" s="4"/>
    </row>
    <row r="16" spans="1:30" ht="35.15" customHeight="1">
      <c r="A16" s="4"/>
      <c r="B16" s="4"/>
      <c r="C16" s="2134"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134"/>
      <c r="E16" s="2134"/>
      <c r="F16" s="2134"/>
      <c r="G16" s="2134"/>
      <c r="H16" s="2134"/>
      <c r="I16" s="2134"/>
    </row>
    <row r="17" spans="1:17" ht="7.5" customHeight="1">
      <c r="A17" s="4"/>
      <c r="B17" s="4"/>
      <c r="C17" s="4"/>
      <c r="D17" s="143"/>
      <c r="E17" s="143"/>
      <c r="F17" s="143"/>
      <c r="G17" s="143"/>
      <c r="H17" s="143"/>
    </row>
    <row r="18" spans="1:17" ht="35.15" customHeight="1">
      <c r="A18" s="4"/>
      <c r="B18" s="4"/>
      <c r="C18" s="169" t="s">
        <v>217</v>
      </c>
      <c r="D18" s="2134" t="s">
        <v>299</v>
      </c>
      <c r="E18" s="2134"/>
      <c r="F18" s="2134"/>
      <c r="G18" s="2134"/>
      <c r="H18" s="2134"/>
      <c r="I18" s="2134"/>
    </row>
    <row r="19" spans="1:17" ht="17.5" customHeight="1">
      <c r="A19" s="4"/>
      <c r="B19" s="4"/>
      <c r="C19" s="4"/>
      <c r="D19" s="2152" t="s">
        <v>2</v>
      </c>
      <c r="E19" s="2152"/>
      <c r="F19" s="2214" t="str">
        <f>IF(OR(Demographic="Elderly ALF",Demographic="Elderly Non-ALF"),"(The proposed Development's Demographic Commitment is "&amp;Demographic&amp;", which qualifies to select this option for "&amp;TEXT(Data1!$B$345,"0")&amp;" transit points.)",IF(OR(Demographic="&lt;select one&gt;",Demographic=""),"","(The proposed Development does not qualify to select this option with a Demographic Commitment of "&amp;Demographic&amp;".)"))</f>
        <v>(The proposed Development does not qualify to select this option with a Demographic Commitment of Persons with Special Needs.)</v>
      </c>
      <c r="G19" s="2214"/>
      <c r="H19" s="2214"/>
      <c r="I19" s="2214"/>
      <c r="L19" s="569">
        <v>2</v>
      </c>
      <c r="M19" s="395">
        <f>IF(AND(L19&lt;&gt;0,AND(D19&lt;&gt;"&lt;select one&gt;",B19&lt;&gt;"")),L19,0)</f>
        <v>0</v>
      </c>
      <c r="N19" s="1279" t="str">
        <f>CHOOSE(L19+1,"Not to be included in this RFA","A REQUIRED input field for this RFA","An OPTIONAL input field for this RFA")</f>
        <v>An OPTIONAL input field for this RFA</v>
      </c>
    </row>
    <row r="20" spans="1:17" ht="9.75" customHeight="1">
      <c r="A20" s="4"/>
      <c r="B20" s="4"/>
      <c r="C20" s="4"/>
      <c r="D20" s="4"/>
      <c r="E20" s="4"/>
      <c r="F20" s="2214"/>
      <c r="G20" s="2214"/>
      <c r="H20" s="2214"/>
      <c r="I20" s="2214"/>
    </row>
    <row r="21" spans="1:17">
      <c r="A21" s="4"/>
      <c r="B21" s="4"/>
      <c r="C21" s="169" t="str">
        <f>IF(L19=0,"(a)","(b)")</f>
        <v>(b)</v>
      </c>
      <c r="D21" s="6" t="s">
        <v>300</v>
      </c>
      <c r="F21" s="4"/>
      <c r="G21" s="2217" t="str">
        <f>IF(AND(County="&lt;select one&gt;",OR(Transit_PBS_points&lt;&gt;"",Transit_BTS_points&lt;&gt;"",Transit_PBRTS_points&lt;&gt;"",Transit_Rail_points&lt;&gt;"")),"Please select a County in the Development Location tab.","")</f>
        <v/>
      </c>
      <c r="H21" s="2217"/>
      <c r="I21" s="2217"/>
      <c r="N21" s="460"/>
    </row>
    <row r="22" spans="1:17" ht="10.5" customHeight="1">
      <c r="A22" s="4"/>
      <c r="B22" s="4"/>
      <c r="C22" s="4"/>
      <c r="D22" s="4"/>
      <c r="E22" s="4"/>
      <c r="F22" s="4"/>
      <c r="G22" s="4"/>
      <c r="H22" s="4"/>
    </row>
    <row r="23" spans="1:17" ht="43.5">
      <c r="A23" s="4"/>
      <c r="B23" s="4"/>
      <c r="C23" s="4"/>
      <c r="D23" s="4"/>
      <c r="E23" s="47" t="s">
        <v>301</v>
      </c>
      <c r="F23" s="82" t="s">
        <v>302</v>
      </c>
      <c r="G23" s="82" t="s">
        <v>303</v>
      </c>
      <c r="H23" s="48" t="s">
        <v>304</v>
      </c>
      <c r="I23" s="946" t="s">
        <v>1149</v>
      </c>
      <c r="J23" s="948"/>
      <c r="K23" s="948"/>
      <c r="N23" s="561">
        <v>1</v>
      </c>
      <c r="Q23"/>
    </row>
    <row r="24" spans="1:17" ht="30" customHeight="1">
      <c r="A24" s="4"/>
      <c r="B24" s="4"/>
      <c r="C24" s="4"/>
      <c r="D24" s="4"/>
      <c r="E24" s="181" t="s">
        <v>305</v>
      </c>
      <c r="F24" s="1819"/>
      <c r="G24" s="1819"/>
      <c r="H24" s="947"/>
      <c r="I24" s="2206" t="str">
        <f>IF(number_of_PBS=0,"",IF(AND(County_Size="Small",number_of_PBS=1,Greatest_distance_for_PBS&lt;=0.3),2,IF(AND(County_Size="Small",number_of_PBS=1,Greatest_distance_for_PBS&lt;=0.75),1.5,IF(AND(County_Size="Small",number_of_PBS=1,Greatest_distance_for_PBS&lt;=1),1,IF(AND(County_Size="Small",number_of_PBS=2,Greatest_distance_for_PBS&lt;=0.3),4,IF(AND(County_Size="Small",number_of_PBS=2,Greatest_distance_for_PBS&lt;=0.75),3,IF(AND(County_Size="Small",number_of_PBS=2,Greatest_distance_for_PBS&lt;=1),2,IF(AND(County_Size="Small",number_of_PBS=2,Greatest_distance_for_PBS&lt;=1.25),1,IF(AND(County_Size="Small",number_of_PBS=3,Greatest_distance_for_PBS&lt;=0.3),6,IF(AND(County_Size="Small",number_of_PBS=3,Greatest_distance_for_PBS&lt;=0.75),5.5,IF(AND(County_Size="Small",number_of_PBS=3,Greatest_distance_for_PBS&lt;=1),5,IF(AND(County_Size="Small",number_of_PBS=3,Greatest_distance_for_PBS&lt;=1.25),4.5,IF(AND(OR(County_Size="Medium",County_Size="Large"),number_of_PBS=1,Greatest_distance_for_PBS&lt;=0.3),2,IF(AND(OR(County_Size="Medium",County_Size="Large"),number_of_PBS=1,Greatest_distance_for_PBS&lt;=0.4),1.5,IF(AND(OR(County_Size="Medium",County_Size="Large"),number_of_PBS=1,Greatest_distance_for_PBS&lt;=0.5),1,IF(AND(OR(County_Size="Medium",County_Size="Large"),number_of_PBS=2,Greatest_distance_for_PBS&lt;=0.3),4,IF(AND(OR(County_Size="Medium",County_Size="Large"),number_of_PBS=2,Greatest_distance_for_PBS&lt;=0.4),3,IF(AND(OR(County_Size="Medium",County_Size="Large"),number_of_PBS=2,Greatest_distance_for_PBS&lt;=0.5),2,IF(AND(OR(County_Size="Medium",County_Size="Large"),number_of_PBS=2,Greatest_distance_for_PBS&lt;=0.75),1,IF(AND(OR(County_Size="Medium",County_Size="Large"),number_of_PBS=3,Greatest_distance_for_PBS&lt;=0.3),6,IF(AND(OR(County_Size="Medium",County_Size="Large"),number_of_PBS=3,Greatest_distance_for_PBS&lt;=0.5),5.5,IF(AND(OR(County_Size="Medium",County_Size="Large"),number_of_PBS=3,Greatest_distance_for_PBS&lt;=0.75),5,IF(AND(OR(County_Size="Medium",County_Size="Large"),number_of_PBS=3,Greatest_distance_for_PBS&lt;=1),4.5,0)))))))))))))))))))))))</f>
        <v/>
      </c>
      <c r="K24" s="1182"/>
      <c r="L24" s="1714">
        <f>IF($N$23=0,0,IF(D$19="Yes",2,IF($N$23=2,2,IF(AND(N(I$24)&gt;0,N(H24)&gt;0),1,IF(N(I$27)+N(I$28)+N(I$29)&gt;0,2,IF(AND(N(I$24)&gt;0,N(H24)=0),2,1))))))</f>
        <v>1</v>
      </c>
      <c r="M24" s="395">
        <f t="shared" ref="M24:M29" si="0">IF(AND(L24&lt;&gt;0,AND(F24&lt;&gt;"",G24&lt;&gt;"",H24&lt;&gt;"")),L24,0)</f>
        <v>0</v>
      </c>
      <c r="N24" s="555" t="str">
        <f t="shared" ref="N24:N29" si="1">CHOOSE(L24+1,"Not to be included in this RFA","A REQUIRED input field for this RFA","An OPTIONAL input field for this RFA")</f>
        <v>A REQUIRED input field for this RFA</v>
      </c>
      <c r="Q24"/>
    </row>
    <row r="25" spans="1:17" ht="30" customHeight="1">
      <c r="A25" s="4"/>
      <c r="B25" s="4"/>
      <c r="C25" s="4"/>
      <c r="D25" s="4"/>
      <c r="E25" s="181" t="s">
        <v>306</v>
      </c>
      <c r="F25" s="1819"/>
      <c r="G25" s="1819"/>
      <c r="H25" s="947"/>
      <c r="I25" s="2207"/>
      <c r="K25" s="1182"/>
      <c r="L25" s="1714">
        <f>IF($N$23=0,0,IF(D$19="Yes",2,IF($N$23=2,2,IF(L$24=1,2,IF(N(I$27)+N(I$28)+N(I$29)&gt;0,IF(AND(N(I$24)&gt;0,N(H25)&gt;0),1,2),IF(N(I$24)&gt;0,IF(N(H25)&gt;0,1,2)))))))</f>
        <v>2</v>
      </c>
      <c r="M25" s="395">
        <f t="shared" si="0"/>
        <v>0</v>
      </c>
      <c r="N25" s="555" t="str">
        <f t="shared" si="1"/>
        <v>An OPTIONAL input field for this RFA</v>
      </c>
      <c r="Q25"/>
    </row>
    <row r="26" spans="1:17" ht="30" customHeight="1">
      <c r="A26" s="4"/>
      <c r="B26" s="4"/>
      <c r="C26" s="4"/>
      <c r="D26" s="4"/>
      <c r="E26" s="181" t="s">
        <v>307</v>
      </c>
      <c r="F26" s="1819"/>
      <c r="G26" s="1819"/>
      <c r="H26" s="947"/>
      <c r="I26" s="2208"/>
      <c r="K26" s="1182"/>
      <c r="L26" s="1714">
        <f>IF($N$23=0,0,IF(D$19="Yes",2,IF($N$23=2,2,IF(OR(L$24=1,L$25=1),2,IF(N(I$27)+N(I$28)+N(I$29)&gt;0,IF(AND(N(I$24)&gt;0,N(H26)&gt;0),1,2),IF(N(I$24)&gt;0,IF(N(H26)&gt;0,1,2)))))))</f>
        <v>2</v>
      </c>
      <c r="M26" s="395">
        <f t="shared" si="0"/>
        <v>0</v>
      </c>
      <c r="N26" s="555" t="str">
        <f t="shared" si="1"/>
        <v>An OPTIONAL input field for this RFA</v>
      </c>
    </row>
    <row r="27" spans="1:17" ht="30" customHeight="1">
      <c r="A27" s="4"/>
      <c r="B27" s="4"/>
      <c r="C27" s="4"/>
      <c r="D27" s="4"/>
      <c r="E27" s="182" t="s">
        <v>308</v>
      </c>
      <c r="F27" s="1819"/>
      <c r="G27" s="1819"/>
      <c r="H27" s="947"/>
      <c r="I27" s="1558" t="str">
        <f>IF(OR(Transit_BTS_lat="",Transit_BTS_long="",Transit_BTS_distance=""),"",IF(AND(County_Size="Small",Transit_BTS_distance&lt;=0.3),6,IF(AND(County_Size="Small",Transit_BTS_distance&lt;=0.75),5.5,IF(AND(County_Size="Small",Transit_BTS_distance&lt;=1),5,IF(AND(County_Size="Small",Transit_BTS_distance&lt;=1.25),4.5,IF(AND(County_Size="Small",Transit_BTS_distance&lt;=1.5),4,IF(AND(County_Size="Small",Transit_BTS_distance&lt;=1.75),3.5,IF(AND(County_Size="Small",Transit_BTS_distance&lt;=2),3,IF(AND(County_Size="Small",Transit_BTS_distance&lt;=2.5),2.5,IF(AND(OR(County_Size="Medium",County_Size="Large"),Transit_BTS_distance&lt;=0.3),6,IF(AND(OR(County_Size="Medium",County_Size="Large"),Transit_BTS_distance&lt;=0.75),5,IF(AND(OR(County_Size="Medium",County_Size="Large"),Transit_BTS_distance&lt;=1),4.5,IF(AND(OR(County_Size="Medium",County_Size="Large"),Transit_BTS_distance&lt;=1.25),4,IF(AND(OR(County_Size="Medium",County_Size="Large"),Transit_BTS_distance&lt;=1.5),3.5,IF(AND(OR(County_Size="Medium",County_Size="Large"),Transit_BTS_distance&lt;=1.75),3,IF(AND(OR(County_Size="Medium",County_Size="Large"),Transit_BTS_distance&lt;=2),2.5,0))))))))))))))))</f>
        <v/>
      </c>
      <c r="K27" s="1182"/>
      <c r="L27" s="1714">
        <f>IF($N$23=0,0,IF(D$19="Yes",2,IF($N$23=2,2,IF(IFERROR(COUNTIF(L$24:L26,1),0)&gt;0,2,IF(N(I$24)+N(I$28)+N(I$29)&gt;0,IF(N(I27)&gt;0,1,2),2)))))</f>
        <v>2</v>
      </c>
      <c r="M27" s="395">
        <f t="shared" si="0"/>
        <v>0</v>
      </c>
      <c r="N27" s="555" t="str">
        <f t="shared" si="1"/>
        <v>An OPTIONAL input field for this RFA</v>
      </c>
    </row>
    <row r="28" spans="1:17" ht="30" customHeight="1">
      <c r="A28" s="4"/>
      <c r="B28" s="4"/>
      <c r="C28" s="4"/>
      <c r="D28" s="4"/>
      <c r="E28" s="182" t="s">
        <v>1673</v>
      </c>
      <c r="F28" s="1819"/>
      <c r="G28" s="1819"/>
      <c r="H28" s="947"/>
      <c r="I28" s="1558" t="str">
        <f>IF(OR(Transit_PBRTS_lat="",Transit_PBRTS_long="",Transit_PBRTS_distance=""),"",IF(AND(County_Size="Small",Transit_PBRTS_distance&lt;=0.3),6,IF(AND(County_Size="Small",Transit_PBRTS_distance&lt;=0.75),5.5,IF(AND(County_Size="Small",Transit_PBRTS_distance&lt;=1),5,IF(AND(County_Size="Small",Transit_PBRTS_distance&lt;=1.25),4.5,IF(AND(County_Size="Small",Transit_PBRTS_distance&lt;=1.5),4,IF(AND(County_Size="Small",Transit_PBRTS_distance&lt;=1.75),3.5,IF(AND(County_Size="Small",Transit_PBRTS_distance&lt;=2),3,IF(AND(County_Size="Small",Transit_PBRTS_distance&lt;=2.5),2.5,IF(AND(OR(County_Size="Medium",County_Size="Large"),Transit_PBRTS_distance&lt;=0.3),6,IF(AND(OR(County_Size="Medium",County_Size="Large"),Transit_PBRTS_distance&lt;=0.75),5,IF(AND(OR(County_Size="Medium",County_Size="Large"),Transit_PBRTS_distance&lt;=1),4.5,IF(AND(OR(County_Size="Medium",County_Size="Large"),Transit_PBRTS_distance&lt;=1.25),4,IF(AND(OR(County_Size="Medium",County_Size="Large"),Transit_PBRTS_distance&lt;=1.5),3.5,IF(AND(OR(County_Size="Medium",County_Size="Large"),Transit_PBRTS_distance&lt;=1.75),3,IF(AND(OR(County_Size="Medium",County_Size="Large"),Transit_PBRTS_distance&lt;=2),2.5,0))))))))))))))))</f>
        <v/>
      </c>
      <c r="K28" s="1182"/>
      <c r="L28" s="1714">
        <f>IF($N$23=0,0,IF(D$19="Yes",2,IF($N$23=2,2,IF(IFERROR(COUNTIF(L$24:L27,1),0)&gt;0,2,IF(N(I28)&gt;0,1,2)))))</f>
        <v>2</v>
      </c>
      <c r="M28" s="395">
        <f t="shared" si="0"/>
        <v>0</v>
      </c>
      <c r="N28" s="555" t="str">
        <f t="shared" si="1"/>
        <v>An OPTIONAL input field for this RFA</v>
      </c>
    </row>
    <row r="29" spans="1:17" ht="30" customHeight="1">
      <c r="A29" s="4"/>
      <c r="B29" s="4"/>
      <c r="C29" s="4"/>
      <c r="D29" s="4"/>
      <c r="E29" s="182" t="s">
        <v>1246</v>
      </c>
      <c r="F29" s="1819"/>
      <c r="G29" s="1819"/>
      <c r="H29" s="947"/>
      <c r="I29" s="1558" t="str">
        <f>IF(OR(Transit_Rail_lat="",Transit_Rail_long="",Transit_Rail_distance=""),"",IF(AND(County_Size="Small",Transit_Rail_distance&lt;=0.3),6,IF(AND(County_Size="Small",Transit_Rail_distance&lt;=0.75),5.5,IF(AND(County_Size="Small",Transit_Rail_distance&lt;=1),5,IF(AND(County_Size="Small",Transit_Rail_distance&lt;=1.25),4.5,IF(AND(County_Size="Small",Transit_Rail_distance&lt;=1.5),4,IF(AND(County_Size="Small",Transit_Rail_distance&lt;=1.75),3.5,IF(AND(County_Size="Small",Transit_Rail_distance&lt;=2),3,IF(AND(County_Size="Small",Transit_Rail_distance&lt;=2.5),2.5,IF(AND(OR(County_Size="Medium",County_Size="Large"),Transit_Rail_distance&lt;=0.3),6,IF(AND(OR(County_Size="Medium",County_Size="Large"),Transit_Rail_distance&lt;=0.75),5,IF(AND(OR(County_Size="Medium",County_Size="Large"),Transit_Rail_distance&lt;=1),4.5,IF(AND(OR(County_Size="Medium",County_Size="Large"),Transit_Rail_distance&lt;=1.25),4,IF(AND(OR(County_Size="Medium",County_Size="Large"),Transit_Rail_distance&lt;=1.5),3.5,IF(AND(OR(County_Size="Medium",County_Size="Large"),Transit_Rail_distance&lt;=1.75),3,IF(AND(OR(County_Size="Medium",County_Size="Large"),Transit_Rail_distance&lt;=2),2.5,0))))))))))))))))</f>
        <v/>
      </c>
      <c r="K29" s="1182"/>
      <c r="L29" s="1714">
        <f>IF($N$23=0,0,IF(D$19="Yes",2,IF($N$23=2,2,IF(IFERROR(COUNTIF(L$24:L28,1),0)&gt;0,2,IF(N(I29)&gt;0,1,2)))))</f>
        <v>2</v>
      </c>
      <c r="M29" s="395">
        <f t="shared" si="0"/>
        <v>0</v>
      </c>
      <c r="N29" s="555" t="str">
        <f t="shared" si="1"/>
        <v>An OPTIONAL input field for this RFA</v>
      </c>
    </row>
    <row r="30" spans="1:17" ht="7.5" customHeight="1">
      <c r="A30" s="4"/>
      <c r="B30" s="4"/>
      <c r="C30" s="4"/>
      <c r="D30" s="4"/>
      <c r="E30" s="13"/>
      <c r="H30" s="1085"/>
      <c r="L30" s="629"/>
      <c r="M30" s="395"/>
    </row>
    <row r="31" spans="1:17" ht="21.75" customHeight="1">
      <c r="A31" s="4"/>
      <c r="B31" s="4"/>
      <c r="C31" s="4"/>
      <c r="D31" s="4"/>
      <c r="E31" s="2216" t="str">
        <f>IF(OR(AND(Private_transportation="Yes",OR(Transit_PBS_points&lt;&gt;"",Transit_BTS_points&lt;&gt;"",Transit_PBRTS_points&lt;&gt;"",Transit_Rail_points&lt;&gt;"")),COUNT(I24:I29)&gt;1),"Only one type of transit may be selected.","This area intentionally left blank.")</f>
        <v>This area intentionally left blank.</v>
      </c>
      <c r="F31" s="2216"/>
      <c r="G31" s="2216"/>
      <c r="H31" s="2216"/>
      <c r="I31" s="2216"/>
    </row>
    <row r="32" spans="1:17" ht="7.5" customHeight="1">
      <c r="A32" s="4"/>
      <c r="B32" s="4"/>
      <c r="C32" s="4"/>
      <c r="D32" s="4"/>
      <c r="E32" s="1181"/>
      <c r="H32" s="4"/>
    </row>
    <row r="33" spans="1:15" ht="64" customHeight="1">
      <c r="A33" s="4"/>
      <c r="B33" s="4"/>
      <c r="C33" s="4"/>
      <c r="D33" s="4"/>
      <c r="E33" s="2183" t="str">
        <f>IF(Data1!M366&lt;&gt;"","PB Stop 1: "&amp;Data1!M366,"")&amp;IF(AND(Data1!M366&lt;&gt;"",OR(Data1!M367&lt;&gt;"",Data1!M368&lt;&gt;"",Data1!M369&lt;&gt;"",Data1!M370&lt;&gt;"",Data1!M371&lt;&gt;"")),"; ","")&amp;IF(Data1!M367&lt;&gt;"","PB Stop 2: "&amp;Data1!M367,"")&amp;IF(AND(Data1!M367&lt;&gt;"",OR(Data1!M368&lt;&gt;"",Data1!M369&lt;&gt;"",Data1!M370&lt;&gt;"",Data1!M371&lt;&gt;"")),"; ","")&amp;IF(Data1!M368&lt;&gt;"","PB Stop 3: "&amp;Data1!M368,"")&amp;IF(AND(Data1!M368&lt;&gt;"",OR(Data1!M369&lt;&gt;"",Data1!M370&lt;&gt;"",Data1!M371&lt;&gt;"")),"; ","")&amp;IF(Data1!M369&lt;&gt;"","PB Transfer Stop: "&amp;Data1!M369,"")&amp;IF(AND(Data1!M369&lt;&gt;"",OR(Data1!M370&lt;&gt;"",Data1!M371&lt;&gt;"")),"; ","")&amp;IF(Data1!M370&lt;&gt;"","PB Rapid Transit Stop: "&amp;Data1!M370,"")&amp;IF(AND(Data1!M370&lt;&gt;"",Data1!M371&lt;&gt;""),"; ","")&amp;IF(Data1!M371&lt;&gt;"","PB Rail Station: "&amp;Data1!M371,IF(E$31="This area intentionally left blank.","","This area intentionally left blank."))</f>
        <v/>
      </c>
      <c r="F33" s="2183"/>
      <c r="G33" s="2183"/>
      <c r="H33" s="2183"/>
      <c r="I33" s="2183"/>
    </row>
    <row r="34" spans="1:15" ht="10.5" customHeight="1">
      <c r="A34" s="4"/>
      <c r="B34" s="4"/>
      <c r="C34" s="4"/>
      <c r="D34" s="4"/>
      <c r="E34" s="1181"/>
      <c r="H34" s="4"/>
    </row>
    <row r="35" spans="1:15" ht="14.5" customHeight="1">
      <c r="A35" s="4"/>
      <c r="B35" s="4"/>
      <c r="C35" s="1109" t="str">
        <f>IF(L19=0,"(b)","(c)")</f>
        <v>(c)</v>
      </c>
      <c r="D35" t="s">
        <v>1272</v>
      </c>
      <c r="E35" s="4"/>
      <c r="H35" s="4"/>
      <c r="N35" s="1110">
        <v>1</v>
      </c>
    </row>
    <row r="36" spans="1:15" ht="14.5" customHeight="1">
      <c r="A36" s="4"/>
      <c r="B36" s="4"/>
      <c r="C36" s="4"/>
      <c r="D36" s="4" t="s">
        <v>1273</v>
      </c>
      <c r="E36" s="4"/>
      <c r="H36" s="4"/>
    </row>
    <row r="37" spans="1:15" ht="17.5" customHeight="1">
      <c r="A37" s="4"/>
      <c r="B37" s="4"/>
      <c r="C37" s="4"/>
      <c r="D37" s="2152" t="s">
        <v>2</v>
      </c>
      <c r="E37" s="2152"/>
      <c r="H37" s="4"/>
      <c r="L37" s="1715">
        <f>IF(N35=0,0,O37)</f>
        <v>1</v>
      </c>
      <c r="M37" s="606">
        <f>IF(AND(L37&lt;&gt;0,AND(D37&lt;&gt;"&lt;select one&gt;",D37&lt;&gt;"")),L37,0)</f>
        <v>0</v>
      </c>
      <c r="N37" s="1584" t="str">
        <f>CHOOSE(L37+1,"Not to be included in this RFA","A REQUIRED input field for this RFA","An OPTIONAL input field for this RFA")</f>
        <v>A REQUIRED input field for this RFA</v>
      </c>
      <c r="O37" s="1590">
        <v>1</v>
      </c>
    </row>
    <row r="38" spans="1:15" ht="10.4" customHeight="1">
      <c r="A38" s="4"/>
      <c r="B38" s="4"/>
      <c r="C38" s="4"/>
      <c r="D38" s="4"/>
      <c r="E38" s="4"/>
      <c r="H38" s="4"/>
    </row>
    <row r="39" spans="1:15" ht="14.5" customHeight="1">
      <c r="A39" s="4"/>
      <c r="B39" s="4"/>
      <c r="C39" s="4"/>
      <c r="D39" s="4" t="s">
        <v>1274</v>
      </c>
      <c r="E39" s="4"/>
      <c r="H39" s="4"/>
      <c r="N39" s="1566" t="str">
        <f>IF(AND(N35=1,O37=0),"Need to enter a 1 in cell N35","")</f>
        <v/>
      </c>
    </row>
    <row r="40" spans="1:15" ht="30" customHeight="1">
      <c r="A40" s="4"/>
      <c r="B40" s="4"/>
      <c r="C40" s="4"/>
      <c r="D40" s="2197"/>
      <c r="E40" s="2197"/>
      <c r="F40" s="2197"/>
      <c r="G40" s="2197"/>
      <c r="H40" s="2197"/>
      <c r="I40" s="2197"/>
      <c r="L40" s="1715">
        <f>IF(N35=0,0,IF(AND(L37=1,D37&lt;&gt;"&lt;select one&gt;"),L37,2))</f>
        <v>2</v>
      </c>
      <c r="M40" s="606">
        <f>IF(AND(L40&lt;&gt;0,AND(D37&lt;&gt;"&lt;select one&gt;",D40&lt;&gt;"")),L40,0)</f>
        <v>0</v>
      </c>
      <c r="N40" s="1088" t="str">
        <f>CHOOSE(L40+1,"Not to be included in this RFA","A REQUIRED input field for this RFA","An OPTIONAL input field for this RFA")</f>
        <v>An OPTIONAL input field for this RFA</v>
      </c>
    </row>
    <row r="41" spans="1:15" ht="10.4" customHeight="1">
      <c r="A41" s="4"/>
      <c r="B41" s="4"/>
      <c r="C41" s="4"/>
      <c r="D41" s="4"/>
      <c r="E41" s="4"/>
      <c r="H41" s="4"/>
    </row>
    <row r="42" spans="1:15" ht="14.5" customHeight="1">
      <c r="A42" s="4"/>
      <c r="B42" s="133" t="s">
        <v>212</v>
      </c>
      <c r="C42" s="6" t="s">
        <v>309</v>
      </c>
      <c r="E42" s="4"/>
      <c r="F42" s="4"/>
      <c r="G42" s="4"/>
      <c r="H42" s="4"/>
    </row>
    <row r="43" spans="1:15" ht="14.5" customHeight="1">
      <c r="A43" s="4"/>
      <c r="B43" s="4"/>
      <c r="C43" s="2134" t="s">
        <v>1658</v>
      </c>
      <c r="D43" s="2134"/>
      <c r="E43" s="2134"/>
      <c r="F43" s="2134"/>
      <c r="G43" s="2134"/>
      <c r="H43" s="2134"/>
      <c r="I43" s="2134"/>
    </row>
    <row r="44" spans="1:15" ht="10.4" customHeight="1">
      <c r="A44" s="4"/>
      <c r="B44" s="4"/>
      <c r="C44" s="4"/>
      <c r="D44" s="4"/>
      <c r="E44" s="4"/>
      <c r="F44" s="4"/>
      <c r="G44" s="4"/>
      <c r="H44" s="4"/>
    </row>
    <row r="45" spans="1:15" ht="58">
      <c r="A45" s="4"/>
      <c r="B45" s="4"/>
      <c r="C45" s="4"/>
      <c r="D45" s="4"/>
      <c r="E45" s="48" t="s">
        <v>301</v>
      </c>
      <c r="F45" s="48" t="s">
        <v>310</v>
      </c>
      <c r="G45" s="48" t="s">
        <v>311</v>
      </c>
      <c r="H45" s="48" t="s">
        <v>304</v>
      </c>
      <c r="I45" s="946" t="s">
        <v>1773</v>
      </c>
      <c r="N45" s="561">
        <v>1</v>
      </c>
    </row>
    <row r="46" spans="1:15" ht="29.5" customHeight="1">
      <c r="A46" s="4"/>
      <c r="B46" s="4"/>
      <c r="C46" s="4"/>
      <c r="D46" s="4"/>
      <c r="E46" s="181" t="s">
        <v>312</v>
      </c>
      <c r="F46" s="49"/>
      <c r="G46" s="49"/>
      <c r="H46" s="947"/>
      <c r="I46" s="1308" t="str">
        <f>IF(OR(Grocery_Name="",Grocery_Address="",Grocery_Distance=""),"",IF(AND(County_Size="Small",Grocery_Distance&lt;=0.3),4,IF(AND(County_Size="Small",Grocery_Distance&lt;=0.75),3.5,IF(AND(County_Size="Small",Grocery_Distance&lt;=1),3,IF(AND(County_Size="Small",Grocery_Distance&lt;=1.25),2.5,IF(AND(County_Size="Small",Grocery_Distance&lt;=1.5),2,IF(AND(County_Size="Small",Grocery_Distance&lt;=1.75),1.5,IF(AND(County_Size="Small",Grocery_Distance&lt;=2),1,IF(AND(County_Size="Small",Grocery_Distance&lt;=2.25),0.5,IF(AND(OR(County_Size="Medium",County_Size="Large"),Grocery_Distance&lt;=0.3),4,IF(AND(OR(County_Size="Medium",County_Size="Large"),Grocery_Distance&lt;=0.5),3.5,IF(AND(OR(County_Size="Medium",County_Size="Large"),Grocery_Distance&lt;=0.75),3,IF(AND(OR(County_Size="Medium",County_Size="Large"),Grocery_Distance&lt;=1),2.5,IF(AND(OR(County_Size="Medium",County_Size="Large"),Grocery_Distance&lt;=1.25),2,IF(AND(OR(County_Size="Medium",County_Size="Large"),Grocery_Distance&lt;=1.5),1.5,IF(AND(OR(County_Size="Medium",County_Size="Large"),Grocery_Distance&lt;=1.75),1,IF(AND(OR(County_Size="Medium",County_Size="Large"),Grocery_Distance&lt;=2,0.5),0)))))))))))))))))</f>
        <v/>
      </c>
      <c r="L46" s="1716">
        <f>IF($N$45&lt;&gt;1,$N$45,IF(IFERROR(COUNTIF(L$45:L45,1),0)=3,2,IF(N(I46)&gt;0,1,IF(AND(N(I$47)&gt;0,N(I$48)&gt;0,N(I$49)&gt;0),2,IF(AND(N(I$47)&gt;0,N(I$48)&gt;0,N(I$49)&gt;0),2,1)))))</f>
        <v>1</v>
      </c>
      <c r="M46" s="395">
        <f>IF(AND(L46&lt;&gt;0,AND(F46&lt;&gt;"",G46&lt;&gt;"",H46&lt;&gt;"")),L46,0)</f>
        <v>0</v>
      </c>
      <c r="N46" s="555" t="str">
        <f>CHOOSE(L46+1,"Not to be included in this RFA","A REQUIRED input field for this RFA","An OPTIONAL input field for this RFA")</f>
        <v>A REQUIRED input field for this RFA</v>
      </c>
    </row>
    <row r="47" spans="1:15" ht="29.5" customHeight="1">
      <c r="A47" s="4"/>
      <c r="B47" s="4"/>
      <c r="C47" s="4"/>
      <c r="D47" s="4"/>
      <c r="E47" s="181" t="s">
        <v>313</v>
      </c>
      <c r="F47" s="49"/>
      <c r="G47" s="49"/>
      <c r="H47" s="947"/>
      <c r="I47" s="1308" t="str">
        <f>IF(OR(Medical_Name="",Medical_Address="",Medical_Distance=""),"",IF(AND(County_Size="Small",Medical_Distance&lt;=0.3),4,IF(AND(County_Size="Small",Medical_Distance&lt;=0.75),3.5,IF(AND(County_Size="Small",Medical_Distance&lt;=1),3,IF(AND(County_Size="Small",Medical_Distance&lt;=1.25),2.5,IF(AND(County_Size="Small",Medical_Distance&lt;=1.5),2,IF(AND(County_Size="Small",Medical_Distance&lt;=1.75),1.5,IF(AND(County_Size="Small",Medical_Distance&lt;=2),1,IF(AND(County_Size="Small",Medical_Distance&lt;=2.25),0.5,IF(AND(OR(County_Size="Medium",County_Size="Large"),Medical_Distance&lt;=0.3),4,IF(AND(OR(County_Size="Medium",County_Size="Large"),Medical_Distance&lt;=0.5),3.5,IF(AND(OR(County_Size="Medium",County_Size="Large"),Medical_Distance&lt;=0.75),3,IF(AND(OR(County_Size="Medium",County_Size="Large"),Medical_Distance&lt;=1),2.5,IF(AND(OR(County_Size="Medium",County_Size="Large"),Medical_Distance&lt;=1.25),2,IF(AND(OR(County_Size="Medium",County_Size="Large"),Medical_Distance&lt;=1.5),1.5,IF(AND(OR(County_Size="Medium",County_Size="Large"),Medical_Distance&lt;=1.75),1,IF(AND(OR(County_Size="Medium",County_Size="Large"),Medical_Distance&lt;=2,0.5),0)))))))))))))))))</f>
        <v/>
      </c>
      <c r="L47" s="1716">
        <f>IF($N$45&lt;&gt;1,$N$45,IF(IFERROR(COUNTIF(L$45:L46,1),0)=3,2,IF(N(I47)&gt;0,1,IF(AND(N(I$46)&gt;0,N(I$48)&gt;0,N(I$49)&gt;0),2,IF(AND(N(I$48)&gt;0,N(I$49)&gt;0),2,1)))))</f>
        <v>1</v>
      </c>
      <c r="M47" s="395">
        <f>IF(AND(L47&lt;&gt;0,AND(F47&lt;&gt;"",G47&lt;&gt;"",H47&lt;&gt;"")),L47,0)</f>
        <v>0</v>
      </c>
      <c r="N47" s="555" t="str">
        <f>CHOOSE(L47+1,"Not to be included in this RFA","A REQUIRED input field for this RFA","An OPTIONAL input field for this RFA")</f>
        <v>A REQUIRED input field for this RFA</v>
      </c>
    </row>
    <row r="48" spans="1:15" ht="29.5" customHeight="1">
      <c r="A48" s="4"/>
      <c r="B48" s="4"/>
      <c r="C48" s="4"/>
      <c r="D48" s="4"/>
      <c r="E48" s="181" t="s">
        <v>314</v>
      </c>
      <c r="F48" s="49"/>
      <c r="G48" s="49"/>
      <c r="H48" s="947"/>
      <c r="I48" s="1308" t="str">
        <f>IF(OR(Pharmacy_Name="",Pharmacy_Address="",Pharmacy_Distance=""),"",IF(AND(County_Size="Small",Pharmacy_Distance&lt;=0.3),4,IF(AND(County_Size="Small",Pharmacy_Distance&lt;=0.75),3.5,IF(AND(County_Size="Small",Pharmacy_Distance&lt;=1),3,IF(AND(County_Size="Small",Pharmacy_Distance&lt;=1.25),2.5,IF(AND(County_Size="Small",Pharmacy_Distance&lt;=1.5),2,IF(AND(County_Size="Small",Pharmacy_Distance&lt;=1.75),1.5,IF(AND(County_Size="Small",Pharmacy_Distance&lt;=2),1,IF(AND(County_Size="Small",Pharmacy_Distance&lt;=2.25),0.5,IF(AND(OR(County_Size="Medium",County_Size="Large"),Pharmacy_Distance&lt;=0.3),4,IF(AND(OR(County_Size="Medium",County_Size="Large"),Pharmacy_Distance&lt;=0.5),3.5,IF(AND(OR(County_Size="Medium",County_Size="Large"),Pharmacy_Distance&lt;=0.75),3,IF(AND(OR(County_Size="Medium",County_Size="Large"),Pharmacy_Distance&lt;=1),2.5,IF(AND(OR(County_Size="Medium",County_Size="Large"),Pharmacy_Distance&lt;=1.25),2,IF(AND(OR(County_Size="Medium",County_Size="Large"),Pharmacy_Distance&lt;=1.5),1.5,IF(AND(OR(County_Size="Medium",County_Size="Large"),Pharmacy_Distance&lt;=1.75),1,IF(AND(OR(County_Size="Medium",County_Size="Large"),Pharmacy_Distance&lt;=2,0.5),0)))))))))))))))))</f>
        <v/>
      </c>
      <c r="L48" s="1716">
        <f>IF($N$45&lt;&gt;1,$N$45,IF(IFERROR(COUNTIF(L$45:L47,1),0)=3,2,IF(N(I48)&gt;0,1,IF(AND(N(I$46)&gt;0,N(I$47)&gt;0,N(I$49)&gt;0),2,IF(N(I$49)&gt;0,2,1)))))</f>
        <v>1</v>
      </c>
      <c r="M48" s="395">
        <f>IF(AND(L48&lt;&gt;0,AND(F48&lt;&gt;"",G48&lt;&gt;"",H48&lt;&gt;"")),L48,0)</f>
        <v>0</v>
      </c>
      <c r="N48" s="555" t="str">
        <f>CHOOSE(L48+1,"Not to be included in this RFA","A REQUIRED input field for this RFA","An OPTIONAL input field for this RFA")</f>
        <v>A REQUIRED input field for this RFA</v>
      </c>
    </row>
    <row r="49" spans="1:14" ht="28.5" customHeight="1">
      <c r="A49" s="4"/>
      <c r="B49" s="4"/>
      <c r="C49" s="4"/>
      <c r="D49" s="4"/>
      <c r="E49" s="181" t="s">
        <v>315</v>
      </c>
      <c r="F49" s="49"/>
      <c r="G49" s="49"/>
      <c r="H49" s="947"/>
      <c r="I49" s="1308" t="str">
        <f>IF(OR(School_Name="",School_Address="",School_Distance=""),"",IF(AND(County_Size="Small",School_Distance&lt;=0.75),4,IF(AND(County_Size="Small",School_Distance&lt;=1),3.5,IF(AND(County_Size="Small",School_Distance&lt;=1.25),3,IF(AND(County_Size="Small",School_Distance&lt;=1.5),2.5,IF(AND(County_Size="Small",School_Distance&lt;=1.75),2,IF(AND(County_Size="Small",School_Distance&lt;=2),1.5,IF(AND(County_Size="Small",School_Distance&lt;=2.25),1,IF(AND(OR(County_Size="Medium",County_Size="Large"),School_Distance&lt;=0.5),4,IF(AND(OR(County_Size="Medium",County_Size="Large"),School_Distance&lt;=0.75),3.5,IF(AND(OR(County_Size="Medium",County_Size="Large"),School_Distance&lt;=1),3,IF(AND(OR(County_Size="Medium",County_Size="Large"),School_Distance&lt;=1.25),2.5,IF(AND(OR(County_Size="Medium",County_Size="Large"),School_Distance&lt;=1.2),2,IF(AND(OR(County_Size="Medium",County_Size="Large"),School_Distance&lt;=1.75),1.5,IF(AND(OR(County_Size="Medium",County_Size="Large"),School_Distance&lt;=2),1,0)))))))))))))))</f>
        <v/>
      </c>
      <c r="L49" s="1716">
        <f>IF($N$45&lt;&gt;1,$N$45,IF(IFERROR(COUNTIF(L$45:L48,1),0)=3,2,IF(N(I49)&gt;0,1,IF(AND(N(I$46)&gt;0,N(I$47)&gt;0,N(I$48)&gt;0),2,1))))</f>
        <v>2</v>
      </c>
      <c r="M49" s="395">
        <f>IF(AND(L49&lt;&gt;0,AND(F49&lt;&gt;"",G49&lt;&gt;"",H49&lt;&gt;"")),L49,0)</f>
        <v>0</v>
      </c>
      <c r="N49" s="555" t="str">
        <f>CHOOSE(L49+1,"Not to be included in this RFA","A REQUIRED input field for this RFA","An OPTIONAL input field for this RFA")</f>
        <v>An OPTIONAL input field for this RFA</v>
      </c>
    </row>
    <row r="50" spans="1:14" ht="20.149999999999999" customHeight="1">
      <c r="A50" s="4"/>
      <c r="B50" s="4"/>
      <c r="C50" s="4"/>
      <c r="D50" s="4"/>
      <c r="E50" s="1149" t="str">
        <f>IF(AND(Grocery_points&lt;&gt;"",Medical_points&lt;&gt;"",Pharmacy_points&lt;&gt;"",School_points&lt;&gt;""),"Only three Community Services may be selected.","")</f>
        <v/>
      </c>
      <c r="F50" s="4"/>
      <c r="G50" s="4"/>
      <c r="H50" s="4"/>
    </row>
    <row r="51" spans="1:14" ht="63.75" customHeight="1">
      <c r="A51" s="4"/>
      <c r="B51" s="2134" t="s">
        <v>316</v>
      </c>
      <c r="C51" s="2134"/>
      <c r="D51" s="2134"/>
      <c r="E51" s="2134"/>
      <c r="F51" s="2134"/>
      <c r="G51" s="2134"/>
      <c r="H51" s="2134"/>
      <c r="I51" s="2134"/>
    </row>
    <row r="52" spans="1:14" ht="10.4" customHeight="1">
      <c r="A52" s="4"/>
      <c r="B52" s="4"/>
      <c r="C52" s="4"/>
      <c r="D52" s="4"/>
      <c r="E52" s="4"/>
      <c r="F52" s="4"/>
      <c r="G52" s="4"/>
      <c r="H52" s="4"/>
    </row>
    <row r="53" spans="1:14" ht="14.5" customHeight="1">
      <c r="A53" s="1069" t="str" cm="1">
        <f t="array" ref="A53">IF($L55+$L58+$L61=0,"",IFERROR(CHAR(CODE(LOOKUP(2,1/(COUNTIF(A$3:A52,"&gt;"&amp;A$3:A52&amp;"*")=0),A$3:A52))+1),CHAR(CODE(LOOKUP(2,1/(COUNTIF('Development Location'!A$3:A32,"&gt;"&amp;'Development Location'!A$3:A32&amp;"*")=0),'Development Location'!A$3:A32))+1)))</f>
        <v>f</v>
      </c>
      <c r="B53" s="169" t="s">
        <v>317</v>
      </c>
      <c r="C53" s="46"/>
      <c r="D53" s="4"/>
      <c r="E53" s="4"/>
      <c r="F53" s="4"/>
      <c r="G53" s="4"/>
      <c r="H53" s="4"/>
    </row>
    <row r="54" spans="1:14">
      <c r="A54" s="4"/>
      <c r="B54" s="2213" t="s">
        <v>318</v>
      </c>
      <c r="C54" s="2213"/>
      <c r="D54" s="2213"/>
      <c r="E54" s="2213"/>
      <c r="F54" s="2213"/>
      <c r="G54" s="2213"/>
      <c r="H54" s="2213"/>
      <c r="I54" s="2213"/>
    </row>
    <row r="55" spans="1:14" ht="17.5" customHeight="1">
      <c r="A55" s="4"/>
      <c r="B55" s="2152" t="s">
        <v>191</v>
      </c>
      <c r="C55" s="2152"/>
      <c r="D55" s="2152"/>
      <c r="E55" s="2152"/>
      <c r="F55" s="4"/>
      <c r="G55" s="4"/>
      <c r="H55" s="4"/>
      <c r="L55" s="569">
        <v>1</v>
      </c>
      <c r="M55" s="395">
        <f>IF(AND(L55&lt;&gt;0,AND(B55&lt;&gt;"&lt;select one&gt;",B55&lt;&gt;"")),L55,0)</f>
        <v>1</v>
      </c>
      <c r="N55" s="555" t="str">
        <f>CHOOSE(L55+1,"Not to be included in this RFA","A REQUIRED input field for this RFA","An OPTIONAL input field for this RFA")</f>
        <v>A REQUIRED input field for this RFA</v>
      </c>
    </row>
    <row r="56" spans="1:14" ht="9" customHeight="1">
      <c r="A56" s="4"/>
      <c r="B56" s="4"/>
      <c r="C56" s="4"/>
      <c r="D56" s="4"/>
      <c r="E56" s="4"/>
      <c r="F56" s="4"/>
      <c r="G56" s="4"/>
      <c r="H56" s="4"/>
    </row>
    <row r="57" spans="1:14" ht="49.4" customHeight="1">
      <c r="A57" s="4"/>
      <c r="B57" s="2134" t="s">
        <v>319</v>
      </c>
      <c r="C57" s="2134"/>
      <c r="D57" s="2134"/>
      <c r="E57" s="2134"/>
      <c r="F57" s="2134"/>
      <c r="G57" s="2134"/>
      <c r="H57" s="2134"/>
      <c r="I57" s="2134"/>
    </row>
    <row r="58" spans="1:14" ht="17.5" customHeight="1">
      <c r="A58" s="4"/>
      <c r="B58" s="2152" t="s">
        <v>2</v>
      </c>
      <c r="C58" s="2152"/>
      <c r="D58" s="2152"/>
      <c r="E58" s="2152"/>
      <c r="F58" s="4"/>
      <c r="G58" s="4"/>
      <c r="H58" s="4"/>
      <c r="L58" s="569">
        <v>1</v>
      </c>
      <c r="M58" s="395">
        <f>IF(AND(L58&lt;&gt;0,AND(B58&lt;&gt;"&lt;select one&gt;",B58&lt;&gt;"")),L58,0)</f>
        <v>0</v>
      </c>
      <c r="N58" s="555" t="str">
        <f>CHOOSE(L58+1,"Not to be included in this RFA","A REQUIRED input field for this RFA","An OPTIONAL input field for this RFA")</f>
        <v>A REQUIRED input field for this RFA</v>
      </c>
    </row>
    <row r="59" spans="1:14" ht="10.4" customHeight="1">
      <c r="A59" s="4"/>
      <c r="B59" s="4"/>
      <c r="C59" s="4"/>
      <c r="D59" s="4"/>
      <c r="E59" s="4"/>
      <c r="F59" s="4"/>
      <c r="G59" s="4"/>
      <c r="H59" s="4"/>
    </row>
    <row r="60" spans="1:14" ht="45" customHeight="1">
      <c r="A60" s="4"/>
      <c r="B60" s="2134" t="s">
        <v>1685</v>
      </c>
      <c r="C60" s="2134"/>
      <c r="D60" s="2134"/>
      <c r="E60" s="2134"/>
      <c r="F60" s="2134"/>
      <c r="G60" s="2134"/>
      <c r="H60" s="2134"/>
      <c r="I60" s="2134"/>
    </row>
    <row r="61" spans="1:14" ht="17.5" customHeight="1">
      <c r="A61" s="4"/>
      <c r="B61" s="2212" t="s">
        <v>2</v>
      </c>
      <c r="C61" s="2212"/>
      <c r="D61" s="2212"/>
      <c r="E61" s="2212"/>
      <c r="F61" s="2212"/>
      <c r="G61" s="1208"/>
      <c r="H61" s="2210"/>
      <c r="I61" s="2210"/>
      <c r="L61" s="1716">
        <f>IF(B58="Yes",1,L58)</f>
        <v>1</v>
      </c>
      <c r="M61" s="395">
        <f>IF(AND(L61&lt;&gt;0,B61&lt;&gt;"&lt;select one&gt;"),L61,0)</f>
        <v>0</v>
      </c>
      <c r="N61" s="555" t="str">
        <f>CHOOSE(L61+1,"Not to be included in this RFA","A REQUIRED input field for this RFA","An OPTIONAL input field for this RFA")</f>
        <v>A REQUIRED input field for this RFA</v>
      </c>
    </row>
    <row r="62" spans="1:14" ht="17.5" customHeight="1">
      <c r="A62" s="4"/>
      <c r="B62" s="2209" t="s">
        <v>2</v>
      </c>
      <c r="C62" s="2209"/>
      <c r="D62" s="2209"/>
      <c r="E62" s="2209"/>
      <c r="F62" s="2209"/>
      <c r="G62" s="1209"/>
      <c r="H62" s="2210"/>
      <c r="I62" s="2210"/>
    </row>
    <row r="63" spans="1:14" ht="17.5" customHeight="1">
      <c r="A63" s="4"/>
      <c r="B63" s="2209" t="s">
        <v>2</v>
      </c>
      <c r="C63" s="2209"/>
      <c r="D63" s="2209"/>
      <c r="E63" s="2209"/>
      <c r="F63" s="2209"/>
      <c r="G63" s="1209"/>
      <c r="H63" s="2210"/>
      <c r="I63" s="2210"/>
    </row>
    <row r="64" spans="1:14" ht="17.5" customHeight="1">
      <c r="A64" s="4"/>
      <c r="B64" s="2209" t="s">
        <v>2</v>
      </c>
      <c r="C64" s="2209"/>
      <c r="D64" s="2209"/>
      <c r="E64" s="2209"/>
      <c r="F64" s="2209"/>
      <c r="G64" s="1209"/>
      <c r="H64" s="1210"/>
      <c r="I64" s="1210"/>
      <c r="L64" s="1147"/>
      <c r="M64" s="395"/>
      <c r="N64" s="1146"/>
    </row>
    <row r="65" spans="1:14" ht="17.5" customHeight="1">
      <c r="A65" s="4"/>
      <c r="B65" s="2209" t="s">
        <v>2</v>
      </c>
      <c r="C65" s="2209"/>
      <c r="D65" s="2209"/>
      <c r="E65" s="2209"/>
      <c r="F65" s="2209"/>
      <c r="G65" s="1209"/>
      <c r="H65" s="1210"/>
      <c r="I65" s="1210"/>
      <c r="L65" s="1147"/>
      <c r="M65" s="395"/>
      <c r="N65" s="1146"/>
    </row>
    <row r="66" spans="1:14" ht="10.4" customHeight="1">
      <c r="A66" s="4"/>
      <c r="B66" s="4"/>
      <c r="C66" s="4"/>
      <c r="D66" s="4"/>
      <c r="E66" s="4"/>
      <c r="F66" s="4"/>
      <c r="G66" s="4"/>
      <c r="H66" s="4"/>
    </row>
    <row r="67" spans="1:14">
      <c r="A67" s="611" t="str" cm="1">
        <f t="array" ref="A67">IF($L69=0,"",CHAR(CODE(LOOKUP(2,1/(COUNTIF(A$3:A66,"&gt;"&amp;A$3:A66&amp;"*")=0),A$3:A66))+1))</f>
        <v>g</v>
      </c>
      <c r="B67" s="46" t="s">
        <v>320</v>
      </c>
      <c r="C67" s="46"/>
      <c r="D67" s="4"/>
      <c r="E67" s="4"/>
      <c r="F67" s="4"/>
      <c r="G67" s="4"/>
      <c r="H67" s="4"/>
    </row>
    <row r="68" spans="1:14" ht="14.5" customHeight="1">
      <c r="A68" s="4"/>
      <c r="B68" s="2134" t="s">
        <v>321</v>
      </c>
      <c r="C68" s="2134"/>
      <c r="D68" s="2134"/>
      <c r="E68" s="2134"/>
      <c r="F68" s="2134"/>
      <c r="G68" s="2134"/>
      <c r="H68" s="2134"/>
      <c r="I68" s="2134"/>
    </row>
    <row r="69" spans="1:14" ht="17.5" customHeight="1">
      <c r="A69" s="4"/>
      <c r="B69" s="2152" t="s">
        <v>2</v>
      </c>
      <c r="C69" s="2152"/>
      <c r="D69" s="2152"/>
      <c r="E69" s="2152"/>
      <c r="F69" s="4"/>
      <c r="G69" s="4"/>
      <c r="H69" s="4"/>
      <c r="L69" s="569">
        <v>1</v>
      </c>
      <c r="M69" s="395">
        <f>IF(AND(L69&lt;&gt;0,AND(B69&lt;&gt;"&lt;select one&gt;",B69&lt;&gt;"")),L69,0)</f>
        <v>0</v>
      </c>
      <c r="N69" s="555" t="str">
        <f>CHOOSE(L69+1,"Not to be included in this RFA","A REQUIRED input field for this RFA","An OPTIONAL input field for this RFA")</f>
        <v>A REQUIRED input field for this RFA</v>
      </c>
    </row>
    <row r="70" spans="1:14" ht="10.4" customHeight="1">
      <c r="A70" s="4"/>
      <c r="B70" s="4"/>
      <c r="C70" s="4"/>
      <c r="D70" s="4"/>
      <c r="E70" s="4"/>
      <c r="F70" s="4"/>
      <c r="G70" s="4"/>
      <c r="H70" s="4"/>
    </row>
    <row r="71" spans="1:14" ht="15" customHeight="1">
      <c r="A71" s="1771" t="str" cm="1">
        <f t="array" ref="A71">IF($L72=0,"",CHAR(CODE(LOOKUP(2,1/(COUNTIF(A$3:A70,"&gt;"&amp;A$3:A70&amp;"*")=0),A$3:A70))+1))</f>
        <v>h</v>
      </c>
      <c r="B71" s="402" t="s">
        <v>1992</v>
      </c>
      <c r="C71" s="402"/>
      <c r="D71"/>
      <c r="E71"/>
      <c r="F71"/>
      <c r="G71"/>
      <c r="H71" s="4"/>
    </row>
    <row r="72" spans="1:14" ht="17.5" customHeight="1">
      <c r="A72"/>
      <c r="B72" s="1798" t="s">
        <v>208</v>
      </c>
      <c r="C72" s="1788" t="s">
        <v>1993</v>
      </c>
      <c r="D72" s="1788"/>
      <c r="E72" s="1788"/>
      <c r="F72" s="1788"/>
      <c r="G72" s="1788"/>
      <c r="H72" s="2215" t="s">
        <v>2</v>
      </c>
      <c r="I72" s="2215"/>
      <c r="L72" s="1789">
        <v>1</v>
      </c>
      <c r="M72" s="606">
        <f>IF(AND(L72&lt;&gt;0,AND(B71&lt;&gt;"&lt;select one&gt;",B71&lt;&gt;"")),L72,0)</f>
        <v>1</v>
      </c>
      <c r="N72" s="1669" t="str">
        <f>CHOOSE(L72+1,"Not to be included in this RFA","A REQUIRED input field for this RFA","An OPTIONAL input field for this RFA")</f>
        <v>A REQUIRED input field for this RFA</v>
      </c>
    </row>
    <row r="73" spans="1:14" ht="65.150000000000006" customHeight="1">
      <c r="A73"/>
      <c r="B73" s="1798" t="s">
        <v>210</v>
      </c>
      <c r="C73" s="2101" t="s">
        <v>1994</v>
      </c>
      <c r="D73" s="2101"/>
      <c r="E73" s="2101"/>
      <c r="F73" s="2101"/>
      <c r="G73" s="2101"/>
      <c r="H73" s="1799" t="s">
        <v>2</v>
      </c>
      <c r="I73" s="1800" t="str">
        <f>IFERROR(VLOOKUP(UrbanCenter_Name,Data2!$BM$91:$BN$101,2),"")</f>
        <v xml:space="preserve"> </v>
      </c>
    </row>
    <row r="74" spans="1:14" ht="17.5" customHeight="1">
      <c r="A74"/>
      <c r="B74"/>
      <c r="C74" t="s">
        <v>1995</v>
      </c>
      <c r="D74"/>
      <c r="E74"/>
      <c r="F74"/>
      <c r="G74"/>
      <c r="H74" s="4"/>
    </row>
    <row r="75" spans="1:14" ht="10.4" customHeight="1"/>
    <row r="76" spans="1:14" ht="17.5" customHeight="1">
      <c r="B76" s="14" t="s">
        <v>1191</v>
      </c>
      <c r="C76" s="14"/>
      <c r="D76" s="14"/>
      <c r="E76" s="14"/>
      <c r="F76" s="14"/>
      <c r="G76" s="14"/>
      <c r="H76" s="1562">
        <f>IF(E31="Only one type of transit may be selected.","too many Transit Services",IF(Private_transportation="Yes",Data1!B345,0)+SUM(I24:I29))</f>
        <v>0</v>
      </c>
    </row>
    <row r="77" spans="1:14" ht="17.5" customHeight="1">
      <c r="B77" s="2111" t="s">
        <v>1192</v>
      </c>
      <c r="C77" s="2111"/>
      <c r="D77" s="2111"/>
      <c r="E77" s="2111"/>
      <c r="F77" s="2111"/>
      <c r="G77" s="2111"/>
      <c r="H77" s="1564">
        <f>IF(E50="Only three Community Services may be selected.","too many Comm. Services",SUM(I46:I49))</f>
        <v>0</v>
      </c>
    </row>
    <row r="78" spans="1:14" ht="17.5" customHeight="1" thickBot="1">
      <c r="B78" s="14" t="s">
        <v>1171</v>
      </c>
      <c r="C78" s="14"/>
      <c r="D78" s="14"/>
      <c r="E78" s="14"/>
      <c r="F78" s="14"/>
      <c r="G78" s="14"/>
      <c r="H78" s="1563">
        <f>IF(PHA_Prox_boost="Yes",Data1!B341,IF(RD_Prox_boost="Yes",Data1!B342,0))</f>
        <v>0</v>
      </c>
    </row>
    <row r="79" spans="1:14" ht="7.5" customHeight="1" thickTop="1">
      <c r="H79" s="62"/>
    </row>
    <row r="80" spans="1:14">
      <c r="B80" s="436" t="s">
        <v>1190</v>
      </c>
      <c r="H80" s="1212">
        <f>SUM(H76:H78)</f>
        <v>0</v>
      </c>
    </row>
    <row r="81" spans="2:18" ht="10.4" customHeight="1">
      <c r="H81" s="62"/>
    </row>
    <row r="82" spans="2:18" ht="31" customHeight="1">
      <c r="B82" s="2211" t="s">
        <v>1193</v>
      </c>
      <c r="C82" s="2211"/>
      <c r="D82" s="2211"/>
      <c r="E82" s="2211"/>
      <c r="F82" s="2211"/>
      <c r="G82" s="2211"/>
      <c r="H82" s="1257" t="str">
        <f>IF(LEFT(RIGHT('Local Gov''t Contributions'!J36,22),4)="does","Yes","No")</f>
        <v>No</v>
      </c>
      <c r="I82" s="222"/>
      <c r="J82" s="203"/>
      <c r="K82"/>
      <c r="M82" s="395"/>
      <c r="N82" s="1560">
        <v>1</v>
      </c>
      <c r="O82"/>
      <c r="P82"/>
      <c r="Q82"/>
      <c r="R82"/>
    </row>
    <row r="83" spans="2:18" ht="14.5" hidden="1" customHeight="1">
      <c r="B83" s="1543" t="s">
        <v>1769</v>
      </c>
      <c r="C83" s="1543"/>
      <c r="D83" s="1543"/>
      <c r="E83" s="1543"/>
      <c r="F83" s="1543"/>
      <c r="G83" s="1543"/>
      <c r="H83" s="1213"/>
      <c r="I83"/>
      <c r="J83" s="203"/>
      <c r="K83"/>
      <c r="L83"/>
      <c r="M83"/>
      <c r="N83"/>
      <c r="O83"/>
      <c r="P83"/>
      <c r="Q83"/>
      <c r="R83"/>
    </row>
    <row r="84" spans="2:18" ht="14.5" hidden="1" customHeight="1">
      <c r="B84" s="1543" t="s">
        <v>1769</v>
      </c>
      <c r="C84" s="1543"/>
      <c r="D84" s="1543"/>
      <c r="E84" s="1543"/>
      <c r="F84" s="1543"/>
      <c r="G84" s="1543"/>
      <c r="H84" s="1213"/>
      <c r="I84"/>
      <c r="J84" s="203"/>
      <c r="K84"/>
      <c r="L84"/>
      <c r="M84"/>
      <c r="N84"/>
      <c r="O84"/>
      <c r="P84"/>
      <c r="Q84"/>
      <c r="R84"/>
    </row>
    <row r="85" spans="2:18" ht="14.5" hidden="1" customHeight="1">
      <c r="B85" s="1543" t="s">
        <v>1769</v>
      </c>
      <c r="C85" s="1543"/>
      <c r="D85" s="1543"/>
      <c r="E85" s="1543"/>
      <c r="F85" s="1543"/>
      <c r="G85" s="1543"/>
      <c r="H85" s="1213"/>
      <c r="I85"/>
      <c r="J85" s="203"/>
      <c r="K85"/>
      <c r="L85"/>
      <c r="M85"/>
      <c r="N85"/>
      <c r="O85"/>
      <c r="P85"/>
      <c r="Q85"/>
      <c r="R85"/>
    </row>
    <row r="86" spans="2:18" ht="14.5" hidden="1" customHeight="1">
      <c r="B86" s="1543" t="s">
        <v>1769</v>
      </c>
      <c r="C86" s="1543"/>
      <c r="D86" s="1543"/>
      <c r="E86" s="1543"/>
      <c r="F86" s="1543"/>
      <c r="G86" s="1543"/>
      <c r="H86" s="1214"/>
      <c r="I86"/>
      <c r="J86" s="203"/>
      <c r="K86"/>
      <c r="L86"/>
      <c r="M86"/>
      <c r="N86"/>
      <c r="O86"/>
      <c r="P86"/>
      <c r="Q86"/>
      <c r="R86"/>
    </row>
    <row r="87" spans="2:18" s="45" customFormat="1" hidden="1">
      <c r="B87" s="988"/>
      <c r="C87" s="988"/>
      <c r="D87" s="988"/>
      <c r="E87" s="988"/>
      <c r="F87" s="988"/>
      <c r="G87" s="988"/>
      <c r="H87" s="1215"/>
      <c r="I87" s="203"/>
      <c r="J87" s="203"/>
      <c r="K87" s="203"/>
      <c r="L87" s="203"/>
      <c r="M87" s="203"/>
      <c r="N87" s="203"/>
      <c r="O87" s="203"/>
      <c r="P87" s="203"/>
      <c r="Q87" s="203"/>
      <c r="R87" s="203"/>
    </row>
    <row r="88" spans="2:18" ht="31" customHeight="1">
      <c r="B88" s="2111" t="s">
        <v>1186</v>
      </c>
      <c r="C88" s="2111"/>
      <c r="D88" s="2111"/>
      <c r="E88" s="2111"/>
      <c r="F88" s="2111"/>
      <c r="G88" s="2111"/>
      <c r="H88" s="1211" t="str">
        <f>IF(OR(County_Size="Medium",County_Size="Small",H82="Yes",H83="Yes",H84="Yes",H85="Yes",H86="Yes"),"Yes - automatically",IF(AND(OR(PHA_Prox_boost="Yes",RD_Prox_boost="Yes"),transit_points_achieved&gt;=Data1!B363),"Yes",IF(transit_points_achieved&gt;=Data1!B364,"Yes","No")))</f>
        <v>No</v>
      </c>
    </row>
    <row r="89" spans="2:18" ht="31" customHeight="1">
      <c r="B89" s="2111" t="s">
        <v>1187</v>
      </c>
      <c r="C89" s="2111"/>
      <c r="D89" s="2111"/>
      <c r="E89" s="2111"/>
      <c r="F89" s="2111"/>
      <c r="G89" s="2111"/>
      <c r="H89" s="1211" t="str">
        <f>IF(OR(H82="Yes",H83="Yes",H84="Yes",H85="Yes",H86="Yes"),"Yes - automatically",IF(AND(County_Size="Small",total_proximity_points_achieved&gt;=Data1!B357),"Yes",IF(AND(County_Size="Medium",total_proximity_points_achieved&gt;=Data1!B356),"Yes",IF(AND(County_Size="Large",total_proximity_points_achieved&gt;=Data1!B355),"Yes","No"))))</f>
        <v>No</v>
      </c>
    </row>
    <row r="90" spans="2:18" ht="31" customHeight="1">
      <c r="B90" s="2111" t="s">
        <v>1188</v>
      </c>
      <c r="C90" s="2111"/>
      <c r="D90" s="2111"/>
      <c r="E90" s="2111"/>
      <c r="F90" s="2111"/>
      <c r="G90" s="2111"/>
      <c r="H90" s="1212" t="str">
        <f>IF(AND(County_Size="Small",total_proximity_points_achieved&gt;=Data1!B361),"Yes",IF(AND(County_Size="Medium",total_proximity_points_achieved&gt;=Data1!B360),"Yes",IF(AND(County_Size="Large",total_proximity_points_achieved&gt;=Data1!B359),"Yes","No")))</f>
        <v>No</v>
      </c>
    </row>
    <row r="91" spans="2:18" ht="10.5" customHeight="1"/>
  </sheetData>
  <mergeCells count="41">
    <mergeCell ref="C73:G73"/>
    <mergeCell ref="H72:I72"/>
    <mergeCell ref="L3:O3"/>
    <mergeCell ref="E33:I33"/>
    <mergeCell ref="E31:I31"/>
    <mergeCell ref="D18:I18"/>
    <mergeCell ref="C16:I16"/>
    <mergeCell ref="D11:E11"/>
    <mergeCell ref="G21:I21"/>
    <mergeCell ref="A1:I1"/>
    <mergeCell ref="D6:H6"/>
    <mergeCell ref="D7:E7"/>
    <mergeCell ref="K1:AD2"/>
    <mergeCell ref="B62:F62"/>
    <mergeCell ref="H62:I62"/>
    <mergeCell ref="D40:I40"/>
    <mergeCell ref="B61:F61"/>
    <mergeCell ref="H61:I61"/>
    <mergeCell ref="B54:I54"/>
    <mergeCell ref="B57:I57"/>
    <mergeCell ref="B60:I60"/>
    <mergeCell ref="D37:E37"/>
    <mergeCell ref="D10:H10"/>
    <mergeCell ref="D19:E19"/>
    <mergeCell ref="F19:I20"/>
    <mergeCell ref="B90:G90"/>
    <mergeCell ref="I24:I26"/>
    <mergeCell ref="B89:G89"/>
    <mergeCell ref="B64:F64"/>
    <mergeCell ref="B55:E55"/>
    <mergeCell ref="B58:E58"/>
    <mergeCell ref="B51:I51"/>
    <mergeCell ref="C43:I43"/>
    <mergeCell ref="B65:F65"/>
    <mergeCell ref="B63:F63"/>
    <mergeCell ref="H63:I63"/>
    <mergeCell ref="B88:G88"/>
    <mergeCell ref="B82:G82"/>
    <mergeCell ref="B68:I68"/>
    <mergeCell ref="B77:G77"/>
    <mergeCell ref="B69:E69"/>
  </mergeCells>
  <conditionalFormatting sqref="F24:H29 D40 F46:H49">
    <cfRule type="cellIs" dxfId="487" priority="44" operator="notEqual">
      <formula>""</formula>
    </cfRule>
  </conditionalFormatting>
  <conditionalFormatting sqref="D7 D11 D19 D37 B58 B61:F65 B69 H72 H73">
    <cfRule type="cellIs" dxfId="486" priority="8" operator="notEqual">
      <formula>"&lt;select one&gt;"</formula>
    </cfRule>
  </conditionalFormatting>
  <conditionalFormatting sqref="B54:I56">
    <cfRule type="expression" dxfId="485" priority="74">
      <formula>$L$55=0</formula>
    </cfRule>
  </conditionalFormatting>
  <conditionalFormatting sqref="B57:I66">
    <cfRule type="expression" dxfId="484" priority="75">
      <formula>$L$58=0</formula>
    </cfRule>
  </conditionalFormatting>
  <conditionalFormatting sqref="B53:H53">
    <cfRule type="expression" dxfId="483" priority="73">
      <formula>$L$55+$L$58=0</formula>
    </cfRule>
  </conditionalFormatting>
  <conditionalFormatting sqref="A67:I70">
    <cfRule type="expression" dxfId="482" priority="80">
      <formula>$L$69=0</formula>
    </cfRule>
  </conditionalFormatting>
  <conditionalFormatting sqref="B42:I52">
    <cfRule type="expression" dxfId="481" priority="69">
      <formula>$N$45=0</formula>
    </cfRule>
  </conditionalFormatting>
  <conditionalFormatting sqref="B18:I20">
    <cfRule type="expression" dxfId="480" priority="19">
      <formula>$L$19=0</formula>
    </cfRule>
  </conditionalFormatting>
  <conditionalFormatting sqref="B14:I17">
    <cfRule type="expression" dxfId="479" priority="10">
      <formula>AND($L$19=0,$N$23=0)</formula>
    </cfRule>
  </conditionalFormatting>
  <conditionalFormatting sqref="B21:I30">
    <cfRule type="expression" dxfId="478" priority="38">
      <formula>$N$23=0</formula>
    </cfRule>
  </conditionalFormatting>
  <conditionalFormatting sqref="B24:I29">
    <cfRule type="expression" dxfId="477" priority="47">
      <formula>$L24=0</formula>
    </cfRule>
  </conditionalFormatting>
  <conditionalFormatting sqref="B6:H9">
    <cfRule type="expression" dxfId="476" priority="5">
      <formula>$L$7=0</formula>
    </cfRule>
  </conditionalFormatting>
  <conditionalFormatting sqref="B10:H13">
    <cfRule type="expression" dxfId="475" priority="9">
      <formula>$L$11=0</formula>
    </cfRule>
  </conditionalFormatting>
  <conditionalFormatting sqref="B4:H5">
    <cfRule type="expression" dxfId="474" priority="2">
      <formula>$L$7+$L$11=0</formula>
    </cfRule>
  </conditionalFormatting>
  <conditionalFormatting sqref="E31 E33">
    <cfRule type="expression" dxfId="473" priority="49">
      <formula>AND($E31&lt;&gt;"This area intentionally left blank.",$E31&lt;&gt;"")</formula>
    </cfRule>
  </conditionalFormatting>
  <conditionalFormatting sqref="F24:I29">
    <cfRule type="expression" dxfId="472" priority="40">
      <formula>$D$19="Yes"</formula>
    </cfRule>
  </conditionalFormatting>
  <conditionalFormatting sqref="E50:G50">
    <cfRule type="expression" dxfId="471" priority="71">
      <formula>$E50="Only three Community Services may be selected."</formula>
    </cfRule>
  </conditionalFormatting>
  <conditionalFormatting sqref="H82 H88:H90">
    <cfRule type="cellIs" dxfId="470" priority="1612" operator="equal">
      <formula>"No"</formula>
    </cfRule>
  </conditionalFormatting>
  <conditionalFormatting sqref="F19:I20">
    <cfRule type="expression" dxfId="469" priority="34">
      <formula>AND(FIND("does not qualify",$F19),Private_transportation="Yes")</formula>
    </cfRule>
  </conditionalFormatting>
  <conditionalFormatting sqref="D37">
    <cfRule type="cellIs" dxfId="468" priority="55" operator="notEqual">
      <formula>"&lt;select one&gt;"</formula>
    </cfRule>
  </conditionalFormatting>
  <conditionalFormatting sqref="D40:I40">
    <cfRule type="expression" dxfId="467" priority="60">
      <formula>$D41&lt;&gt;""</formula>
    </cfRule>
  </conditionalFormatting>
  <conditionalFormatting sqref="B35:I41">
    <cfRule type="expression" dxfId="466" priority="54">
      <formula>$N$35=0</formula>
    </cfRule>
  </conditionalFormatting>
  <conditionalFormatting sqref="B60:I65">
    <cfRule type="expression" dxfId="465" priority="79">
      <formula>$L$61=0</formula>
    </cfRule>
  </conditionalFormatting>
  <conditionalFormatting sqref="D41:I41">
    <cfRule type="expression" dxfId="464" priority="61">
      <formula>#REF!&lt;&gt;""</formula>
    </cfRule>
  </conditionalFormatting>
  <conditionalFormatting sqref="B3:H3">
    <cfRule type="expression" dxfId="463" priority="1">
      <formula>AND($L$7=0,$L$11=0,$L$19=0,$N$23=0,$N$45=0)</formula>
    </cfRule>
  </conditionalFormatting>
  <conditionalFormatting sqref="C18:I18">
    <cfRule type="expression" dxfId="462" priority="20">
      <formula>AND(Demographic&lt;&gt;"Elderly Non-ALF",Demographic&lt;&gt;"Elderly ALF",Demographic&lt;&gt;"&lt;select one&gt;")</formula>
    </cfRule>
  </conditionalFormatting>
  <conditionalFormatting sqref="D19:E19">
    <cfRule type="expression" dxfId="461" priority="22">
      <formula>AND(Demographic&lt;&gt;"Elderly Non-ALF",Demographic&lt;&gt;"Elderly ALF",Demographic&lt;&gt;"&lt;select one&gt;")</formula>
    </cfRule>
  </conditionalFormatting>
  <conditionalFormatting sqref="B82:I82">
    <cfRule type="expression" dxfId="460" priority="1246">
      <formula>$N82=0</formula>
    </cfRule>
  </conditionalFormatting>
  <conditionalFormatting sqref="E31:I31 E33:I33">
    <cfRule type="cellIs" dxfId="459" priority="52" operator="equal">
      <formula>"This area intentionally left blank."</formula>
    </cfRule>
  </conditionalFormatting>
  <conditionalFormatting sqref="G21:I21">
    <cfRule type="cellIs" dxfId="458" priority="35" operator="notEqual">
      <formula>""</formula>
    </cfRule>
  </conditionalFormatting>
  <conditionalFormatting sqref="A71:I75">
    <cfRule type="expression" dxfId="457" priority="81">
      <formula>$L$72=0</formula>
    </cfRule>
  </conditionalFormatting>
  <conditionalFormatting sqref="H73">
    <cfRule type="expression" dxfId="456" priority="1245">
      <formula>AND($H$72="Yes",$H$73="&lt;select one&gt;")</formula>
    </cfRule>
  </conditionalFormatting>
  <conditionalFormatting sqref="H72:I72">
    <cfRule type="expression" dxfId="455" priority="101">
      <formula>AND($H$72="&lt;select one&gt;",$H$73&lt;&gt;"&lt;select one&gt;")</formula>
    </cfRule>
    <cfRule type="expression" dxfId="454" priority="983">
      <formula>AND($H$72="No",$H$73&lt;&gt;"&lt;select one&gt;")</formula>
    </cfRule>
  </conditionalFormatting>
  <dataValidations count="1">
    <dataValidation type="list" allowBlank="1" showInputMessage="1" showErrorMessage="1" sqref="D7 D11 D19 B58 B55 B69 D37 H72:I72" xr:uid="{A984B7F7-4DD1-4D0B-B766-FFD14DF41ED2}">
      <formula1>"&lt;select one&gt;, Yes, No"</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ignoredErrors>
    <ignoredError sqref="B4 B14 B42" numberStoredAsText="1"/>
  </ignoredErrors>
  <extLst>
    <ext xmlns:x14="http://schemas.microsoft.com/office/spreadsheetml/2009/9/main" uri="{78C0D931-6437-407d-A8EE-F0AAD7539E65}">
      <x14:conditionalFormattings>
        <x14:conditionalFormatting xmlns:xm="http://schemas.microsoft.com/office/excel/2006/main">
          <x14:cfRule type="expression" priority="18" id="{B6D96654-0174-4CF4-860E-95150DC59E6C}">
            <xm:f>Data1!$E$605="Yes"</xm:f>
            <x14:dxf>
              <font>
                <color theme="0"/>
              </font>
              <fill>
                <patternFill>
                  <bgColor theme="0"/>
                </patternFill>
              </fill>
              <border>
                <left/>
                <right/>
                <top/>
                <bottom/>
              </border>
            </x14:dxf>
          </x14:cfRule>
          <xm:sqref>L4:N4 L6:N7 L11:N11 L19:N19 N23 N35 L37:O37 L40:N40 N45 L55:N55 L58:N58 L61:N61 L69:N69 L24:N29 N82 L46:N49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ACEFF71-0D30-4E53-8C75-FCD6BDFC6675}">
          <x14:formula1>
            <xm:f>Data2!$BP$22:$BP$88</xm:f>
          </x14:formula1>
          <xm:sqref>B61:F65</xm:sqref>
        </x14:dataValidation>
        <x14:dataValidation type="list" allowBlank="1" showInputMessage="1" showErrorMessage="1" xr:uid="{460CE84D-871E-4003-A32B-B775CF098A69}">
          <x14:formula1>
            <xm:f>Data2!$BM$91:$BM$101</xm:f>
          </x14:formula1>
          <xm:sqref>H73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41"/>
  <sheetViews>
    <sheetView showGridLines="0" zoomScaleNormal="100" zoomScaleSheetLayoutView="90" workbookViewId="0">
      <pane ySplit="2" topLeftCell="A3" activePane="bottomLeft" state="frozen"/>
      <selection pane="bottomLeft" activeCell="K3" sqref="K3"/>
    </sheetView>
  </sheetViews>
  <sheetFormatPr defaultColWidth="8.54296875" defaultRowHeight="14.5"/>
  <cols>
    <col min="1" max="1" width="3" style="42" customWidth="1"/>
    <col min="2" max="3" width="3.54296875" style="42" customWidth="1"/>
    <col min="4" max="4" width="4.453125" style="42" customWidth="1"/>
    <col min="5" max="5" width="7.54296875" style="42" customWidth="1"/>
    <col min="6" max="6" width="14.54296875" style="42" customWidth="1"/>
    <col min="7" max="7" width="10.1796875" style="42" customWidth="1"/>
    <col min="8" max="8" width="12.453125" style="42" customWidth="1"/>
    <col min="9" max="9" width="14.54296875" style="42" customWidth="1"/>
    <col min="10" max="10" width="23.54296875" style="42" customWidth="1"/>
    <col min="11" max="11" width="14" style="42" customWidth="1"/>
    <col min="12" max="12" width="8.81640625" style="42" customWidth="1"/>
    <col min="13" max="13" width="3.54296875" style="42" customWidth="1"/>
    <col min="14" max="15" width="3.54296875" style="42" hidden="1" customWidth="1"/>
    <col min="16" max="16" width="35.81640625" style="42" hidden="1" customWidth="1"/>
    <col min="17" max="17" width="3.54296875" style="42" hidden="1" customWidth="1"/>
    <col min="18" max="16384" width="8.54296875" style="42"/>
  </cols>
  <sheetData>
    <row r="1" spans="1:32" ht="35.9" customHeight="1" thickBot="1">
      <c r="A1" s="2115" t="s">
        <v>322</v>
      </c>
      <c r="B1" s="2116"/>
      <c r="C1" s="2116"/>
      <c r="D1" s="2116"/>
      <c r="E1" s="2116"/>
      <c r="F1" s="2116"/>
      <c r="G1" s="2116"/>
      <c r="H1" s="2116"/>
      <c r="I1" s="2116"/>
      <c r="J1" s="2116"/>
      <c r="K1" s="2117"/>
      <c r="M1" s="2218" t="str">
        <f>"There are "&amp;TEXT(COUNTIF($N$3:$N$138,"=1"),"0")&amp;" required input fields and "&amp;TEXT(COUNTIF($N$3:$N$138,"=2"),"0")&amp;" optional input fields tracked tracked on this tab."&amp;CHAR(10)&amp;"There "&amp;IF(COUNTIFS($N$3:$N$138,"=1",$O$3:$O$138,"=1")=1,"is 1 required input field","are "&amp;TEXT(COUNTIFS($N$3:$N$138,"=1",$O$3:$O$138,"=1"),"0")&amp;" required input fields")&amp;" and "&amp;TEXT(COUNTIFS($N$3:$N$138,"=2",$O$3:$O$138,"=2"),"0")&amp;" optional input field"&amp;IF(COUNTIFS($N$3:$N$138,"=2",$O$3:$O$138,"=2")=1," with an entry","s with entries")&amp;" tracked tracked on this tab."&amp;CHAR(10)&amp;"There "&amp;IF(Data1!G606=1,"is ","are ")&amp;TEXT(Data1!G606,"0")&amp;" required input field"&amp;IF(Data1!G606=1,"s that need an entry","s that need entries")&amp;" and "&amp;TEXT(Data1!H606,"0")&amp;" optional input field"&amp;IF(Data1!H606=1," that may or may not need an entry","s that may or may not need entries")&amp;" tracked tracked on this tab."</f>
        <v>There are 3 required input fields and 0 optional input fields tracked tracked on this tab.
There are 0 required input fields and 0 optional input fields with entries tracked tracked on this tab.
There are 3 required input fields that need entries and 0 optional input fields that may or may not need entries tracked tracked on this tab.</v>
      </c>
      <c r="N1" s="2218"/>
      <c r="O1" s="2218"/>
      <c r="P1" s="2218"/>
      <c r="Q1" s="2218"/>
      <c r="R1" s="2218"/>
      <c r="S1" s="2218"/>
      <c r="T1" s="2218"/>
      <c r="U1" s="2218"/>
      <c r="V1" s="2218"/>
      <c r="W1" s="2218"/>
      <c r="X1" s="2218"/>
      <c r="Y1" s="2218"/>
      <c r="Z1" s="2218"/>
      <c r="AA1" s="2218"/>
      <c r="AB1" s="2218"/>
      <c r="AC1" s="2218"/>
      <c r="AD1" s="2218"/>
      <c r="AE1" s="2218"/>
      <c r="AF1" s="2218"/>
    </row>
    <row r="2" spans="1:32">
      <c r="A2" s="4"/>
      <c r="B2" s="4"/>
      <c r="C2" s="4"/>
      <c r="D2" s="4"/>
      <c r="E2" s="4"/>
      <c r="F2" s="4"/>
      <c r="G2" s="4"/>
      <c r="H2" s="4"/>
      <c r="I2" s="4"/>
      <c r="J2" s="4"/>
      <c r="K2" s="4"/>
      <c r="M2" s="2218"/>
      <c r="N2" s="2218"/>
      <c r="O2" s="2218"/>
      <c r="P2" s="2218"/>
      <c r="Q2" s="2218"/>
      <c r="R2" s="2218"/>
      <c r="S2" s="2218"/>
      <c r="T2" s="2218"/>
      <c r="U2" s="2218"/>
      <c r="V2" s="2218"/>
      <c r="W2" s="2218"/>
      <c r="X2" s="2218"/>
      <c r="Y2" s="2218"/>
      <c r="Z2" s="2218"/>
      <c r="AA2" s="2218"/>
      <c r="AB2" s="2218"/>
      <c r="AC2" s="2218"/>
      <c r="AD2" s="2218"/>
      <c r="AE2" s="2218"/>
      <c r="AF2" s="2218"/>
    </row>
    <row r="3" spans="1:32" ht="17.5" customHeight="1">
      <c r="A3" s="164" t="s">
        <v>206</v>
      </c>
      <c r="B3" s="2146" t="s">
        <v>323</v>
      </c>
      <c r="C3" s="2146"/>
      <c r="D3" s="2146"/>
      <c r="E3" s="2146"/>
      <c r="F3" s="2146"/>
      <c r="G3" s="2146"/>
      <c r="H3" s="2146"/>
      <c r="I3" s="2146"/>
      <c r="J3" s="2146"/>
      <c r="K3" s="1438"/>
      <c r="L3" s="725"/>
      <c r="M3" s="725"/>
      <c r="N3" s="569">
        <v>1</v>
      </c>
      <c r="O3" s="565">
        <f>IF(AND(N3&lt;&gt;0,K3&lt;&gt;""),N3,0)</f>
        <v>0</v>
      </c>
      <c r="P3" s="566" t="str">
        <f>CHOOSE(N3+1,"Not to be included in this RFA","A REQUIRED input field for this RFA","An OPTIONAL input field for this RFA")</f>
        <v>A REQUIRED input field for this RFA</v>
      </c>
      <c r="S3"/>
    </row>
    <row r="4" spans="1:32" ht="30" customHeight="1">
      <c r="A4" s="76"/>
      <c r="B4" s="4"/>
      <c r="C4" s="2184" t="str" cm="1">
        <f t="array" aca="1" ref="C4" ca="1">IF(K3="","(Total Units must have an entry to turn on some of the validation formulas in Exhibit A)","")&amp;IF(AND(Total_Units&lt;&gt;"",County="&lt;select one&gt;"),"Attention: please provide the County for the proposed Development at Section 4.A.5.a. in the '"&amp;MID(CELL("filename",'Development Location'!A1),FIND("]",CELL("filename",'Development Location'!A1))+1,255)&amp;"' tab.",IF(AND(N(Total_Units)&gt;0,N(Total_Units)&lt;DS_Min_Units,DS_Min_Units&lt;&gt;"No Limit"),"Attention: Minimum number of units of "&amp;TEXT(DS_Min_Units,"0")&amp;" not met.",IF(AND(N(Total_Units)&gt;0,OR(N(Total_Units)&gt;=DS_Min_Units,DS_Min_Units="No Limit")),"Minimum number of units of "&amp;IF(DS_Min_Units="No Limit","no minimum",TEXT(DS_Min_Units,"0"))&amp;" is met.",""))&amp;" "&amp;IF(AND(N(Total_Units)&gt;0,DS_Max_Units&lt;&gt;"No Limit",N(Total_Units)&gt;N(DS_Max_Units)),"Attention: Maximum number of units of "&amp;IF(DS_Max_Units="TBD","TBD",TEXT(N(DS_Max_Units),"0"))&amp;" is not met.",IF(AND(N(Total_Units)&gt;0,DS_Max_Units&lt;&gt;"No Limit",N(Total_Units)&lt;=N(DS_Max_Units)),"Maximum number of units of "&amp;TEXT(N(DS_Max_Units),"0")&amp;" is met.",IF(DS_Max_Units="No Limit","There is no maximum unit limit.",""))))</f>
        <v xml:space="preserve">(Total Units must have an entry to turn on some of the validation formulas in Exhibit A) </v>
      </c>
      <c r="D4" s="2184"/>
      <c r="E4" s="2184"/>
      <c r="F4" s="2184"/>
      <c r="G4" s="2184"/>
      <c r="H4" s="2184"/>
      <c r="I4" s="2184"/>
      <c r="J4" s="2184"/>
      <c r="K4" s="2184"/>
      <c r="L4" s="725"/>
      <c r="M4" s="725"/>
      <c r="N4" s="2147" t="s">
        <v>1772</v>
      </c>
      <c r="O4" s="2147"/>
      <c r="P4" s="2147"/>
      <c r="Q4" s="2147"/>
      <c r="S4"/>
    </row>
    <row r="5" spans="1:32" ht="33" hidden="1" customHeight="1">
      <c r="A5" s="612" t="str" cm="1">
        <f t="array" ref="A5">IF($N6=0,"",CHAR(CODE(LOOKUP(2,1/(COUNTIF(A$3:A4,"&gt;"&amp;A$3:A4&amp;"*")=0),A$3:A4))+1))</f>
        <v/>
      </c>
      <c r="B5" s="2146"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5" s="2146"/>
      <c r="D5" s="2146"/>
      <c r="E5" s="2146"/>
      <c r="F5" s="2146"/>
      <c r="G5" s="2146"/>
      <c r="H5" s="2146"/>
      <c r="I5" s="2146"/>
      <c r="J5" s="2146"/>
      <c r="K5" s="505"/>
      <c r="L5" s="14"/>
      <c r="S5"/>
    </row>
    <row r="6" spans="1:32" ht="17.5" hidden="1" customHeight="1">
      <c r="A6" s="76"/>
      <c r="C6" s="2139" t="s">
        <v>2</v>
      </c>
      <c r="D6" s="2139"/>
      <c r="E6" s="2139"/>
      <c r="F6" s="2139"/>
      <c r="G6" s="2139"/>
      <c r="H6" s="2139"/>
      <c r="I6" s="2139"/>
      <c r="J6" s="2139"/>
      <c r="K6" s="2139"/>
      <c r="L6" s="14"/>
      <c r="N6" s="1713">
        <f>IF(Q6=0,0,IF(OR(Development_Category="Rehabilitation",Development_Category="Acquisition and Rehabilitation",Development_Category="Preservation",Development_Category="Acquisition and Preservation"),1,2))</f>
        <v>0</v>
      </c>
      <c r="O6" s="395">
        <f>IF(AND(N6&lt;&gt;0,AND(C6&lt;&gt;"&lt;select one&gt;",C6&lt;&gt;"")),N6,0)</f>
        <v>0</v>
      </c>
      <c r="P6" s="566" t="str">
        <f>CHOOSE(N6+1,"Not to be included in this RFA","A REQUIRED input field for this RFA","An OPTIONAL input field for this RFA")</f>
        <v>Not to be included in this RFA</v>
      </c>
      <c r="Q6" s="403">
        <v>0</v>
      </c>
      <c r="S6"/>
    </row>
    <row r="7" spans="1:32" ht="7.5" hidden="1" customHeight="1">
      <c r="A7" s="76"/>
      <c r="B7" s="4"/>
      <c r="C7" s="4"/>
      <c r="D7" s="4"/>
      <c r="E7" s="4"/>
      <c r="F7" s="4"/>
      <c r="G7" s="4"/>
      <c r="H7" s="4"/>
      <c r="I7" s="4"/>
      <c r="J7" s="4"/>
      <c r="K7" s="4"/>
      <c r="L7" s="14"/>
    </row>
    <row r="8" spans="1:32" ht="33" hidden="1" customHeight="1">
      <c r="A8" s="612"/>
      <c r="B8" s="2146" t="s">
        <v>324</v>
      </c>
      <c r="C8" s="2146"/>
      <c r="D8" s="2146"/>
      <c r="E8" s="2146"/>
      <c r="F8" s="2146"/>
      <c r="G8" s="2146"/>
      <c r="H8" s="2146"/>
      <c r="I8" s="2146"/>
      <c r="J8" s="2146"/>
      <c r="K8" s="505"/>
      <c r="L8" s="14"/>
      <c r="P8" s="561">
        <v>0</v>
      </c>
      <c r="S8"/>
    </row>
    <row r="9" spans="1:32" ht="7.5" hidden="1" customHeight="1">
      <c r="A9" s="76"/>
      <c r="B9" s="4"/>
      <c r="C9" s="4"/>
      <c r="D9" s="4"/>
      <c r="E9" s="4"/>
      <c r="F9" s="4"/>
      <c r="G9" s="4"/>
      <c r="H9" s="4"/>
      <c r="I9" s="4"/>
      <c r="J9" s="4"/>
      <c r="K9" s="4"/>
      <c r="L9" s="14"/>
    </row>
    <row r="10" spans="1:32">
      <c r="A10" s="612" t="str" cm="1">
        <f t="array" ref="A10">CHAR(CODE(LOOKUP(2,1/(COUNTIF(A$3:A9,"&gt;"&amp;A$3:A9&amp;"*")=0),A$3:A9))+1)</f>
        <v>b</v>
      </c>
      <c r="B10" s="46" t="s">
        <v>325</v>
      </c>
      <c r="C10" s="4"/>
      <c r="D10" s="4"/>
      <c r="E10" s="4"/>
      <c r="F10" s="4"/>
      <c r="G10" s="4"/>
      <c r="H10" s="4"/>
      <c r="I10" s="4"/>
      <c r="J10" s="4"/>
      <c r="K10" s="4"/>
      <c r="L10" s="14"/>
    </row>
    <row r="11" spans="1:32" ht="30" customHeight="1">
      <c r="A11" s="612"/>
      <c r="B11" s="1109" t="s">
        <v>208</v>
      </c>
      <c r="C11" s="1275" t="s">
        <v>1511</v>
      </c>
      <c r="D11"/>
      <c r="E11"/>
      <c r="F11"/>
      <c r="G11"/>
      <c r="H11"/>
      <c r="I11"/>
      <c r="J11"/>
      <c r="K11"/>
      <c r="L11" s="108"/>
      <c r="M11"/>
      <c r="N11"/>
      <c r="P11" s="14" t="s">
        <v>1527</v>
      </c>
    </row>
    <row r="12" spans="1:32" ht="30" hidden="1" customHeight="1">
      <c r="A12" s="4"/>
      <c r="B12" s="568" t="s">
        <v>208</v>
      </c>
      <c r="C12" s="6" t="s">
        <v>326</v>
      </c>
      <c r="D12" s="7"/>
      <c r="F12" s="4"/>
      <c r="G12" s="4"/>
      <c r="H12" s="4"/>
      <c r="I12" s="4"/>
      <c r="J12" s="4"/>
      <c r="K12" s="4"/>
      <c r="L12" s="725"/>
      <c r="M12" s="725"/>
      <c r="S12"/>
    </row>
    <row r="13" spans="1:32" ht="17.5" hidden="1" customHeight="1">
      <c r="A13" s="4"/>
      <c r="B13" s="4"/>
      <c r="C13" s="2291" t="s">
        <v>2</v>
      </c>
      <c r="D13" s="2291"/>
      <c r="E13" s="2291"/>
      <c r="F13" s="2291"/>
      <c r="G13" s="2291"/>
      <c r="H13" s="2291"/>
      <c r="I13" s="2291"/>
      <c r="J13" s="2291"/>
      <c r="K13" s="2291"/>
      <c r="L13" s="725"/>
      <c r="M13" s="725"/>
      <c r="N13" s="569">
        <v>0</v>
      </c>
      <c r="O13" s="395">
        <f>IF(AND(N13&lt;&gt;0,AND(C13&lt;&gt;"&lt;select one&gt;",C13&lt;&gt;"")),N13,0)</f>
        <v>0</v>
      </c>
      <c r="P13" s="566" t="str">
        <f>CHOOSE(N13+1,"Not to be included in this RFA","A REQUIRED input field for this RFA","An OPTIONAL input field for this RFA")</f>
        <v>Not to be included in this RFA</v>
      </c>
      <c r="S13"/>
      <c r="T13" s="580"/>
      <c r="U13" s="580"/>
      <c r="V13" s="580"/>
      <c r="W13" s="580"/>
      <c r="X13" s="580"/>
      <c r="Y13" s="580"/>
      <c r="Z13" s="580"/>
      <c r="AA13" s="580"/>
      <c r="AB13" s="580"/>
      <c r="AC13" s="580"/>
      <c r="AD13" s="580"/>
    </row>
    <row r="14" spans="1:32" ht="7.5" hidden="1" customHeight="1">
      <c r="A14" s="4"/>
      <c r="B14" s="4"/>
      <c r="C14" s="4"/>
      <c r="D14" s="4"/>
      <c r="E14" s="4"/>
      <c r="F14" s="4"/>
      <c r="G14" s="4"/>
      <c r="H14" s="4"/>
      <c r="I14" s="4"/>
      <c r="J14" s="4"/>
      <c r="K14" s="4"/>
      <c r="L14" s="725"/>
      <c r="M14" s="725"/>
      <c r="S14"/>
      <c r="T14" s="580"/>
      <c r="U14" s="580"/>
      <c r="V14" s="580"/>
      <c r="W14" s="580"/>
      <c r="X14" s="580"/>
      <c r="Y14" s="580"/>
      <c r="Z14" s="580"/>
      <c r="AA14" s="580"/>
      <c r="AB14" s="580"/>
      <c r="AC14" s="580"/>
      <c r="AD14" s="580"/>
    </row>
    <row r="15" spans="1:32" ht="14.5" customHeight="1">
      <c r="A15" s="4"/>
      <c r="B15" s="568" t="s">
        <v>210</v>
      </c>
      <c r="C15" s="6" t="s">
        <v>327</v>
      </c>
      <c r="D15" s="7"/>
      <c r="F15" s="4"/>
      <c r="G15" s="4"/>
      <c r="H15" s="4"/>
      <c r="I15" s="4"/>
      <c r="J15" s="4"/>
      <c r="K15" s="4"/>
      <c r="L15" s="725"/>
      <c r="M15" s="725"/>
      <c r="Q15" s="203"/>
      <c r="R15" s="45"/>
      <c r="S15" s="1651"/>
      <c r="T15" s="1651"/>
      <c r="U15" s="1651"/>
      <c r="V15" s="1651"/>
      <c r="W15" s="1651"/>
      <c r="X15" s="580"/>
      <c r="Y15" s="580"/>
      <c r="Z15" s="580"/>
      <c r="AA15" s="580"/>
      <c r="AB15" s="580"/>
      <c r="AC15" s="580"/>
      <c r="AD15" s="580"/>
    </row>
    <row r="16" spans="1:32" ht="7.5" customHeight="1">
      <c r="A16" s="4"/>
      <c r="B16" s="7"/>
      <c r="C16" s="7"/>
      <c r="D16" s="7"/>
      <c r="E16" s="4"/>
      <c r="F16" s="4"/>
      <c r="G16" s="4"/>
      <c r="H16" s="4"/>
      <c r="I16" s="4"/>
      <c r="J16" s="4"/>
      <c r="K16" s="4"/>
      <c r="L16" s="725"/>
      <c r="M16" s="725"/>
      <c r="S16" s="580"/>
      <c r="T16" s="580"/>
      <c r="U16" s="580"/>
      <c r="V16" s="580"/>
      <c r="W16" s="580"/>
      <c r="X16" s="580"/>
      <c r="Y16" s="580"/>
      <c r="Z16" s="580"/>
      <c r="AA16" s="580"/>
      <c r="AB16" s="580"/>
      <c r="AC16" s="580"/>
      <c r="AD16" s="580"/>
    </row>
    <row r="17" spans="1:30" ht="44.15" hidden="1" customHeight="1">
      <c r="A17" s="4"/>
      <c r="B17" s="4"/>
      <c r="C17" s="470" t="s">
        <v>914</v>
      </c>
      <c r="D17" s="2134" t="str">
        <f>IF(Minimum_SetAside_per_Sec_42&lt;&gt;Data1!A425,"Applicants committing to the minimum IRS set-aside commitment of "&amp;IF(Minimum_SetAside_per_Sec_42=Data1!A422,"20 percent of the total units at 50 percent of the Area Median Income or less",IF(Minimum_SetAside_per_Sec_42=Data1!A423,"40 percent of the total units at 60 percent of the Area Median Income or less","20 percent of the total units at 50 percent of the Area Median Income or less or 40 percent of the total units at 60 percent of the Area Median Income or less"))&amp;" must complete the following chart for HC Set-Aside Commitments.","Applicants must complete the following chart. The "&amp;Data1!B440&amp;" Set-Aside Commitments below are for the entire "&amp;TEXT(Data1!B461,"0")&amp;" years"&amp;IF(OR(Data1!B462=Data1!B461,Data1!B462=0),"."," while the ELI Set-Aside Commitment is for only "&amp;TEXT(Data1!B462,"0")&amp;" years prior to returning to 60% AMI."))</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17" s="2134"/>
      <c r="F17" s="2134"/>
      <c r="G17" s="2134"/>
      <c r="H17" s="2134"/>
      <c r="I17" s="2134"/>
      <c r="J17" s="2134"/>
      <c r="K17" s="502"/>
      <c r="L17" s="725"/>
      <c r="M17" s="725"/>
      <c r="N17" s="45"/>
      <c r="O17" s="45"/>
      <c r="P17" s="1110">
        <v>0</v>
      </c>
      <c r="S17" s="580"/>
      <c r="T17" s="580"/>
      <c r="U17" s="580"/>
      <c r="V17" s="580"/>
      <c r="W17" s="580"/>
      <c r="X17" s="580"/>
      <c r="Y17" s="580"/>
      <c r="Z17" s="580"/>
      <c r="AA17" s="580"/>
      <c r="AB17" s="580"/>
      <c r="AC17" s="580"/>
      <c r="AD17" s="580"/>
    </row>
    <row r="18" spans="1:30" ht="14.5" hidden="1" customHeight="1" thickBot="1">
      <c r="A18" s="4"/>
      <c r="B18" s="4"/>
      <c r="C18" s="4"/>
      <c r="D18" s="4"/>
      <c r="E18" s="18"/>
      <c r="F18" s="143"/>
      <c r="G18" s="143"/>
      <c r="H18" s="143"/>
      <c r="I18" s="143"/>
      <c r="J18" s="143"/>
      <c r="K18" s="502"/>
      <c r="L18" s="725"/>
      <c r="M18" s="725"/>
      <c r="N18" s="1790">
        <f>IF(AND(Minimum_SetAside_per_Sec_42&lt;&gt;"&lt;select one&gt;",Minimum_SetAside_per_Sec_42&lt;&gt;"Average Income Test",N$13=1),1,0)</f>
        <v>0</v>
      </c>
      <c r="O18" s="1620">
        <f>IF(N18&lt;&gt;0,IF(OR(IFERROR(FIND(" NOT ",$D$34),0)&gt;0,IFERROR(FIND("Attention:",$D$34),0)&gt;0,total_units_in_setaside_chart=0),0,1),0)</f>
        <v>0</v>
      </c>
      <c r="P18" s="108" t="str">
        <f>IF(M20=1,"At least one (corrective) entry needed","No entries needed")</f>
        <v>No entries needed</v>
      </c>
      <c r="S18" s="580"/>
      <c r="T18" s="580"/>
      <c r="U18" s="580"/>
      <c r="V18" s="580"/>
      <c r="W18" s="580"/>
      <c r="X18" s="580"/>
      <c r="Y18" s="580"/>
      <c r="Z18" s="580"/>
      <c r="AA18" s="580"/>
      <c r="AB18" s="580"/>
      <c r="AC18" s="580"/>
      <c r="AD18" s="580"/>
    </row>
    <row r="19" spans="1:30" ht="44.15" hidden="1" customHeight="1">
      <c r="A19" s="4"/>
      <c r="B19" s="4"/>
      <c r="C19" s="4"/>
      <c r="D19" s="4"/>
      <c r="E19" s="4"/>
      <c r="F19" s="869" t="s">
        <v>328</v>
      </c>
      <c r="G19" s="2245" t="s">
        <v>329</v>
      </c>
      <c r="H19" s="2246"/>
      <c r="I19" s="835" t="s">
        <v>330</v>
      </c>
      <c r="J19" s="870" t="s">
        <v>331</v>
      </c>
      <c r="K19" s="517"/>
      <c r="L19" s="2219" t="str">
        <f>IF(Minimum_SetAside_per_Sec_42="Average Income Test","This table has been greyed out because the Applicant has selected the other minimum IRS set-aside commitment table. No entries should be entered.","")</f>
        <v/>
      </c>
      <c r="M19" s="2219"/>
      <c r="N19" s="2219"/>
      <c r="O19" s="2219"/>
      <c r="P19" s="2219"/>
      <c r="Q19" s="2219"/>
      <c r="R19" s="2219"/>
      <c r="S19" s="2219"/>
      <c r="T19" s="2219"/>
      <c r="U19" s="2219"/>
      <c r="V19" s="580"/>
      <c r="W19" s="580"/>
      <c r="X19" s="580"/>
      <c r="Y19" s="580"/>
      <c r="Z19" s="580"/>
      <c r="AA19" s="580"/>
      <c r="AB19" s="580"/>
      <c r="AC19" s="580"/>
      <c r="AD19" s="580"/>
    </row>
    <row r="20" spans="1:30" ht="17.5" hidden="1" customHeight="1">
      <c r="A20" s="4"/>
      <c r="B20" s="4"/>
      <c r="C20" s="4"/>
      <c r="D20" s="4"/>
      <c r="E20" s="4"/>
      <c r="F20" s="836">
        <f>ROUNDUP(G20*Total_Units,0)</f>
        <v>0</v>
      </c>
      <c r="G20" s="2247"/>
      <c r="H20" s="2248"/>
      <c r="I20" s="824">
        <v>0.25</v>
      </c>
      <c r="J20" s="2279" t="str">
        <f>IF(Minimum_SetAside_per_Sec_42=Data1!A425,DS_Loan_Name,"Housing Credit")&amp;" Units"</f>
        <v>Housing Credit Units</v>
      </c>
      <c r="K20" s="69"/>
      <c r="L20" s="1743" t="str">
        <f t="shared" ref="L20:L26" si="0">IF(OR($C$13="&lt;select one&gt;",$C$13="Average Income Test"),"",IF(AND($C$13&lt;&gt;"&lt;select one&gt;",$C$13&lt;&gt;"Average Income Test",I20&lt;IFERROR(VLOOKUP(County,DS_CountyData,14),0)),"",IF(I20=IFERROR(VLOOKUP(County,DS_CountyData,14),0),"&lt;= "&amp;County&amp;" County's designated ELI AMI Level is "&amp;TEXT(IFERROR(VLOOKUP(County,DS_CountyData,14),0),"0%")&amp;".","")))</f>
        <v/>
      </c>
      <c r="M20" s="1743"/>
      <c r="S20" s="580"/>
      <c r="T20" s="580"/>
      <c r="U20" s="580"/>
      <c r="V20" s="580"/>
      <c r="W20" s="580"/>
      <c r="X20" s="580"/>
      <c r="Y20" s="580"/>
      <c r="Z20" s="580"/>
      <c r="AA20" s="580"/>
      <c r="AB20" s="580"/>
      <c r="AC20" s="580"/>
      <c r="AD20" s="580"/>
    </row>
    <row r="21" spans="1:30" ht="17.5" hidden="1" customHeight="1">
      <c r="A21" s="4"/>
      <c r="B21" s="4"/>
      <c r="C21" s="4"/>
      <c r="D21" s="4"/>
      <c r="E21" s="4"/>
      <c r="F21" s="837">
        <f>ROUNDUP(SUM(G$20:G21)*Total_Units,0)-SUM(F$20:F20)</f>
        <v>0</v>
      </c>
      <c r="G21" s="2251"/>
      <c r="H21" s="2252"/>
      <c r="I21" s="825">
        <v>0.28000000000000003</v>
      </c>
      <c r="J21" s="2280"/>
      <c r="K21" s="69"/>
      <c r="L21" s="1743" t="str">
        <f t="shared" si="0"/>
        <v/>
      </c>
      <c r="M21" s="1743"/>
      <c r="S21" s="580"/>
      <c r="T21" s="580"/>
      <c r="U21" s="580"/>
      <c r="V21" s="580"/>
      <c r="W21" s="580"/>
      <c r="X21" s="580"/>
      <c r="Y21" s="580"/>
      <c r="Z21" s="580"/>
      <c r="AA21" s="580"/>
      <c r="AB21" s="580"/>
      <c r="AC21" s="580"/>
      <c r="AD21" s="580"/>
    </row>
    <row r="22" spans="1:30" ht="17.5" hidden="1" customHeight="1">
      <c r="A22" s="4"/>
      <c r="B22" s="4"/>
      <c r="C22" s="4"/>
      <c r="D22" s="4"/>
      <c r="E22" s="4"/>
      <c r="F22" s="837">
        <f>ROUNDUP(SUM(G$20:G22)*Total_Units,0)-SUM(F$20:F21)</f>
        <v>0</v>
      </c>
      <c r="G22" s="2237">
        <v>0.25</v>
      </c>
      <c r="H22" s="2238"/>
      <c r="I22" s="825">
        <v>0.3</v>
      </c>
      <c r="J22" s="2280"/>
      <c r="K22" s="69"/>
      <c r="L22" s="1743" t="str">
        <f t="shared" si="0"/>
        <v/>
      </c>
      <c r="M22" s="1743"/>
      <c r="S22" s="580"/>
      <c r="T22" s="580"/>
      <c r="U22" s="580"/>
      <c r="V22" s="580"/>
      <c r="W22" s="580"/>
      <c r="X22" s="580"/>
      <c r="Y22" s="580"/>
      <c r="Z22" s="580"/>
      <c r="AA22" s="580"/>
      <c r="AB22" s="580"/>
      <c r="AC22" s="580"/>
      <c r="AD22" s="580"/>
    </row>
    <row r="23" spans="1:30" ht="17.5" hidden="1" customHeight="1">
      <c r="A23" s="4"/>
      <c r="B23" s="4"/>
      <c r="C23" s="4"/>
      <c r="D23" s="4"/>
      <c r="E23" s="4"/>
      <c r="F23" s="837">
        <f>ROUNDUP(SUM(G$20:G23)*Total_Units,0)-SUM(F$20:F22)</f>
        <v>0</v>
      </c>
      <c r="G23" s="2237"/>
      <c r="H23" s="2238"/>
      <c r="I23" s="825">
        <v>0.33</v>
      </c>
      <c r="J23" s="2280"/>
      <c r="K23" s="69"/>
      <c r="L23" s="1743" t="str">
        <f>IF(OR($C$13="&lt;select one&gt;",$C$13="Average Income Test"),"",IF(AND($C$13&lt;&gt;"&lt;select one&gt;",$C$13&lt;&gt;"Average Income Test",I23&lt;IFERROR(VLOOKUP(County,DS_CountyData,14),0)),"",IF(I23=IFERROR(VLOOKUP(County,DS_CountyData,14),0),"&lt;= "&amp;County&amp;" County's designated ELI AMI Level is "&amp;TEXT(IFERROR(VLOOKUP(County,DS_CountyData,14),0),"0%")&amp;".","")))</f>
        <v/>
      </c>
      <c r="M23" s="1743"/>
      <c r="S23" s="580"/>
      <c r="T23" s="580"/>
      <c r="U23" s="580"/>
      <c r="V23" s="580"/>
      <c r="W23" s="580"/>
      <c r="X23" s="580"/>
      <c r="Y23" s="580"/>
      <c r="Z23" s="580"/>
      <c r="AA23" s="580"/>
      <c r="AB23" s="580"/>
      <c r="AC23" s="580"/>
      <c r="AD23" s="580"/>
    </row>
    <row r="24" spans="1:30" ht="17.5" hidden="1" customHeight="1">
      <c r="A24" s="4"/>
      <c r="B24" s="4"/>
      <c r="C24" s="4"/>
      <c r="D24" s="4"/>
      <c r="E24" s="4"/>
      <c r="F24" s="837">
        <f>ROUNDUP(SUM(G$20:G24)*Total_Units,0)-SUM(F$20:F23)</f>
        <v>0</v>
      </c>
      <c r="G24" s="2237"/>
      <c r="H24" s="2238"/>
      <c r="I24" s="825">
        <v>0.35</v>
      </c>
      <c r="J24" s="2280"/>
      <c r="K24" s="69"/>
      <c r="L24" s="1743" t="str">
        <f t="shared" si="0"/>
        <v/>
      </c>
      <c r="M24" s="1743"/>
      <c r="S24" s="580"/>
      <c r="T24" s="580"/>
      <c r="U24" s="580"/>
      <c r="V24" s="580"/>
      <c r="W24" s="580"/>
      <c r="X24" s="580"/>
      <c r="Y24" s="580"/>
      <c r="Z24" s="580"/>
      <c r="AA24" s="580"/>
      <c r="AB24" s="580"/>
      <c r="AC24" s="580"/>
      <c r="AD24" s="580"/>
    </row>
    <row r="25" spans="1:30" ht="17.5" hidden="1" customHeight="1">
      <c r="A25" s="4"/>
      <c r="B25" s="4"/>
      <c r="C25" s="4"/>
      <c r="D25" s="4"/>
      <c r="E25" s="4"/>
      <c r="F25" s="837">
        <f>ROUNDUP(SUM(G$20:G25)*Total_Units,0)-SUM(F$20:F24)</f>
        <v>0</v>
      </c>
      <c r="G25" s="2237"/>
      <c r="H25" s="2238"/>
      <c r="I25" s="825">
        <v>0.4</v>
      </c>
      <c r="J25" s="2280"/>
      <c r="K25" s="69"/>
      <c r="L25" s="1743" t="str">
        <f t="shared" si="0"/>
        <v/>
      </c>
      <c r="M25" s="1743"/>
      <c r="S25" s="580"/>
      <c r="T25" s="580"/>
      <c r="U25" s="580"/>
      <c r="V25" s="580"/>
      <c r="W25" s="580"/>
      <c r="X25" s="580"/>
      <c r="Y25" s="580"/>
      <c r="Z25" s="580"/>
      <c r="AA25" s="580"/>
      <c r="AB25" s="580"/>
      <c r="AC25" s="580"/>
      <c r="AD25" s="580"/>
    </row>
    <row r="26" spans="1:30" ht="17.5" hidden="1" customHeight="1">
      <c r="A26" s="4"/>
      <c r="B26" s="4"/>
      <c r="C26" s="4"/>
      <c r="D26" s="4"/>
      <c r="E26" s="4"/>
      <c r="F26" s="837">
        <f>ROUNDUP(SUM(G$20:G26)*Total_Units,0)-SUM(F$20:F25)</f>
        <v>0</v>
      </c>
      <c r="G26" s="2237"/>
      <c r="H26" s="2238"/>
      <c r="I26" s="825">
        <v>0.45</v>
      </c>
      <c r="J26" s="2280"/>
      <c r="K26" s="69"/>
      <c r="L26" s="1743" t="str">
        <f t="shared" si="0"/>
        <v/>
      </c>
      <c r="M26" s="1743"/>
      <c r="S26" s="580"/>
      <c r="T26" s="580"/>
      <c r="U26" s="580"/>
      <c r="V26" s="580"/>
      <c r="W26" s="580"/>
      <c r="X26" s="580"/>
      <c r="Y26" s="580"/>
      <c r="Z26" s="580"/>
      <c r="AA26" s="580"/>
      <c r="AB26" s="580"/>
      <c r="AC26" s="580"/>
      <c r="AD26" s="580"/>
    </row>
    <row r="27" spans="1:30" ht="17.5" hidden="1" customHeight="1">
      <c r="A27" s="4"/>
      <c r="B27" s="4"/>
      <c r="C27" s="4"/>
      <c r="D27" s="4"/>
      <c r="E27" s="4"/>
      <c r="F27" s="837">
        <f>ROUNDUP(SUM(G$20:G27)*Total_Units,0)-SUM(F$20:F26)</f>
        <v>0</v>
      </c>
      <c r="G27" s="2237">
        <v>0.45</v>
      </c>
      <c r="H27" s="2238"/>
      <c r="I27" s="825">
        <v>0.5</v>
      </c>
      <c r="J27" s="2280"/>
      <c r="K27" s="69"/>
      <c r="L27" s="1743" t="str">
        <f>IF(AND(DS_Loan_Name="HOME",Minimum_SetAside_per_Sec_42=Data1!A$425),"&lt;= Low HOME Rent Units; must equal 20% of Total HOME-Assisted Units ("&amp;TEXT(ROUNDUP(20%*SUM(Funding!F61:F65),0),"0")&amp;")","")</f>
        <v/>
      </c>
      <c r="S27" s="580"/>
      <c r="T27" s="580"/>
      <c r="U27" s="580"/>
      <c r="V27" s="580"/>
      <c r="W27" s="580"/>
      <c r="X27" s="580"/>
      <c r="Y27" s="580"/>
      <c r="Z27" s="580"/>
      <c r="AA27" s="580"/>
      <c r="AB27" s="580"/>
      <c r="AC27" s="580"/>
      <c r="AD27" s="580"/>
    </row>
    <row r="28" spans="1:30" ht="17.5" hidden="1" customHeight="1">
      <c r="A28" s="4"/>
      <c r="B28" s="4"/>
      <c r="C28" s="4"/>
      <c r="D28" s="4"/>
      <c r="E28" s="957"/>
      <c r="F28" s="938">
        <f>IF(Minimum_SetAside_per_Sec_42=Data1!A422,"",ROUNDUP(SUM(G$20:G28)*Total_Units,0)-SUM(F$20:F27))</f>
        <v>0</v>
      </c>
      <c r="G28" s="2237">
        <v>0.3</v>
      </c>
      <c r="H28" s="2238"/>
      <c r="I28" s="825">
        <v>0.6</v>
      </c>
      <c r="J28" s="2280"/>
      <c r="K28" s="69"/>
      <c r="L28" s="1743" t="str">
        <f>IF(LEFT($C$13,3)="20%","&lt;= These units cannot be HC Units due to minimum IRS Set-Aside selected.","")</f>
        <v/>
      </c>
      <c r="P28" s="2229" t="s">
        <v>1024</v>
      </c>
      <c r="Q28" s="2300">
        <v>0</v>
      </c>
      <c r="S28" s="580"/>
      <c r="T28" s="580"/>
      <c r="U28" s="580"/>
      <c r="V28" s="580"/>
      <c r="W28" s="580"/>
      <c r="X28" s="580"/>
      <c r="Y28" s="580"/>
      <c r="Z28" s="580"/>
      <c r="AA28" s="580"/>
      <c r="AB28" s="580"/>
      <c r="AC28" s="580"/>
      <c r="AD28" s="580"/>
    </row>
    <row r="29" spans="1:30" ht="17.5" hidden="1" customHeight="1" thickBot="1">
      <c r="A29" s="4"/>
      <c r="B29" s="4"/>
      <c r="C29" s="4"/>
      <c r="D29" s="4"/>
      <c r="E29" s="1005"/>
      <c r="F29" s="938">
        <f>IF(Minimum_SetAside_per_Sec_42=Data1!A423,"",ROUNDUP(SUM(G$20:G29)*Total_Units,0)-SUM(F$20:F28))</f>
        <v>0</v>
      </c>
      <c r="G29" s="2249"/>
      <c r="H29" s="2250"/>
      <c r="I29" s="828">
        <v>0.65</v>
      </c>
      <c r="J29" s="876"/>
      <c r="K29" s="69"/>
      <c r="L29" s="556" t="str">
        <f>IF(AND(DS_Loan_Name="HOME",Minimum_SetAside_per_Sec_42=Data1!A$425),"&lt;= High HOME Rent Units; must equal the remaining HOME-Assisted Units ("&amp;TEXT(SUM(Funding!F61:F65)-ROUNDUP(20%*SUM(Funding!F61:F65),0),"0")&amp;")","")</f>
        <v/>
      </c>
      <c r="P29" s="2230"/>
      <c r="Q29" s="2301"/>
      <c r="S29" s="580"/>
      <c r="T29" s="580"/>
      <c r="U29" s="580"/>
      <c r="V29" s="580"/>
      <c r="W29" s="580"/>
      <c r="X29" s="580"/>
      <c r="Y29" s="580"/>
      <c r="Z29" s="580"/>
      <c r="AA29" s="580"/>
      <c r="AB29" s="580"/>
      <c r="AC29" s="580"/>
      <c r="AD29" s="580"/>
    </row>
    <row r="30" spans="1:30" ht="44.15" hidden="1" customHeight="1" thickBot="1">
      <c r="A30" s="4"/>
      <c r="B30" s="4"/>
      <c r="C30" s="4"/>
      <c r="D30" s="4"/>
      <c r="E30" s="4"/>
      <c r="F30" s="926">
        <f>IF(SUM(G20:G29)=0,0,ROUNDUP((SUM(G20:G30)-IF(AND(Minimum_SetAside_per_Sec_42=Data1!$A$422,N($G28)&gt;0),G28,0))*Total_Units,0)-SUM(F20:F28))</f>
        <v>0</v>
      </c>
      <c r="G30" s="2233">
        <f>MAX(0,IF(OR(P30=0,SUM(G20:G29)=0),0,1-SUM(G20:G29)+IF(AND(Minimum_SetAside_per_Sec_42=Data1!$A$422,N($G28)&gt;0),G28,0)))</f>
        <v>0</v>
      </c>
      <c r="H30" s="2234"/>
      <c r="I30" s="939" t="str">
        <f>IF(P32=0,"Above 60% AMI and up to 120% AMI",IF(P32=1,"Above "&amp;IF(LEFT(Minimum_SetAside_per_Sec_42,2)="20","50%","60%"),"??"))</f>
        <v>Above 60%</v>
      </c>
      <c r="J30" s="818" t="str">
        <f>IF(P32=0,"Workforce",IF(P32=1,"Market Rate","??"))&amp;" Housing Units"</f>
        <v>Market Rate Housing Units</v>
      </c>
      <c r="K30" s="69"/>
      <c r="L30" s="14"/>
      <c r="P30" s="567">
        <v>1</v>
      </c>
      <c r="Q30" s="2301"/>
      <c r="S30" s="580"/>
      <c r="T30" s="580"/>
      <c r="U30" s="580"/>
      <c r="V30" s="580"/>
      <c r="W30" s="580"/>
      <c r="X30" s="580"/>
      <c r="Y30" s="580"/>
      <c r="Z30" s="580"/>
      <c r="AA30" s="580"/>
      <c r="AB30" s="580"/>
      <c r="AC30" s="580"/>
      <c r="AD30" s="580"/>
    </row>
    <row r="31" spans="1:30" ht="29.15" hidden="1" customHeight="1" thickBot="1">
      <c r="A31" s="4"/>
      <c r="B31" s="4"/>
      <c r="C31" s="4"/>
      <c r="D31" s="4"/>
      <c r="E31" s="4"/>
      <c r="F31" s="832">
        <f>SUM(F20:F28)</f>
        <v>0</v>
      </c>
      <c r="G31" s="2295">
        <f>SUM(G20:G27)+IF(Minimum_SetAside_per_Sec_42&lt;&gt;Data1!A422,G28,0)</f>
        <v>1</v>
      </c>
      <c r="H31" s="2296"/>
      <c r="I31" s="833"/>
      <c r="J31" s="834" t="str">
        <f>"Total "&amp;IF(Minimum_SetAside_per_Sec_42=Data1!A425,DS_Loan_Name,"Qualifying HC")&amp;" Units"</f>
        <v>Total Qualifying HC Units</v>
      </c>
      <c r="K31" s="69"/>
      <c r="L31" s="2134"/>
      <c r="M31" s="2134"/>
      <c r="P31" s="1717" t="s">
        <v>854</v>
      </c>
      <c r="Q31" s="2301"/>
      <c r="S31" s="580"/>
      <c r="T31" s="580"/>
      <c r="U31" s="580"/>
      <c r="V31" s="580"/>
      <c r="W31" s="580"/>
      <c r="X31" s="580"/>
      <c r="Y31" s="580"/>
      <c r="Z31" s="580"/>
      <c r="AA31" s="580"/>
      <c r="AB31" s="580"/>
      <c r="AC31" s="580"/>
      <c r="AD31" s="580"/>
    </row>
    <row r="32" spans="1:30" ht="17.5" hidden="1" customHeight="1" thickTop="1" thickBot="1">
      <c r="A32" s="4"/>
      <c r="B32" s="4"/>
      <c r="C32" s="4"/>
      <c r="D32" s="4"/>
      <c r="E32" s="4"/>
      <c r="F32" s="829">
        <f>SUM(F20:F30)</f>
        <v>0</v>
      </c>
      <c r="G32" s="2243">
        <f>SUM(G20:G30)</f>
        <v>1</v>
      </c>
      <c r="H32" s="2244"/>
      <c r="I32" s="830"/>
      <c r="J32" s="831" t="s">
        <v>677</v>
      </c>
      <c r="K32" s="69"/>
      <c r="L32" s="2134"/>
      <c r="M32" s="2134"/>
      <c r="N32" s="89"/>
      <c r="O32" s="89"/>
      <c r="P32" s="940">
        <v>1</v>
      </c>
      <c r="Q32" s="2301"/>
    </row>
    <row r="33" spans="1:23" ht="10.4" hidden="1" customHeight="1">
      <c r="A33" s="4"/>
      <c r="B33" s="4"/>
      <c r="C33" s="4"/>
      <c r="D33" s="4"/>
      <c r="E33" s="4"/>
      <c r="F33" s="67"/>
      <c r="G33" s="68"/>
      <c r="H33" s="68"/>
      <c r="I33" s="69"/>
      <c r="J33" s="89"/>
      <c r="K33" s="89"/>
      <c r="L33" s="1544"/>
      <c r="M33" s="960"/>
      <c r="N33" s="960"/>
      <c r="O33" s="89"/>
      <c r="Q33" s="2301"/>
    </row>
    <row r="34" spans="1:23" ht="130" hidden="1" customHeight="1">
      <c r="A34" s="4"/>
      <c r="B34" s="4"/>
      <c r="C34" s="4"/>
      <c r="D34" s="2221" t="str">
        <f>IF(OR(Minimum_SetAside_per_Sec_42="&lt;select one&gt;",Minimum_SetAside_per_Sec_42="Average Income Test",total_units_in_setaside_chart=0),"This area intentionally left blank.",IF(total_units_in_setaside_chart=Total_Units,"The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total_units_in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34" s="2221"/>
      <c r="F34" s="2221"/>
      <c r="G34" s="2221"/>
      <c r="H34" s="2221"/>
      <c r="I34" s="2221"/>
      <c r="J34" s="2221"/>
      <c r="K34" s="2221"/>
      <c r="L34" s="1544"/>
      <c r="M34" s="960"/>
      <c r="N34" s="960"/>
      <c r="O34" s="89"/>
      <c r="P34" s="1738" t="s">
        <v>1914</v>
      </c>
      <c r="Q34" s="2302"/>
    </row>
    <row r="35" spans="1:23" ht="10.4" hidden="1" customHeight="1">
      <c r="A35" s="4"/>
      <c r="B35" s="4"/>
      <c r="C35" s="4"/>
      <c r="D35" s="4"/>
      <c r="E35" s="4"/>
      <c r="F35" s="67"/>
      <c r="G35" s="68"/>
      <c r="H35" s="68"/>
      <c r="I35" s="69"/>
      <c r="J35" s="89"/>
      <c r="K35" s="89"/>
      <c r="L35" s="1544"/>
      <c r="M35" s="960"/>
      <c r="N35" s="960"/>
      <c r="O35" s="89"/>
    </row>
    <row r="36" spans="1:23" ht="44.15" hidden="1" customHeight="1">
      <c r="A36" s="4"/>
      <c r="B36" s="4"/>
      <c r="C36" s="717" t="str" cm="1">
        <f t="array" ref="C36">IF($P36=0,"",CHAR(CODE(LOOKUP(2,1/(COUNTIF(C$17:C33,"&gt;"&amp;C$17:C33&amp;"*")=0),C$17:C33))+1))</f>
        <v/>
      </c>
      <c r="D36" s="2134" t="str">
        <f>"Applicants committing to the IRS Average Income Test must complete this chart for HC Set-Aside Commitments. The minimum ELI Set-Aside Commitment is "&amp;TEXT(Data1!B471+Data1!B472,"0%")&amp;" of Total Units, or "&amp;TEXT(ROUNDUP((Data1!B471+Data1!B472)*N(Total_Units),0),"0")&amp;" units at 30% AMI or less."</f>
        <v>Applicants committing to the IRS Average Income Test must complete this chart for HC Set-Aside Commitments. The minimum ELI Set-Aside Commitment is 15% of Total Units, or 0 units at 30% AMI or less.</v>
      </c>
      <c r="E36" s="2134"/>
      <c r="F36" s="2134"/>
      <c r="G36" s="2134"/>
      <c r="H36" s="2134"/>
      <c r="I36" s="2134"/>
      <c r="J36" s="2134"/>
      <c r="K36" s="502"/>
      <c r="L36" s="1544"/>
      <c r="M36" s="960"/>
      <c r="N36" s="960"/>
      <c r="P36" s="561">
        <v>0</v>
      </c>
    </row>
    <row r="37" spans="1:23" ht="10.4" hidden="1" customHeight="1" thickBot="1">
      <c r="A37" s="4"/>
      <c r="B37" s="4"/>
      <c r="C37" s="4"/>
      <c r="D37" s="4"/>
      <c r="E37" s="4"/>
      <c r="F37" s="4"/>
      <c r="G37" s="4"/>
      <c r="H37" s="4"/>
      <c r="I37" s="4"/>
      <c r="J37" s="4"/>
      <c r="K37" s="4"/>
      <c r="L37" s="1544"/>
      <c r="M37" s="960"/>
      <c r="N37" s="960"/>
    </row>
    <row r="38" spans="1:23" ht="44.15" hidden="1" customHeight="1">
      <c r="A38" s="4"/>
      <c r="B38" s="4"/>
      <c r="C38" s="4"/>
      <c r="D38" s="4"/>
      <c r="E38" s="4"/>
      <c r="F38" s="869" t="s">
        <v>328</v>
      </c>
      <c r="G38" s="2245" t="s">
        <v>329</v>
      </c>
      <c r="H38" s="2246"/>
      <c r="I38" s="823" t="s">
        <v>330</v>
      </c>
      <c r="J38" s="871" t="s">
        <v>331</v>
      </c>
      <c r="K38" s="500"/>
      <c r="L38" s="2219" t="str">
        <f>IF(OR(Minimum_SetAside_per_Sec_42=Data1!A422,Minimum_SetAside_per_Sec_42=Data1!A423),"This table has been greyed out because the Applicant has selected the other minimum IRS set-aside commitment table. No entries should entered.",IF(Minimum_SetAside_per_Sec_42=Data1!A$425,"This table should be hidden and not have any entries.",""))</f>
        <v/>
      </c>
      <c r="M38" s="2219"/>
      <c r="N38" s="2219"/>
      <c r="O38" s="2219"/>
      <c r="P38" s="2219"/>
      <c r="Q38" s="2219"/>
      <c r="R38" s="2219"/>
      <c r="S38" s="2219"/>
      <c r="T38" s="2219"/>
      <c r="U38" s="2219"/>
    </row>
    <row r="39" spans="1:23" ht="17.5" hidden="1" customHeight="1">
      <c r="A39" s="4"/>
      <c r="B39" s="4"/>
      <c r="C39" s="4"/>
      <c r="D39" s="4"/>
      <c r="E39" s="4"/>
      <c r="F39" s="1439"/>
      <c r="G39" s="2285">
        <f t="shared" ref="G39:G46" si="1">IF(OR(Total_Units=0,$F39=0),0,F39/Total_Units)</f>
        <v>0</v>
      </c>
      <c r="H39" s="2286"/>
      <c r="I39" s="824">
        <v>0.2</v>
      </c>
      <c r="J39" s="2253" t="s">
        <v>332</v>
      </c>
      <c r="K39" s="68"/>
      <c r="L39" s="1649"/>
      <c r="M39" s="1649"/>
      <c r="N39" s="1790">
        <f>IF(AND(Minimum_SetAside_per_Sec_42="Average Income Test",N$13=1),1,0)</f>
        <v>0</v>
      </c>
      <c r="O39" s="1620">
        <f>IF(N39&lt;&gt;0,IF(OR(IFERROR(FIND(" NOT ",$D$51),0)&gt;0,IFERROR(FIND("Attention:",$D$51),0)&gt;0,Total_AIT_Chart_Units=0),0,1),0)</f>
        <v>0</v>
      </c>
      <c r="P39" s="108" t="str">
        <f>IF(M39=1,"At least one (corrective) entry needed","No entries needed")</f>
        <v>No entries needed</v>
      </c>
      <c r="Q39" s="958"/>
      <c r="R39" s="958"/>
      <c r="S39"/>
      <c r="T39" s="959"/>
      <c r="U39" s="958"/>
      <c r="V39" s="958"/>
      <c r="W39" s="958"/>
    </row>
    <row r="40" spans="1:23" ht="17.5" hidden="1" customHeight="1">
      <c r="A40" s="4"/>
      <c r="B40" s="4"/>
      <c r="C40" s="4"/>
      <c r="D40" s="4"/>
      <c r="E40" s="4"/>
      <c r="F40" s="1440"/>
      <c r="G40" s="2289">
        <f t="shared" si="1"/>
        <v>0</v>
      </c>
      <c r="H40" s="2290"/>
      <c r="I40" s="825">
        <v>0.3</v>
      </c>
      <c r="J40" s="2254"/>
      <c r="K40" s="68"/>
      <c r="L40" s="1649"/>
      <c r="M40" s="1649"/>
      <c r="N40" s="851"/>
      <c r="O40" s="1781"/>
      <c r="P40" s="1573" t="s">
        <v>1856</v>
      </c>
      <c r="Q40" s="958"/>
      <c r="R40" s="958"/>
      <c r="S40"/>
      <c r="T40" s="958"/>
      <c r="U40" s="958"/>
      <c r="V40" s="958"/>
      <c r="W40" s="958"/>
    </row>
    <row r="41" spans="1:23" ht="17.5" hidden="1" customHeight="1">
      <c r="A41" s="4"/>
      <c r="B41" s="4"/>
      <c r="C41" s="4"/>
      <c r="D41" s="4"/>
      <c r="E41" s="4"/>
      <c r="F41" s="1440"/>
      <c r="G41" s="2289">
        <f t="shared" si="1"/>
        <v>0</v>
      </c>
      <c r="H41" s="2290"/>
      <c r="I41" s="825">
        <v>0.4</v>
      </c>
      <c r="J41" s="2254"/>
      <c r="K41" s="68"/>
      <c r="L41" s="1649"/>
      <c r="M41" s="1649"/>
      <c r="N41" s="851"/>
      <c r="O41" s="851"/>
      <c r="P41" s="1573" t="s">
        <v>1775</v>
      </c>
      <c r="Q41" s="958"/>
      <c r="R41" s="958"/>
      <c r="S41" s="958"/>
      <c r="T41" s="958"/>
      <c r="U41" s="958"/>
      <c r="V41" s="958"/>
      <c r="W41" s="958"/>
    </row>
    <row r="42" spans="1:23" ht="17.5" hidden="1" customHeight="1">
      <c r="A42" s="4"/>
      <c r="B42" s="4"/>
      <c r="C42" s="4"/>
      <c r="D42" s="4"/>
      <c r="E42" s="4"/>
      <c r="F42" s="1440"/>
      <c r="G42" s="2289">
        <f t="shared" si="1"/>
        <v>0</v>
      </c>
      <c r="H42" s="2290"/>
      <c r="I42" s="825">
        <v>0.5</v>
      </c>
      <c r="J42" s="2254"/>
      <c r="K42" s="68"/>
      <c r="L42" s="1649"/>
      <c r="M42" s="1649"/>
      <c r="N42" s="851"/>
      <c r="O42" s="851"/>
      <c r="P42" s="958"/>
      <c r="Q42" s="958"/>
      <c r="R42" s="958"/>
      <c r="S42" s="958"/>
      <c r="T42" s="958"/>
      <c r="U42" s="958"/>
      <c r="V42" s="958"/>
      <c r="W42" s="958"/>
    </row>
    <row r="43" spans="1:23" ht="17.5" hidden="1" customHeight="1">
      <c r="A43" s="4"/>
      <c r="B43" s="4"/>
      <c r="C43" s="4"/>
      <c r="D43" s="4"/>
      <c r="E43" s="4"/>
      <c r="F43" s="1440"/>
      <c r="G43" s="2293">
        <f t="shared" si="1"/>
        <v>0</v>
      </c>
      <c r="H43" s="2294"/>
      <c r="I43" s="826">
        <v>0.6</v>
      </c>
      <c r="J43" s="2292"/>
      <c r="K43" s="68"/>
      <c r="L43" s="1649"/>
      <c r="M43" s="1649"/>
      <c r="N43" s="851"/>
      <c r="O43" s="851"/>
      <c r="P43" s="958"/>
      <c r="Q43" s="958"/>
      <c r="R43" s="958"/>
      <c r="S43" s="958"/>
      <c r="T43" s="958"/>
      <c r="U43" s="958"/>
      <c r="V43" s="958"/>
      <c r="W43" s="958"/>
    </row>
    <row r="44" spans="1:23" ht="17.5" hidden="1" customHeight="1">
      <c r="A44" s="4"/>
      <c r="B44" s="4"/>
      <c r="C44" s="4"/>
      <c r="D44" s="4"/>
      <c r="E44" s="4"/>
      <c r="F44" s="1440"/>
      <c r="G44" s="2285">
        <f t="shared" si="1"/>
        <v>0</v>
      </c>
      <c r="H44" s="2286"/>
      <c r="I44" s="824">
        <v>0.7</v>
      </c>
      <c r="J44" s="2253" t="str">
        <f>IF(P32=0,"Joint HC Units / Workforce Housing Units",IF(P32=1,"Housing Credit Units","?? Units"))</f>
        <v>Housing Credit Units</v>
      </c>
      <c r="K44" s="518"/>
      <c r="L44" s="1649"/>
      <c r="M44" s="1649"/>
      <c r="N44" s="851"/>
      <c r="O44" s="851"/>
      <c r="P44" s="958"/>
      <c r="Q44" s="958"/>
      <c r="R44" s="958"/>
      <c r="S44" s="958"/>
      <c r="T44" s="958"/>
      <c r="U44" s="958"/>
      <c r="V44" s="958"/>
      <c r="W44" s="958"/>
    </row>
    <row r="45" spans="1:23" ht="17.5" hidden="1" customHeight="1" thickBot="1">
      <c r="A45" s="4"/>
      <c r="B45" s="4"/>
      <c r="C45" s="4"/>
      <c r="D45" s="4"/>
      <c r="E45" s="4"/>
      <c r="F45" s="1441"/>
      <c r="G45" s="2315">
        <f t="shared" si="1"/>
        <v>0</v>
      </c>
      <c r="H45" s="2316"/>
      <c r="I45" s="828">
        <v>0.8</v>
      </c>
      <c r="J45" s="2254"/>
      <c r="K45" s="518"/>
      <c r="L45" s="1649"/>
      <c r="M45" s="1649"/>
      <c r="N45" s="851"/>
      <c r="O45" s="851"/>
      <c r="P45" s="958"/>
      <c r="Q45" s="958"/>
      <c r="R45" s="958"/>
      <c r="S45" s="958"/>
      <c r="T45" s="958"/>
      <c r="U45" s="958"/>
      <c r="V45" s="958"/>
      <c r="W45" s="958"/>
    </row>
    <row r="46" spans="1:23" ht="45" hidden="1" customHeight="1" thickBot="1">
      <c r="A46" s="4"/>
      <c r="B46" s="4"/>
      <c r="C46" s="4"/>
      <c r="D46" s="4"/>
      <c r="E46" s="4"/>
      <c r="F46" s="1650">
        <f>IF(SUM(F39:F45)=0,0,MAX(0,Total_Units-total_HC_units_avg_inc))</f>
        <v>0</v>
      </c>
      <c r="G46" s="2313">
        <f t="shared" si="1"/>
        <v>0</v>
      </c>
      <c r="H46" s="2314"/>
      <c r="I46" s="827" t="str">
        <f>IF(P32=0,"Above 80% AMI and up to 120% AMI",IF(P32=1,"Above 80%","??"))</f>
        <v>Above 80%</v>
      </c>
      <c r="J46" s="818" t="str">
        <f>IF(P32=0,"Non-HC, Workforce",IF(P32=1,"Market Rate","??"))&amp;" Housing Units"</f>
        <v>Market Rate Housing Units</v>
      </c>
      <c r="K46" s="69"/>
      <c r="L46" s="1649"/>
      <c r="M46" s="1649"/>
      <c r="N46" s="851"/>
      <c r="O46" s="851"/>
      <c r="P46" s="958"/>
      <c r="Q46" s="958"/>
      <c r="R46" s="958"/>
      <c r="S46" s="958"/>
      <c r="T46" s="851"/>
    </row>
    <row r="47" spans="1:23" ht="29.15" hidden="1" customHeight="1" thickBot="1">
      <c r="A47" s="4"/>
      <c r="B47" s="4"/>
      <c r="C47" s="4"/>
      <c r="D47" s="4"/>
      <c r="E47" s="4"/>
      <c r="F47" s="819">
        <f>SUM(F39:F45)</f>
        <v>0</v>
      </c>
      <c r="G47" s="2317">
        <f>IF(OR(Total_Units=0,F47=0),0,F47/Total_Units)</f>
        <v>0</v>
      </c>
      <c r="H47" s="2318"/>
      <c r="I47" s="812"/>
      <c r="J47" s="820" t="s">
        <v>333</v>
      </c>
      <c r="K47" s="517"/>
      <c r="L47" s="1649"/>
      <c r="M47" s="1649"/>
      <c r="N47" s="724"/>
      <c r="O47" s="724"/>
      <c r="P47" s="724"/>
    </row>
    <row r="48" spans="1:23" ht="18" hidden="1" customHeight="1" thickTop="1" thickBot="1">
      <c r="A48" s="4"/>
      <c r="B48" s="4"/>
      <c r="C48" s="4"/>
      <c r="D48" s="4"/>
      <c r="E48" s="4"/>
      <c r="F48" s="821">
        <f>SUM(F39:F46)</f>
        <v>0</v>
      </c>
      <c r="G48" s="2311">
        <f>SUM(G39:G46)</f>
        <v>0</v>
      </c>
      <c r="H48" s="2312"/>
      <c r="I48" s="830"/>
      <c r="J48" s="822" t="s">
        <v>677</v>
      </c>
      <c r="K48" s="517"/>
      <c r="L48" s="1537"/>
    </row>
    <row r="49" spans="1:16" s="45" customFormat="1" ht="29.15" hidden="1" customHeight="1">
      <c r="A49" s="3"/>
      <c r="B49" s="3"/>
      <c r="C49" s="3"/>
      <c r="D49" s="3"/>
      <c r="E49" s="3"/>
      <c r="F49" s="813"/>
      <c r="G49" s="814"/>
      <c r="H49" s="815"/>
      <c r="I49" s="816">
        <f>IF($F47=0,0,SUMPRODUCT(I39:I45,F39:F45)/total_HC_units_avg_inc)</f>
        <v>0</v>
      </c>
      <c r="J49" s="817" t="s">
        <v>334</v>
      </c>
      <c r="K49" s="517"/>
      <c r="L49" s="11"/>
      <c r="M49" s="11"/>
      <c r="N49" s="89"/>
      <c r="O49" s="89"/>
    </row>
    <row r="50" spans="1:16" s="45" customFormat="1" ht="10.4" hidden="1" customHeight="1">
      <c r="A50" s="3"/>
      <c r="B50" s="3"/>
      <c r="C50" s="3"/>
      <c r="D50" s="3"/>
      <c r="E50" s="3"/>
      <c r="F50" s="50"/>
      <c r="G50" s="51"/>
      <c r="H50" s="52"/>
      <c r="I50" s="52"/>
      <c r="J50" s="3"/>
      <c r="K50" s="3"/>
      <c r="L50" s="11"/>
      <c r="M50" s="11"/>
      <c r="N50" s="89"/>
      <c r="O50" s="89"/>
    </row>
    <row r="51" spans="1:16" s="45" customFormat="1" ht="130" hidden="1" customHeight="1">
      <c r="A51" s="3"/>
      <c r="B51" s="3"/>
      <c r="C51" s="3"/>
      <c r="D51" s="2221" t="str">
        <f>IF(OR(Minimum_SetAside_per_Sec_42="&lt;select one&gt;",Minimum_SetAside_per_Sec_42&lt;&gt;"Average Income Test",Total_AIT_Chart_Units=0),"This area intentionally left blank.",IF(total_HC_units_avg_inc+Workforce_Avg_Income_Units=Total_Units,"The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one&gt;",Minimum_SetAside_per_Sec_42&lt;&gt;"Average Income Test",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51" s="2221"/>
      <c r="F51" s="2221"/>
      <c r="G51" s="2221"/>
      <c r="H51" s="2221"/>
      <c r="I51" s="2221"/>
      <c r="J51" s="2221"/>
      <c r="K51" s="2221"/>
      <c r="L51" s="1637"/>
      <c r="M51" s="1637"/>
      <c r="N51" s="89"/>
      <c r="O51" s="89"/>
    </row>
    <row r="52" spans="1:16" ht="67.5" hidden="1" customHeight="1">
      <c r="A52" s="4"/>
      <c r="B52" s="4"/>
      <c r="C52" s="4"/>
      <c r="D52" s="2134" t="s">
        <v>335</v>
      </c>
      <c r="E52" s="2134"/>
      <c r="F52" s="2134"/>
      <c r="G52" s="2134"/>
      <c r="H52" s="2134"/>
      <c r="I52" s="2134"/>
      <c r="J52" s="2134"/>
      <c r="K52" s="2134"/>
      <c r="L52" s="14"/>
    </row>
    <row r="53" spans="1:16" ht="10.4" hidden="1" customHeight="1">
      <c r="A53" s="4"/>
      <c r="B53" s="4"/>
      <c r="C53" s="4"/>
      <c r="D53" s="157"/>
      <c r="E53" s="157"/>
      <c r="F53" s="157"/>
      <c r="G53" s="157"/>
      <c r="H53" s="157"/>
      <c r="I53" s="157"/>
      <c r="J53" s="157"/>
      <c r="K53" s="502"/>
      <c r="L53" s="14"/>
    </row>
    <row r="54" spans="1:16" ht="30" hidden="1" customHeight="1">
      <c r="A54" s="4"/>
      <c r="B54" s="4"/>
      <c r="C54" s="717" t="str" cm="1">
        <f t="array" ref="C54">IF($P54=0,"",CHAR(CODE(LOOKUP(2,1/(COUNTIF(C$17:C53,"&gt;"&amp;C$17:C53&amp;"*")=0),C$17:C53))+1))</f>
        <v/>
      </c>
      <c r="D54" s="2134" t="s">
        <v>1028</v>
      </c>
      <c r="E54" s="2134"/>
      <c r="F54" s="2134"/>
      <c r="G54" s="2134"/>
      <c r="H54" s="2134"/>
      <c r="I54" s="2134"/>
      <c r="J54" s="2134"/>
      <c r="K54" s="690"/>
      <c r="L54" s="14"/>
      <c r="P54" s="561">
        <v>0</v>
      </c>
    </row>
    <row r="55" spans="1:16" ht="10.4" hidden="1" customHeight="1" thickBot="1">
      <c r="A55" s="4"/>
      <c r="B55" s="4"/>
      <c r="C55" s="4"/>
      <c r="D55" s="690"/>
      <c r="E55" s="690"/>
      <c r="F55" s="690"/>
      <c r="G55" s="690"/>
      <c r="H55" s="690"/>
      <c r="I55" s="690"/>
      <c r="J55" s="690"/>
      <c r="K55" s="690"/>
      <c r="L55" s="14"/>
    </row>
    <row r="56" spans="1:16" ht="44.15" hidden="1" customHeight="1">
      <c r="A56" s="4"/>
      <c r="B56" s="4"/>
      <c r="C56" s="4"/>
      <c r="D56" s="690"/>
      <c r="E56" s="690"/>
      <c r="F56" s="869" t="s">
        <v>328</v>
      </c>
      <c r="G56" s="2245" t="s">
        <v>329</v>
      </c>
      <c r="H56" s="2246"/>
      <c r="I56" s="835" t="s">
        <v>330</v>
      </c>
      <c r="J56" s="870" t="s">
        <v>331</v>
      </c>
      <c r="K56" s="690"/>
      <c r="L56" s="14"/>
    </row>
    <row r="57" spans="1:16" ht="17.5" hidden="1" customHeight="1">
      <c r="A57" s="4"/>
      <c r="B57" s="4"/>
      <c r="C57" s="4"/>
      <c r="D57" s="690"/>
      <c r="E57" s="690"/>
      <c r="F57" s="838"/>
      <c r="G57" s="2277"/>
      <c r="H57" s="2278"/>
      <c r="I57" s="839">
        <v>0.25</v>
      </c>
      <c r="J57" s="2279" t="s">
        <v>1029</v>
      </c>
      <c r="K57" s="690"/>
      <c r="L57" s="14"/>
    </row>
    <row r="58" spans="1:16" ht="17.5" hidden="1" customHeight="1">
      <c r="A58" s="4"/>
      <c r="B58" s="4"/>
      <c r="C58" s="4"/>
      <c r="D58" s="690"/>
      <c r="E58" s="690"/>
      <c r="F58" s="840"/>
      <c r="G58" s="2281"/>
      <c r="H58" s="2282"/>
      <c r="I58" s="841">
        <v>0.28000000000000003</v>
      </c>
      <c r="J58" s="2280"/>
      <c r="K58" s="690"/>
      <c r="L58" s="14"/>
    </row>
    <row r="59" spans="1:16" ht="17.5" hidden="1" customHeight="1">
      <c r="A59" s="4"/>
      <c r="B59" s="4"/>
      <c r="C59" s="4"/>
      <c r="D59" s="690"/>
      <c r="E59" s="690"/>
      <c r="F59" s="840"/>
      <c r="G59" s="2283"/>
      <c r="H59" s="2284"/>
      <c r="I59" s="841">
        <v>0.3</v>
      </c>
      <c r="J59" s="2280"/>
      <c r="K59" s="690"/>
      <c r="L59" s="14"/>
    </row>
    <row r="60" spans="1:16" ht="17.5" hidden="1" customHeight="1">
      <c r="A60" s="4"/>
      <c r="B60" s="4"/>
      <c r="C60" s="4"/>
      <c r="D60" s="690"/>
      <c r="E60" s="690"/>
      <c r="F60" s="840"/>
      <c r="G60" s="2283"/>
      <c r="H60" s="2284"/>
      <c r="I60" s="841">
        <v>0.33</v>
      </c>
      <c r="J60" s="2280"/>
      <c r="K60" s="690"/>
      <c r="L60" s="14"/>
    </row>
    <row r="61" spans="1:16" ht="17.5" hidden="1" customHeight="1">
      <c r="A61" s="4"/>
      <c r="B61" s="4"/>
      <c r="C61" s="4"/>
      <c r="D61" s="690"/>
      <c r="E61" s="690"/>
      <c r="F61" s="840"/>
      <c r="G61" s="2283"/>
      <c r="H61" s="2284"/>
      <c r="I61" s="841">
        <v>0.35</v>
      </c>
      <c r="J61" s="2280"/>
      <c r="K61" s="690"/>
      <c r="L61" s="14"/>
    </row>
    <row r="62" spans="1:16" ht="17.5" hidden="1" customHeight="1">
      <c r="A62" s="4"/>
      <c r="B62" s="4"/>
      <c r="C62" s="4"/>
      <c r="D62" s="690"/>
      <c r="E62" s="690"/>
      <c r="F62" s="840"/>
      <c r="G62" s="2283"/>
      <c r="H62" s="2284"/>
      <c r="I62" s="841">
        <v>0.4</v>
      </c>
      <c r="J62" s="2280"/>
      <c r="K62" s="690"/>
      <c r="L62" s="14"/>
    </row>
    <row r="63" spans="1:16" ht="17.5" hidden="1" customHeight="1">
      <c r="A63" s="4"/>
      <c r="B63" s="4"/>
      <c r="C63" s="4"/>
      <c r="D63" s="690"/>
      <c r="E63" s="690"/>
      <c r="F63" s="840"/>
      <c r="G63" s="2283"/>
      <c r="H63" s="2284"/>
      <c r="I63" s="841">
        <v>0.45</v>
      </c>
      <c r="J63" s="2280"/>
      <c r="K63" s="690"/>
      <c r="L63" s="14"/>
    </row>
    <row r="64" spans="1:16" ht="17.5" hidden="1" customHeight="1">
      <c r="A64" s="4"/>
      <c r="B64" s="4"/>
      <c r="C64" s="4"/>
      <c r="D64" s="690"/>
      <c r="E64" s="690"/>
      <c r="F64" s="837" t="str">
        <f>IF(ROUNDUP(SUM(G57:G64)*Total_Units,0)-SUM(F57:F63)=0,"",ROUNDUP(SUM(G57:G64)*Total_Units,0)-SUM(F57:F63))</f>
        <v/>
      </c>
      <c r="G64" s="2303" t="str">
        <f>IF(LEFT(Minimum_SetAside_per_Sec_42,3)="20%",20%,"")</f>
        <v/>
      </c>
      <c r="H64" s="2304"/>
      <c r="I64" s="825">
        <v>0.5</v>
      </c>
      <c r="J64" s="2280"/>
      <c r="K64" s="690"/>
      <c r="L64" s="14"/>
    </row>
    <row r="65" spans="1:16" ht="17.5" hidden="1" customHeight="1" thickBot="1">
      <c r="A65" s="4"/>
      <c r="B65" s="4"/>
      <c r="C65" s="4"/>
      <c r="D65" s="690"/>
      <c r="E65" s="690"/>
      <c r="F65" s="927" t="str">
        <f>IF(ROUNDUP(SUM(G57:G65)*Total_Units,0)-SUM(F57:F64)=0,"",ROUNDUP(SUM(G57:G65)*Total_Units,0)-SUM(F57:F64))</f>
        <v/>
      </c>
      <c r="G65" s="2305">
        <f>IF(LEFT(Minimum_SetAside_per_Sec_42,3)="20%","",40%)</f>
        <v>0.4</v>
      </c>
      <c r="H65" s="2306"/>
      <c r="I65" s="826">
        <v>0.6</v>
      </c>
      <c r="J65" s="2280"/>
      <c r="K65" s="690"/>
      <c r="L65" s="1023"/>
      <c r="M65" s="918"/>
    </row>
    <row r="66" spans="1:16" ht="17.5" hidden="1" customHeight="1" thickBot="1">
      <c r="A66" s="4"/>
      <c r="B66" s="4"/>
      <c r="C66" s="4"/>
      <c r="D66" s="690"/>
      <c r="E66" s="690"/>
      <c r="F66" s="928">
        <f>MAX(0,Total_Units-SUM(F57:F65))</f>
        <v>0</v>
      </c>
      <c r="G66" s="2269">
        <f>1-SUM(G57:G65)</f>
        <v>0.6</v>
      </c>
      <c r="H66" s="2270"/>
      <c r="I66" s="933"/>
      <c r="J66" s="929" t="s">
        <v>1094</v>
      </c>
      <c r="K66" s="690"/>
      <c r="L66" s="108"/>
      <c r="M66" s="971"/>
    </row>
    <row r="67" spans="1:16" ht="17.5" hidden="1" customHeight="1" thickBot="1">
      <c r="A67" s="4"/>
      <c r="B67" s="4"/>
      <c r="C67" s="4"/>
      <c r="D67" s="807"/>
      <c r="E67" s="807"/>
      <c r="F67" s="819">
        <f>SUM(F57:F65)</f>
        <v>0</v>
      </c>
      <c r="G67" s="2307">
        <f>SUM(G57:G65)</f>
        <v>0.4</v>
      </c>
      <c r="H67" s="2308"/>
      <c r="I67" s="935"/>
      <c r="J67" s="930" t="s">
        <v>1143</v>
      </c>
      <c r="K67" s="807"/>
      <c r="L67" s="108"/>
      <c r="M67" s="971"/>
    </row>
    <row r="68" spans="1:16" ht="17.5" hidden="1" customHeight="1" thickTop="1">
      <c r="A68" s="4"/>
      <c r="B68" s="4"/>
      <c r="C68" s="4"/>
      <c r="D68" s="807"/>
      <c r="E68" s="807"/>
      <c r="F68" s="932">
        <f>F66+F67</f>
        <v>0</v>
      </c>
      <c r="G68" s="2309">
        <f>G66+G67</f>
        <v>1</v>
      </c>
      <c r="H68" s="2310"/>
      <c r="I68" s="934"/>
      <c r="J68" s="931" t="s">
        <v>677</v>
      </c>
      <c r="K68" s="807"/>
      <c r="L68" s="108"/>
      <c r="M68" s="971"/>
    </row>
    <row r="69" spans="1:16" ht="10.4" hidden="1" customHeight="1">
      <c r="A69" s="4"/>
      <c r="B69" s="4"/>
      <c r="C69" s="4"/>
      <c r="D69" s="690"/>
      <c r="E69" s="690"/>
      <c r="F69" s="690"/>
      <c r="G69" s="690"/>
      <c r="H69" s="690"/>
      <c r="I69" s="690"/>
      <c r="J69" s="690"/>
      <c r="K69" s="690"/>
      <c r="L69" s="14"/>
      <c r="M69" s="971"/>
    </row>
    <row r="70" spans="1:16" ht="60" hidden="1" customHeight="1">
      <c r="A70" s="4"/>
      <c r="B70" s="4"/>
      <c r="C70" s="717" t="str" cm="1">
        <f t="array" ref="C70">IF($P70=0,"",CHAR(CODE(LOOKUP(2,1/(COUNTIF(C$17:C69,"&gt;"&amp;C$17:C69&amp;"*")=0),C$17:C69))+1))</f>
        <v/>
      </c>
      <c r="D70" s="2221" t="str">
        <f>"Applicants requesting "&amp;DS_Gap_Name&amp;" Funding along with "&amp;IF(Funding!L184+Funding!L188&gt;0,"Housing Credits",Data1!B440)&amp;" must complete the following "&amp;DS_Gap_Name&amp;" Set-Aside Commitment chart"&amp;IF(OR(County&lt;&gt;"&lt;select one&gt;",Demographic&lt;&gt;"&lt;select one&gt;",Development_Category&lt;&gt;"&lt;select one&gt;")," for the proposed Development"&amp;IF(County&lt;&gt;"&lt;select one&gt;"," located in "&amp;County&amp;" County","")&amp;IF(Demographic&lt;&gt;"&lt;select one&gt;"," with a Demographic Commitment of "&amp;Demographic,"")&amp;IF(Development_Category&lt;&gt;"&lt;select one&gt;",IF(Demographic="&lt;select one&gt;"," with"," and")&amp;" a Development Category of "&amp;Development_Category,"")&amp;".",":")</f>
        <v>Applicants requesting SAIL Funding along with SAIL, HOME-ARP, NHTF must complete the following SAIL Set-Aside Commitment chart for the proposed Development with a Demographic Commitment of Persons with Special Needs and a Development Category of New Construction.</v>
      </c>
      <c r="E70" s="2221"/>
      <c r="F70" s="2221"/>
      <c r="G70" s="2221"/>
      <c r="H70" s="2221"/>
      <c r="I70" s="2221"/>
      <c r="J70" s="2221"/>
      <c r="K70" s="675"/>
      <c r="L70" s="725"/>
      <c r="M70" s="725"/>
      <c r="N70" s="868"/>
      <c r="O70" s="868"/>
      <c r="P70" s="561">
        <v>0</v>
      </c>
    </row>
    <row r="71" spans="1:16" ht="10.4" hidden="1" customHeight="1" thickBot="1">
      <c r="A71" s="4"/>
      <c r="B71" s="4"/>
      <c r="C71" s="4"/>
      <c r="D71" s="675"/>
      <c r="E71" s="675"/>
      <c r="F71" s="675"/>
      <c r="G71" s="675"/>
      <c r="H71" s="675"/>
      <c r="I71" s="675"/>
      <c r="J71" s="675"/>
      <c r="K71" s="675"/>
      <c r="L71" s="725"/>
      <c r="M71" s="725"/>
      <c r="N71" s="868"/>
      <c r="O71" s="868"/>
    </row>
    <row r="72" spans="1:16" ht="44.15" hidden="1" customHeight="1">
      <c r="A72" s="4"/>
      <c r="B72" s="4"/>
      <c r="C72" s="4"/>
      <c r="D72" s="675"/>
      <c r="E72" s="675"/>
      <c r="F72" s="869" t="s">
        <v>328</v>
      </c>
      <c r="G72" s="2245" t="s">
        <v>329</v>
      </c>
      <c r="H72" s="2246"/>
      <c r="I72" s="835" t="s">
        <v>330</v>
      </c>
      <c r="J72" s="870" t="s">
        <v>331</v>
      </c>
      <c r="K72" s="675"/>
      <c r="L72" s="725"/>
      <c r="M72" s="725"/>
      <c r="N72" s="868"/>
      <c r="O72" s="868"/>
    </row>
    <row r="73" spans="1:16" ht="17.5" hidden="1" customHeight="1">
      <c r="A73" s="4"/>
      <c r="B73" s="4"/>
      <c r="C73" s="4"/>
      <c r="D73" s="675"/>
      <c r="E73" s="675"/>
      <c r="F73" s="836">
        <f>ROUNDUP(G$73*Total_Units,0)</f>
        <v>0</v>
      </c>
      <c r="G73" s="2247"/>
      <c r="H73" s="2248"/>
      <c r="I73" s="824">
        <v>0.25</v>
      </c>
      <c r="J73" s="2275" t="str">
        <f>RIGHT(LEFT(D70,FIND("Funding",D70)-2),FIND("Funding",D70)-2-22)&amp;" Units"</f>
        <v>SAIL Units</v>
      </c>
      <c r="K73" s="808"/>
      <c r="L73" s="924" t="str">
        <f t="shared" ref="L73:L79" si="2">IF(Minimum_SetAside_per_Sec_42="&lt;select one&gt;","",IF(Minimum_SetAside_per_Sec_42="Average Income Test",IF(I73=30%,"&lt;= This is the ELI AMI Level for all Transactions choosing Average Income Test.",""),IF(I73&lt;IFERROR(VLOOKUP(County,DS_CountyData,14),0),"",IF(I73=IFERROR(VLOOKUP(County,DS_CountyData,14),0),"&lt;= "&amp;County&amp;" County's designated ELI AMI Level is "&amp;TEXT(IFERROR(VLOOKUP(County,DS_CountyData,14),0),"0%")&amp;".",""))))</f>
        <v/>
      </c>
      <c r="M73" s="868"/>
      <c r="N73" s="1790">
        <f>IF(AND(Minimum_SetAside_per_Sec_42&lt;&gt;"&lt;select one&gt;",N$13=1,P$70=1),1,0)</f>
        <v>0</v>
      </c>
      <c r="O73" s="1620">
        <f>IF(N73&lt;&gt;0,IF(OR(IFERROR(FIND(" NOT ",$D$89),0)&gt;0,IFERROR(FIND("Attention:",$D$89),0)&gt;0,Total_Gap_Chart_Units=0),0,1),0)</f>
        <v>0</v>
      </c>
      <c r="P73" s="14" t="str">
        <f>IF(M73=1,"At least one (corrective) entry needed","No entries needed")</f>
        <v>No entries needed</v>
      </c>
    </row>
    <row r="74" spans="1:16" ht="17.5" hidden="1" customHeight="1">
      <c r="A74" s="4"/>
      <c r="B74" s="4"/>
      <c r="C74" s="4"/>
      <c r="D74" s="675"/>
      <c r="E74" s="675"/>
      <c r="F74" s="837">
        <f>ROUNDUP(SUM(G$73:G74)*Total_Units,0)-SUM(F$73:F73)</f>
        <v>0</v>
      </c>
      <c r="G74" s="2251"/>
      <c r="H74" s="2252"/>
      <c r="I74" s="825">
        <v>0.28000000000000003</v>
      </c>
      <c r="J74" s="2276"/>
      <c r="K74" s="675"/>
      <c r="L74" s="924" t="str">
        <f t="shared" si="2"/>
        <v/>
      </c>
      <c r="M74" s="868"/>
      <c r="N74" s="868"/>
      <c r="O74" s="868"/>
    </row>
    <row r="75" spans="1:16" ht="17.5" hidden="1" customHeight="1">
      <c r="A75" s="4"/>
      <c r="B75" s="4"/>
      <c r="C75" s="4"/>
      <c r="D75" s="675"/>
      <c r="E75" s="675"/>
      <c r="F75" s="837">
        <f>ROUNDUP(SUM(G$73:G75)*Total_Units,0)-SUM(F$73:F74)</f>
        <v>0</v>
      </c>
      <c r="G75" s="2237"/>
      <c r="H75" s="2238"/>
      <c r="I75" s="825">
        <v>0.3</v>
      </c>
      <c r="J75" s="2276"/>
      <c r="K75" s="675"/>
      <c r="L75" s="924" t="str">
        <f t="shared" si="2"/>
        <v/>
      </c>
      <c r="M75" s="868"/>
      <c r="N75" s="868"/>
      <c r="O75" s="868"/>
    </row>
    <row r="76" spans="1:16" ht="17.5" hidden="1" customHeight="1">
      <c r="A76" s="4"/>
      <c r="B76" s="4"/>
      <c r="C76" s="4"/>
      <c r="D76" s="675"/>
      <c r="E76" s="675"/>
      <c r="F76" s="837">
        <f>ROUNDUP(SUM(G$73:G76)*Total_Units,0)-SUM(F$73:F75)</f>
        <v>0</v>
      </c>
      <c r="G76" s="2237"/>
      <c r="H76" s="2238"/>
      <c r="I76" s="825">
        <v>0.33</v>
      </c>
      <c r="J76" s="2276"/>
      <c r="K76" s="675"/>
      <c r="L76" s="924" t="str">
        <f t="shared" si="2"/>
        <v/>
      </c>
      <c r="M76" s="868"/>
      <c r="N76" s="868"/>
      <c r="O76" s="868"/>
    </row>
    <row r="77" spans="1:16" ht="17.5" hidden="1" customHeight="1">
      <c r="A77" s="4"/>
      <c r="B77" s="4"/>
      <c r="C77" s="4"/>
      <c r="D77" s="675"/>
      <c r="E77" s="675"/>
      <c r="F77" s="837">
        <f>ROUNDUP(SUM(G$73:G77)*Total_Units,0)-SUM(F$73:F76)</f>
        <v>0</v>
      </c>
      <c r="G77" s="2237"/>
      <c r="H77" s="2238"/>
      <c r="I77" s="825">
        <v>0.35</v>
      </c>
      <c r="J77" s="2276"/>
      <c r="K77" s="675"/>
      <c r="L77" s="924" t="str">
        <f t="shared" si="2"/>
        <v/>
      </c>
      <c r="M77" s="868"/>
      <c r="N77" s="868"/>
      <c r="O77" s="868"/>
    </row>
    <row r="78" spans="1:16" ht="17.5" hidden="1" customHeight="1">
      <c r="A78" s="4"/>
      <c r="B78" s="4"/>
      <c r="C78" s="4"/>
      <c r="D78" s="675"/>
      <c r="E78" s="675"/>
      <c r="F78" s="837">
        <f>ROUNDUP(SUM(G$73:G78)*Total_Units,0)-SUM(F$73:F77)</f>
        <v>0</v>
      </c>
      <c r="G78" s="2237"/>
      <c r="H78" s="2238"/>
      <c r="I78" s="825">
        <v>0.4</v>
      </c>
      <c r="J78" s="2276"/>
      <c r="K78" s="675"/>
      <c r="L78" s="924" t="str">
        <f t="shared" si="2"/>
        <v/>
      </c>
      <c r="M78" s="868"/>
      <c r="N78" s="868"/>
      <c r="O78" s="868"/>
    </row>
    <row r="79" spans="1:16" ht="17.5" hidden="1" customHeight="1">
      <c r="A79" s="4"/>
      <c r="B79" s="4"/>
      <c r="C79" s="4"/>
      <c r="D79" s="675"/>
      <c r="E79" s="675"/>
      <c r="F79" s="837">
        <f>ROUNDUP(SUM(G$73:G79)*Total_Units,0)-SUM(F$73:F78)</f>
        <v>0</v>
      </c>
      <c r="G79" s="2237"/>
      <c r="H79" s="2238"/>
      <c r="I79" s="825">
        <v>0.45</v>
      </c>
      <c r="J79" s="2276"/>
      <c r="K79" s="675"/>
      <c r="L79" s="924" t="str">
        <f t="shared" si="2"/>
        <v/>
      </c>
      <c r="M79" s="868"/>
      <c r="N79" s="868"/>
      <c r="O79" s="868"/>
    </row>
    <row r="80" spans="1:16" ht="17.5" hidden="1" customHeight="1">
      <c r="A80" s="4"/>
      <c r="B80" s="4"/>
      <c r="C80" s="4"/>
      <c r="D80" s="675"/>
      <c r="E80" s="675"/>
      <c r="F80" s="837">
        <f>ROUNDUP(SUM(G$73:G80)*Total_Units,0)-SUM(F$73:F79)</f>
        <v>0</v>
      </c>
      <c r="G80" s="2237"/>
      <c r="H80" s="2238"/>
      <c r="I80" s="825">
        <v>0.5</v>
      </c>
      <c r="J80" s="2276"/>
      <c r="K80" s="675"/>
      <c r="L80" s="1023"/>
      <c r="M80" s="868"/>
      <c r="N80" s="868"/>
      <c r="O80" s="868"/>
    </row>
    <row r="81" spans="1:24" ht="17.5" hidden="1" customHeight="1">
      <c r="A81" s="4"/>
      <c r="B81" s="4"/>
      <c r="C81" s="4"/>
      <c r="D81" s="675"/>
      <c r="E81" s="675"/>
      <c r="F81" s="837">
        <f>ROUNDUP(SUM(G$73:G81)*Total_Units,0)-SUM(F$73:F80)</f>
        <v>0</v>
      </c>
      <c r="G81" s="2237"/>
      <c r="H81" s="2238"/>
      <c r="I81" s="825">
        <v>0.6</v>
      </c>
      <c r="J81" s="2276"/>
      <c r="K81" s="675"/>
      <c r="L81" s="1023"/>
      <c r="M81" s="868"/>
      <c r="N81" s="868"/>
      <c r="O81" s="868"/>
    </row>
    <row r="82" spans="1:24" ht="17.5" hidden="1" customHeight="1">
      <c r="A82" s="4"/>
      <c r="B82" s="4"/>
      <c r="C82" s="4"/>
      <c r="D82" s="743"/>
      <c r="E82" s="743"/>
      <c r="F82" s="837" t="str">
        <f>IF(DS_Gap_AMI_Max&lt;I82,"",ROUNDUP(SUM(G$73:G82)*Total_Units,0)-SUM(F$73:F81))</f>
        <v/>
      </c>
      <c r="G82" s="2237"/>
      <c r="H82" s="2238"/>
      <c r="I82" s="826">
        <v>0.7</v>
      </c>
      <c r="J82" s="2276"/>
      <c r="K82" s="743"/>
      <c r="L82" s="1023"/>
      <c r="M82" s="868"/>
      <c r="N82" s="868"/>
      <c r="O82" s="868"/>
    </row>
    <row r="83" spans="1:24" ht="17.5" hidden="1" customHeight="1">
      <c r="A83" s="4"/>
      <c r="B83" s="4"/>
      <c r="C83" s="4"/>
      <c r="D83" s="743"/>
      <c r="E83" s="743"/>
      <c r="F83" s="837" t="str">
        <f>IF(DS_Gap_AMI_Max&lt;I83,"",ROUNDUP(SUM(G$73:G83)*Total_Units,0)-SUM(F$73:F82))</f>
        <v/>
      </c>
      <c r="G83" s="2237"/>
      <c r="H83" s="2238"/>
      <c r="I83" s="846">
        <v>0.8</v>
      </c>
      <c r="J83" s="2276"/>
      <c r="K83" s="743"/>
      <c r="L83" s="1023"/>
      <c r="M83" s="868"/>
      <c r="N83" s="868"/>
      <c r="O83" s="868"/>
    </row>
    <row r="84" spans="1:24" ht="17.5" hidden="1" customHeight="1" thickBot="1">
      <c r="A84" s="4"/>
      <c r="B84" s="4"/>
      <c r="C84" s="4"/>
      <c r="D84" s="743"/>
      <c r="E84" s="743"/>
      <c r="F84" s="925" t="str">
        <f>IF(DS_Gap_AMI_Max&lt;I84,"",ROUNDUP(SUM(G$73:G84)*Total_Units,0)-SUM(F$73:F83))</f>
        <v/>
      </c>
      <c r="G84" s="2249"/>
      <c r="H84" s="2250"/>
      <c r="I84" s="828">
        <v>1.2</v>
      </c>
      <c r="J84" s="2276"/>
      <c r="K84" s="743"/>
      <c r="L84" s="1023"/>
      <c r="M84" s="868"/>
      <c r="N84" s="868"/>
      <c r="O84" s="868"/>
    </row>
    <row r="85" spans="1:24" ht="17.5" hidden="1" customHeight="1" thickBot="1">
      <c r="A85" s="4"/>
      <c r="B85" s="4"/>
      <c r="C85" s="4"/>
      <c r="D85" s="743"/>
      <c r="E85" s="743"/>
      <c r="F85" s="926">
        <f>IF(SUM(G73:H84)=0,0,Total_Units-SUMIF(I73:I84,"&lt;="&amp;DS_Gap_AMI_Max,F73:F84))</f>
        <v>0</v>
      </c>
      <c r="G85" s="2233">
        <f>1-SUMIF(I73:I84,"&lt;="&amp;DS_Gap_AMI_Max,G73:G84)</f>
        <v>1</v>
      </c>
      <c r="H85" s="2234"/>
      <c r="I85" s="845"/>
      <c r="J85" s="842" t="s">
        <v>1094</v>
      </c>
      <c r="K85" s="743"/>
      <c r="L85" s="14"/>
      <c r="M85" s="45"/>
    </row>
    <row r="86" spans="1:24" ht="17.5" hidden="1" customHeight="1" thickBot="1">
      <c r="A86" s="4"/>
      <c r="B86" s="4"/>
      <c r="C86" s="4"/>
      <c r="D86" s="743"/>
      <c r="E86" s="743"/>
      <c r="F86" s="843">
        <f>SUMIF(I73:I84,"&lt;="&amp;DS_Gap_AMI_Max,F73:F84)</f>
        <v>0</v>
      </c>
      <c r="G86" s="2235">
        <f>SUMIF(I73:I84,"&lt;="&amp;DS_Gap_AMI_Max,G73:G84)</f>
        <v>0</v>
      </c>
      <c r="H86" s="2236"/>
      <c r="I86" s="811"/>
      <c r="J86" s="844" t="str">
        <f>"Total "&amp;RIGHT(LEFT(D70,FIND("Funding",D70)-2),FIND("Funding",D70)-2-22)&amp;" Units"</f>
        <v>Total SAIL Units</v>
      </c>
      <c r="K86" s="743"/>
      <c r="L86" s="14"/>
    </row>
    <row r="87" spans="1:24" ht="17.5" hidden="1" customHeight="1" thickTop="1" thickBot="1">
      <c r="A87" s="4"/>
      <c r="B87" s="4"/>
      <c r="C87" s="4"/>
      <c r="D87" s="675"/>
      <c r="E87" s="675"/>
      <c r="F87" s="829">
        <f>SUM(F$73:F85)</f>
        <v>0</v>
      </c>
      <c r="G87" s="2243">
        <f>G85+G86</f>
        <v>1</v>
      </c>
      <c r="H87" s="2244"/>
      <c r="I87" s="830"/>
      <c r="J87" s="831" t="s">
        <v>677</v>
      </c>
      <c r="K87" s="675"/>
      <c r="L87" s="14"/>
    </row>
    <row r="88" spans="1:24" ht="10.4" hidden="1" customHeight="1">
      <c r="A88" s="4"/>
      <c r="B88" s="4"/>
      <c r="C88" s="4"/>
      <c r="D88" s="675"/>
      <c r="E88" s="675"/>
      <c r="F88" s="675"/>
      <c r="G88" s="675"/>
      <c r="H88" s="675"/>
      <c r="I88" s="675"/>
      <c r="J88" s="675"/>
      <c r="K88" s="675"/>
      <c r="L88" s="14"/>
    </row>
    <row r="89" spans="1:24" ht="123" hidden="1" customHeight="1">
      <c r="A89" s="4"/>
      <c r="B89" s="4"/>
      <c r="C89" s="4"/>
      <c r="D89" s="2134" t="str">
        <f>IF(OR(P70=0,Total_Gap_Chart_Units=0,Minimum_SetAside_per_Sec_42="&lt;select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"))&amp;IF(OR(P70=0,Total_Gap_Chart_Units=0,Minimum_SetAside_per_Sec_42="&lt;select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"&amp;TEXT(SUMIF(I73:I84,"&lt;="&amp;DS_Gap_AMI_Max,G73:G84),"0%")&amp;". "&amp;DS_Comment_Total_Units_Gap&amp;DS_Comment_Min_Gap_SA&amp;DS_Comment_Max_Gap_SA&amp;DS_Comment_Min_Gap_SA_ALF&amp;DS_Comment_Min_Gap_ELI_SA&amp;DS_Comment_Min_Gap_SS_Below_50Percent_SA))</f>
        <v>This area intentionally left blank.</v>
      </c>
      <c r="E89" s="2134"/>
      <c r="F89" s="2134"/>
      <c r="G89" s="2134"/>
      <c r="H89" s="2134"/>
      <c r="I89" s="2134"/>
      <c r="J89" s="2134"/>
      <c r="K89" s="2134"/>
      <c r="L89" s="14"/>
    </row>
    <row r="90" spans="1:24">
      <c r="A90" s="612" t="str" cm="1">
        <f t="array" ref="A90">CHAR(CODE(LOOKUP(2,1/(COUNTIF(A$3:A69,"&gt;"&amp;A$3:A69&amp;"*")=0),A$3:A69))+1)</f>
        <v>c</v>
      </c>
      <c r="B90" s="2131" t="s">
        <v>336</v>
      </c>
      <c r="C90" s="2131"/>
      <c r="D90" s="2131"/>
      <c r="E90" s="2131"/>
      <c r="F90" s="2131"/>
      <c r="G90" s="2131"/>
      <c r="H90" s="2131"/>
      <c r="I90" s="2131"/>
      <c r="J90" s="2131"/>
      <c r="K90" s="503"/>
      <c r="L90" s="571"/>
      <c r="N90" s="569">
        <v>1</v>
      </c>
      <c r="O90" s="395">
        <f>IF(AND(N90&lt;&gt;0,Total_Units&lt;&gt;0,H112=Total_Units),N90,0)</f>
        <v>0</v>
      </c>
      <c r="P90" s="1696" t="str">
        <f>CHOOSE(N90+1,"Not to be included in this RFA","A REQUIRED input field for this RFA","An OPTIONAL input field for this RFA")</f>
        <v>A REQUIRED input field for this RFA</v>
      </c>
      <c r="Q90"/>
    </row>
    <row r="91" spans="1:24">
      <c r="A91" s="4"/>
      <c r="B91" s="4" t="s">
        <v>337</v>
      </c>
      <c r="C91" s="4"/>
      <c r="D91" s="4"/>
      <c r="E91" s="4"/>
      <c r="F91" s="4"/>
      <c r="G91" s="4"/>
      <c r="H91" s="4"/>
      <c r="I91" s="4"/>
      <c r="L91" s="14"/>
      <c r="P91" t="s">
        <v>1903</v>
      </c>
    </row>
    <row r="92" spans="1:24" ht="10.4" customHeight="1" thickBot="1">
      <c r="A92" s="4"/>
      <c r="B92" s="7"/>
      <c r="C92" s="7"/>
      <c r="D92" s="7"/>
      <c r="E92" s="4"/>
      <c r="F92" s="4"/>
      <c r="G92" s="4"/>
      <c r="H92" s="4"/>
      <c r="I92" s="4"/>
      <c r="J92" s="4"/>
      <c r="K92" s="4"/>
      <c r="L92" s="14"/>
    </row>
    <row r="93" spans="1:24" ht="31.5" customHeight="1">
      <c r="A93" s="4"/>
      <c r="B93" s="7"/>
      <c r="C93" s="7"/>
      <c r="D93" s="7"/>
      <c r="E93" s="4"/>
      <c r="F93" s="2239" t="s">
        <v>338</v>
      </c>
      <c r="G93" s="2240"/>
      <c r="H93" s="2287" t="s">
        <v>339</v>
      </c>
      <c r="I93" s="2240"/>
      <c r="J93" s="2273" t="s">
        <v>832</v>
      </c>
      <c r="N93" s="2220" t="str">
        <f>IF(Demographic="&lt;select one&gt;","","Demographic: "&amp;Demographic)&amp;IF(Development_Category="&lt;select one&gt;","",IF(Demographic&lt;&gt;"&lt;select one&gt;","; ","")&amp;"Development Category: "&amp;Development_Category)</f>
        <v>Demographic: Persons with Special Needs; Development Category: New Construction</v>
      </c>
      <c r="O93" s="2220"/>
      <c r="P93" s="2220"/>
      <c r="Q93" s="2220"/>
    </row>
    <row r="94" spans="1:24" ht="17.5" customHeight="1">
      <c r="A94" s="4"/>
      <c r="B94" s="7"/>
      <c r="C94" s="7"/>
      <c r="D94" s="7"/>
      <c r="E94" s="4"/>
      <c r="F94" s="2241"/>
      <c r="G94" s="2242"/>
      <c r="H94" s="2288"/>
      <c r="I94" s="2242"/>
      <c r="J94" s="2274"/>
      <c r="L94" s="1638"/>
      <c r="M94" s="1537"/>
      <c r="N94" s="2220"/>
      <c r="O94" s="2220"/>
      <c r="P94" s="2220"/>
      <c r="Q94" s="2220"/>
    </row>
    <row r="95" spans="1:24" ht="35.15" customHeight="1">
      <c r="A95" s="4"/>
      <c r="B95" s="7"/>
      <c r="C95" s="7"/>
      <c r="D95" s="7"/>
      <c r="E95" s="4"/>
      <c r="F95" s="2271" t="s">
        <v>340</v>
      </c>
      <c r="G95" s="2272"/>
      <c r="H95" s="2297"/>
      <c r="I95" s="2298"/>
      <c r="J95" s="1653">
        <f>H124</f>
        <v>0</v>
      </c>
      <c r="L95" s="25"/>
      <c r="M95" s="25"/>
      <c r="N95" s="89"/>
      <c r="O95" s="89"/>
      <c r="P95" s="380"/>
      <c r="Q95" s="380"/>
      <c r="R95" s="380"/>
      <c r="S95" s="380"/>
      <c r="T95" s="45"/>
      <c r="U95" s="45"/>
      <c r="V95" s="45"/>
      <c r="W95" s="572"/>
      <c r="X95" s="45"/>
    </row>
    <row r="96" spans="1:24" ht="35.15" customHeight="1">
      <c r="A96" s="4"/>
      <c r="B96" s="7"/>
      <c r="C96" s="7"/>
      <c r="D96" s="7"/>
      <c r="E96" s="4"/>
      <c r="F96" s="2271" t="s">
        <v>341</v>
      </c>
      <c r="G96" s="2272"/>
      <c r="H96" s="2299"/>
      <c r="I96" s="2299"/>
      <c r="J96" s="1653">
        <f>H125</f>
        <v>0</v>
      </c>
      <c r="L96" s="25"/>
      <c r="M96" s="25"/>
      <c r="N96" s="89"/>
      <c r="O96" s="89"/>
      <c r="P96" s="380"/>
      <c r="Q96" s="380"/>
      <c r="R96" s="380"/>
      <c r="S96" s="380"/>
      <c r="T96" s="45"/>
      <c r="U96" s="45"/>
      <c r="V96" s="45"/>
      <c r="W96" s="572"/>
      <c r="X96" s="45"/>
    </row>
    <row r="97" spans="1:24" ht="17.5" customHeight="1">
      <c r="A97" s="4"/>
      <c r="B97" s="7"/>
      <c r="C97" s="7"/>
      <c r="D97" s="7"/>
      <c r="E97" s="4"/>
      <c r="F97" s="2224" t="s">
        <v>342</v>
      </c>
      <c r="G97" s="2225"/>
      <c r="H97" s="2263"/>
      <c r="I97" s="2263"/>
      <c r="J97" s="2255">
        <f>H126</f>
        <v>0</v>
      </c>
      <c r="L97" s="25"/>
      <c r="M97" s="1660"/>
      <c r="Q97" s="570"/>
      <c r="R97" s="570"/>
      <c r="S97" s="45"/>
      <c r="T97" s="45"/>
      <c r="U97" s="45"/>
      <c r="V97" s="45"/>
      <c r="W97" s="570"/>
      <c r="X97" s="45"/>
    </row>
    <row r="98" spans="1:24" ht="17.5" customHeight="1">
      <c r="A98" s="4"/>
      <c r="B98" s="7"/>
      <c r="C98" s="7"/>
      <c r="D98" s="7"/>
      <c r="E98" s="4"/>
      <c r="F98" s="2227" t="s">
        <v>343</v>
      </c>
      <c r="G98" s="2228"/>
      <c r="H98" s="2222"/>
      <c r="I98" s="2222"/>
      <c r="J98" s="2256"/>
      <c r="L98" s="1045"/>
      <c r="M98" s="1660"/>
      <c r="Q98" s="570"/>
      <c r="R98" s="570"/>
      <c r="S98" s="45"/>
      <c r="T98" s="45"/>
      <c r="U98" s="45"/>
      <c r="V98" s="45"/>
      <c r="W98" s="570"/>
      <c r="X98" s="45"/>
    </row>
    <row r="99" spans="1:24" ht="17.5" customHeight="1">
      <c r="A99" s="4"/>
      <c r="B99" s="7"/>
      <c r="C99" s="7"/>
      <c r="D99" s="7"/>
      <c r="E99" s="4"/>
      <c r="F99" s="2261" t="s">
        <v>344</v>
      </c>
      <c r="G99" s="2262"/>
      <c r="H99" s="2223"/>
      <c r="I99" s="2223"/>
      <c r="J99" s="2268"/>
      <c r="L99" s="1045"/>
      <c r="M99" s="1660"/>
      <c r="N99"/>
      <c r="O99"/>
      <c r="P99" s="1718">
        <v>1</v>
      </c>
      <c r="Q99" s="570"/>
      <c r="R99" s="570"/>
      <c r="S99" s="45"/>
      <c r="T99" s="45"/>
      <c r="U99" s="45"/>
      <c r="V99" s="45"/>
      <c r="W99" s="570"/>
      <c r="X99" s="45"/>
    </row>
    <row r="100" spans="1:24" ht="17.5" hidden="1" customHeight="1">
      <c r="A100" s="4"/>
      <c r="B100" s="7"/>
      <c r="C100" s="7"/>
      <c r="D100" s="7"/>
      <c r="E100" s="4"/>
      <c r="F100" s="2224" t="s">
        <v>345</v>
      </c>
      <c r="G100" s="2225"/>
      <c r="H100" s="2226"/>
      <c r="I100" s="2226"/>
      <c r="J100" s="2255">
        <f>H127</f>
        <v>0</v>
      </c>
      <c r="L100" s="1661"/>
      <c r="M100" s="1661"/>
      <c r="N100" s="1719">
        <f>IF(AND(Development_Category&lt;&gt;"&lt;select one&gt;",OR(Development_Category="New Construction",Development_Category="Redevelopment",Development_Category="Acquisition and Redevelopment")),0,3)</f>
        <v>0</v>
      </c>
      <c r="O100" s="606">
        <f t="shared" ref="O100:O106" si="3">IF(AND(N100&lt;&gt;0,AND(C100&lt;&gt;"&lt;select one&gt;",C100&lt;&gt;"")),N100,0)</f>
        <v>0</v>
      </c>
      <c r="P100" s="1669" t="str">
        <f t="shared" ref="P100:P101" si="4">CHOOSE(N100+1,"Not to be included in this RFA","A REQUIRED input field for this RFA","An OPTIONAL input field for this RFA","Input is not tracked")</f>
        <v>Not to be included in this RFA</v>
      </c>
      <c r="Q100" s="570"/>
      <c r="R100" s="11"/>
      <c r="S100" s="45"/>
      <c r="T100" s="45"/>
      <c r="U100" s="45"/>
      <c r="V100" s="45"/>
      <c r="W100" s="570"/>
      <c r="X100" s="45"/>
    </row>
    <row r="101" spans="1:24" ht="17.5" hidden="1" customHeight="1">
      <c r="A101" s="4"/>
      <c r="B101" s="7"/>
      <c r="C101" s="7"/>
      <c r="D101" s="7"/>
      <c r="E101" s="4"/>
      <c r="F101" s="2227" t="s">
        <v>346</v>
      </c>
      <c r="G101" s="2228"/>
      <c r="H101" s="2222"/>
      <c r="I101" s="2222"/>
      <c r="J101" s="2256"/>
      <c r="L101" s="1661"/>
      <c r="M101" s="1661"/>
      <c r="N101" s="1719">
        <f>IF(AND(Development_Category&lt;&gt;"&lt;select one&gt;",OR(Development_Category="New Construction",Development_Category="Redevelopment",Development_Category="Acquisition and Redevelopment")),0,3)</f>
        <v>0</v>
      </c>
      <c r="O101" s="606">
        <f t="shared" si="3"/>
        <v>0</v>
      </c>
      <c r="P101" s="1669" t="str">
        <f t="shared" si="4"/>
        <v>Not to be included in this RFA</v>
      </c>
      <c r="Q101" s="570"/>
      <c r="R101" s="11"/>
      <c r="S101" s="45"/>
      <c r="T101" s="45"/>
      <c r="U101" s="45"/>
      <c r="V101" s="45"/>
      <c r="W101" s="570"/>
      <c r="X101" s="45"/>
    </row>
    <row r="102" spans="1:24" ht="17.5" customHeight="1">
      <c r="A102" s="4"/>
      <c r="B102" s="7"/>
      <c r="C102" s="7"/>
      <c r="D102" s="7"/>
      <c r="E102" s="4"/>
      <c r="F102" s="2227" t="s">
        <v>347</v>
      </c>
      <c r="G102" s="2228"/>
      <c r="H102" s="2222"/>
      <c r="I102" s="2222"/>
      <c r="J102" s="2256"/>
      <c r="L102" s="1661"/>
      <c r="M102" s="1661"/>
      <c r="N102" s="1701">
        <v>3</v>
      </c>
      <c r="O102" s="606">
        <f t="shared" si="3"/>
        <v>0</v>
      </c>
      <c r="P102" s="1669" t="str">
        <f>CHOOSE(N102+1,"Not to be included in this RFA","A REQUIRED input field for this RFA","An OPTIONAL input field for this RFA","Input is not tracked")</f>
        <v>Input is not tracked</v>
      </c>
      <c r="Q102" s="570"/>
      <c r="R102" s="11"/>
      <c r="S102" s="45"/>
      <c r="T102" s="45"/>
      <c r="U102" s="45"/>
      <c r="V102" s="45"/>
      <c r="W102" s="570"/>
      <c r="X102" s="45"/>
    </row>
    <row r="103" spans="1:24" ht="17.5" customHeight="1">
      <c r="A103" s="4"/>
      <c r="B103" s="7"/>
      <c r="C103" s="7"/>
      <c r="D103" s="7"/>
      <c r="E103" s="4"/>
      <c r="F103" s="2227" t="s">
        <v>348</v>
      </c>
      <c r="G103" s="2228"/>
      <c r="H103" s="2222"/>
      <c r="I103" s="2222"/>
      <c r="J103" s="2256"/>
      <c r="L103" s="1661"/>
      <c r="M103" s="1661"/>
      <c r="N103" s="1701">
        <v>3</v>
      </c>
      <c r="O103" s="606">
        <f t="shared" si="3"/>
        <v>0</v>
      </c>
      <c r="P103" s="1669" t="str">
        <f t="shared" ref="P103:P106" si="5">CHOOSE(N103+1,"Not to be included in this RFA","A REQUIRED input field for this RFA","An OPTIONAL input field for this RFA","Input is not tracked")</f>
        <v>Input is not tracked</v>
      </c>
      <c r="Q103" s="570"/>
      <c r="R103" s="11"/>
      <c r="S103" s="45"/>
      <c r="T103" s="45"/>
      <c r="U103" s="45"/>
      <c r="V103" s="45"/>
      <c r="W103" s="570"/>
      <c r="X103" s="45"/>
    </row>
    <row r="104" spans="1:24" ht="17.5" customHeight="1" thickBot="1">
      <c r="A104" s="4"/>
      <c r="B104" s="7"/>
      <c r="C104" s="7"/>
      <c r="D104" s="7"/>
      <c r="E104" s="4"/>
      <c r="F104" s="2261" t="s">
        <v>349</v>
      </c>
      <c r="G104" s="2262"/>
      <c r="H104" s="2223"/>
      <c r="I104" s="2223"/>
      <c r="J104" s="2268"/>
      <c r="L104" s="1661"/>
      <c r="M104" s="1661"/>
      <c r="N104" s="1701">
        <v>3</v>
      </c>
      <c r="O104" s="606">
        <f t="shared" si="3"/>
        <v>0</v>
      </c>
      <c r="P104" s="1669" t="str">
        <f t="shared" si="5"/>
        <v>Input is not tracked</v>
      </c>
      <c r="Q104" s="570"/>
      <c r="R104" s="11"/>
      <c r="S104" s="45"/>
      <c r="T104" s="45"/>
      <c r="U104" s="45"/>
      <c r="V104" s="45"/>
      <c r="W104" s="570"/>
      <c r="X104" s="45"/>
    </row>
    <row r="105" spans="1:24" ht="17.5" hidden="1" customHeight="1">
      <c r="A105" s="4"/>
      <c r="B105" s="7"/>
      <c r="C105" s="7"/>
      <c r="D105" s="7"/>
      <c r="E105" s="4"/>
      <c r="F105" s="2224" t="s">
        <v>350</v>
      </c>
      <c r="G105" s="2225"/>
      <c r="H105" s="2226"/>
      <c r="I105" s="2226"/>
      <c r="J105" s="2255">
        <f>H128</f>
        <v>0</v>
      </c>
      <c r="L105" s="1661"/>
      <c r="M105" s="1661"/>
      <c r="N105" s="1719">
        <f>IF(AND(Development_Category&lt;&gt;"&lt;select one&gt;",OR(Development_Category="New Construction",Development_Category="Redevelopment",Development_Category="Acquisition and Redevelopment")),0,3)</f>
        <v>0</v>
      </c>
      <c r="O105" s="606">
        <f t="shared" si="3"/>
        <v>0</v>
      </c>
      <c r="P105" s="1669" t="str">
        <f t="shared" si="5"/>
        <v>Not to be included in this RFA</v>
      </c>
      <c r="Q105" s="570"/>
      <c r="R105" s="11"/>
      <c r="S105" s="45"/>
      <c r="T105" s="45"/>
      <c r="U105" s="45"/>
      <c r="V105" s="45"/>
      <c r="W105" s="570"/>
      <c r="X105" s="45"/>
    </row>
    <row r="106" spans="1:24" ht="17.5" hidden="1" customHeight="1">
      <c r="A106" s="4"/>
      <c r="B106" s="7"/>
      <c r="C106" s="7"/>
      <c r="D106" s="7"/>
      <c r="E106" s="4"/>
      <c r="F106" s="2227" t="s">
        <v>351</v>
      </c>
      <c r="G106" s="2228"/>
      <c r="H106" s="2222"/>
      <c r="I106" s="2222"/>
      <c r="J106" s="2256"/>
      <c r="L106" s="1661"/>
      <c r="M106" s="1661"/>
      <c r="N106" s="1719">
        <f>IF(AND(Development_Category&lt;&gt;"&lt;select one&gt;",OR(Development_Category="New Construction",Development_Category="Redevelopment",Development_Category="Acquisition and Redevelopment")),0,3)</f>
        <v>0</v>
      </c>
      <c r="O106" s="606">
        <f t="shared" si="3"/>
        <v>0</v>
      </c>
      <c r="P106" s="1669" t="str">
        <f t="shared" si="5"/>
        <v>Not to be included in this RFA</v>
      </c>
      <c r="Q106" s="570"/>
      <c r="R106" s="11"/>
      <c r="S106" s="45"/>
      <c r="T106" s="45"/>
      <c r="U106" s="45"/>
      <c r="V106" s="45"/>
      <c r="W106" s="570"/>
      <c r="X106" s="45"/>
    </row>
    <row r="107" spans="1:24" ht="17.5" hidden="1" customHeight="1">
      <c r="A107" s="4"/>
      <c r="B107" s="7"/>
      <c r="C107" s="7"/>
      <c r="D107" s="7"/>
      <c r="E107" s="3"/>
      <c r="F107" s="2227" t="s">
        <v>352</v>
      </c>
      <c r="G107" s="2228"/>
      <c r="H107" s="2222"/>
      <c r="I107" s="2222"/>
      <c r="J107" s="2256"/>
      <c r="L107" s="1661"/>
      <c r="M107" s="1661"/>
      <c r="P107" s="561">
        <v>0</v>
      </c>
      <c r="Q107" s="570"/>
      <c r="R107" s="11"/>
      <c r="S107" s="45"/>
      <c r="T107" s="45"/>
      <c r="U107" s="45"/>
      <c r="V107" s="45"/>
      <c r="W107" s="570"/>
      <c r="X107" s="45"/>
    </row>
    <row r="108" spans="1:24" ht="17.5" hidden="1" customHeight="1">
      <c r="A108" s="4"/>
      <c r="B108" s="7"/>
      <c r="C108" s="7"/>
      <c r="D108" s="7"/>
      <c r="E108" s="4"/>
      <c r="F108" s="2227" t="s">
        <v>353</v>
      </c>
      <c r="G108" s="2228"/>
      <c r="H108" s="2222"/>
      <c r="I108" s="2222"/>
      <c r="J108" s="2256"/>
      <c r="L108" s="1661"/>
      <c r="M108" s="1661"/>
      <c r="Q108" s="570"/>
      <c r="R108" s="11"/>
      <c r="S108" s="45"/>
      <c r="T108" s="45"/>
      <c r="U108" s="45"/>
      <c r="V108" s="45"/>
      <c r="W108" s="570"/>
      <c r="X108" s="45"/>
    </row>
    <row r="109" spans="1:24" ht="17.5" hidden="1" customHeight="1">
      <c r="A109" s="4"/>
      <c r="B109" s="7"/>
      <c r="C109" s="7"/>
      <c r="D109" s="7"/>
      <c r="E109" s="4"/>
      <c r="F109" s="2227" t="s">
        <v>354</v>
      </c>
      <c r="G109" s="2228"/>
      <c r="H109" s="2222"/>
      <c r="I109" s="2222"/>
      <c r="J109" s="2256"/>
      <c r="L109" s="1661"/>
      <c r="M109" s="1661"/>
      <c r="Q109" s="570"/>
      <c r="R109" s="11"/>
      <c r="S109" s="45"/>
      <c r="T109" s="45"/>
      <c r="U109" s="45"/>
      <c r="V109" s="45"/>
      <c r="W109" s="570"/>
      <c r="X109" s="45"/>
    </row>
    <row r="110" spans="1:24" s="3" customFormat="1" ht="17.5" hidden="1" customHeight="1">
      <c r="E110" s="54"/>
      <c r="F110" s="2227" t="s">
        <v>355</v>
      </c>
      <c r="G110" s="2228"/>
      <c r="H110" s="2222"/>
      <c r="I110" s="2222"/>
      <c r="J110" s="2256"/>
      <c r="L110" s="11"/>
      <c r="Q110" s="570"/>
      <c r="R110" s="11"/>
      <c r="W110" s="570"/>
    </row>
    <row r="111" spans="1:24" s="3" customFormat="1" ht="17.5" hidden="1" customHeight="1" thickBot="1">
      <c r="E111" s="54"/>
      <c r="F111" s="2264" t="s">
        <v>356</v>
      </c>
      <c r="G111" s="2265"/>
      <c r="H111" s="2266"/>
      <c r="I111" s="2266"/>
      <c r="J111" s="2256"/>
      <c r="L111" s="1638"/>
      <c r="M111" s="1638"/>
      <c r="N111" s="89"/>
      <c r="O111" s="89"/>
      <c r="Q111" s="570"/>
      <c r="R111" s="11"/>
      <c r="W111" s="570"/>
    </row>
    <row r="112" spans="1:24" s="3" customFormat="1" ht="17.5" customHeight="1" thickTop="1" thickBot="1">
      <c r="E112" s="54"/>
      <c r="F112" s="2259" t="s">
        <v>763</v>
      </c>
      <c r="G112" s="2260"/>
      <c r="H112" s="2257">
        <f>SUM(H95:I111)</f>
        <v>0</v>
      </c>
      <c r="I112" s="2258"/>
      <c r="J112" s="1654">
        <f>SUM(J95:J111)</f>
        <v>0</v>
      </c>
      <c r="L112" s="11"/>
      <c r="M112" s="11"/>
      <c r="N112" s="89"/>
      <c r="O112" s="89"/>
      <c r="Q112" s="572"/>
      <c r="R112" s="11"/>
      <c r="W112" s="572"/>
    </row>
    <row r="113" spans="1:17" s="3" customFormat="1" ht="10.4" customHeight="1">
      <c r="E113" s="54"/>
      <c r="F113" s="1193"/>
      <c r="G113" s="43"/>
      <c r="H113" s="43"/>
      <c r="I113" s="43"/>
      <c r="J113" s="43"/>
      <c r="K113" s="43"/>
      <c r="L113" s="11"/>
      <c r="M113" s="89"/>
      <c r="N113" s="89"/>
      <c r="O113" s="89"/>
    </row>
    <row r="114" spans="1:17" s="3" customFormat="1" ht="35.15" customHeight="1">
      <c r="B114" s="1657"/>
      <c r="C114" s="1656"/>
      <c r="D114" s="2183" t="str">
        <f>IF(SUM(H95:H111)=Total_Units,"The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14" s="2183"/>
      <c r="F114" s="2183"/>
      <c r="G114" s="2183"/>
      <c r="H114" s="2183"/>
      <c r="I114" s="2183"/>
      <c r="J114" s="2183"/>
      <c r="K114" s="2183"/>
      <c r="L114" s="11"/>
      <c r="M114" s="89"/>
      <c r="N114" s="89"/>
      <c r="O114" s="89"/>
    </row>
    <row r="115" spans="1:17" s="3" customFormat="1" ht="35.15" customHeight="1">
      <c r="B115" s="1657"/>
      <c r="C115" s="1657"/>
      <c r="D115" s="2183" t="str">
        <f>IF(OR(Demographic="&lt;select one&gt;",Development_Category="&lt;select one&gt;"),"This area intentionally left blank.",IF(Demographic="Elderly Non-ALF",IF(OR(Development_Category="Rehabilitation",Development_Category="Acquisition and Rehabilitation",Development_Category="Preservation",Development_Category="Acquisition and Preservation"),Data1!$G$506,IF(OR(Development_Category="New Construction",Development_Category="Redevelopment",Development_Category="Acquisition and Redevelopment"),Data1!$G$508,"The Development Category selected does not have a minimum for 0 and 1 bedroom units for the selected Demographic Commitment.")),IF(Demographic="Elderly ALF",Data1!$G$510,IF(Demographic="Family",Data1!$G$511,IF(Demographic="Homeless",Data1!$G$512,IF(Demographic="Farmworker/Commercial Fish Worker",Data1!$G$516,IF(OR(Demographic="Persons with a Disabling Condition",Demographic="Persons with Developmental Disabilities"),Data1!$G$518,IF(Demographic="Persons with Special Needs",Data1!$G$521,""))))))))</f>
        <v>This area intentionally left blank.</v>
      </c>
      <c r="E115" s="2183"/>
      <c r="F115" s="2183"/>
      <c r="G115" s="2183"/>
      <c r="H115" s="2183"/>
      <c r="I115" s="2183"/>
      <c r="J115" s="2183"/>
      <c r="K115" s="2183"/>
      <c r="L115" s="11"/>
      <c r="M115" s="89"/>
      <c r="N115" s="89"/>
      <c r="O115" s="89"/>
    </row>
    <row r="116" spans="1:17" s="3" customFormat="1" ht="35.15" customHeight="1">
      <c r="A116" s="1658"/>
      <c r="B116" s="1657"/>
      <c r="C116" s="1657"/>
      <c r="D116" s="2183" t="str">
        <f>IF(OR(Demographic="&lt;select one&gt;",Development_Category="&lt;select one&gt;"),IF(D115="This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ALF","",IF(Demographic="Family","",IF(Demographic="Homeless",Data1!$G$513,IF(Demographic="Farmworker/Commercial Fish Worker","",IF(OR(Demographic="Persons with a Disabling Condition",Demographic="Persons with Developmental Disabilities"),Data1!$G$519,IF(Demographic="Persons with Special Needs","",""))))))))</f>
        <v/>
      </c>
      <c r="E116" s="2183"/>
      <c r="F116" s="2183"/>
      <c r="G116" s="2183"/>
      <c r="H116" s="2183"/>
      <c r="I116" s="2183"/>
      <c r="J116" s="2183"/>
      <c r="K116" s="2183"/>
      <c r="L116" s="1655"/>
      <c r="M116" s="380"/>
      <c r="N116" s="380"/>
      <c r="O116" s="380"/>
      <c r="P116" s="380"/>
      <c r="Q116" s="380"/>
    </row>
    <row r="117" spans="1:17" s="3" customFormat="1" ht="35.15" customHeight="1">
      <c r="B117" s="1657"/>
      <c r="C117" s="1657"/>
      <c r="D117" s="2183" t="str">
        <f>IF(Demographic="&lt;select one&gt;",IF(D116="This area intentionally left blank.","","This area intentionally left blank."),IF(Demographic="Elderly Non-ALF",Data1!$G$509,IF(Demographic="Elderly ALF",IF(D116="This area intentionally left blank.","","This area intentionally left blank."),IF(Demographic="Family",IF(D116="This area intentionally left blank.","","This area intentionally left blank."),IF(Demographic="Homeless",Data1!$G$514,IF(Demographic="Farmworker/Commercial Fish Worker",IF(D116="This area intentionally left blank.","","This area intentionally left blank."),IF(OR(Demographic="Persons with a Disabling Condition",Demographic="Persons with Developmental Disabilities"),IF(D116="This area intentionally left blank.","","This area intentionally left blank."),IF(Demographic="Persons with Special Needs",Data1!$G$522,IF(D116="This area intentionally left blank.","","This area intentionally left blank.")))))))))</f>
        <v>This area intentionally left blank.</v>
      </c>
      <c r="E117" s="2183"/>
      <c r="F117" s="2183"/>
      <c r="G117" s="2183"/>
      <c r="H117" s="2183"/>
      <c r="I117" s="2183"/>
      <c r="J117" s="2183"/>
      <c r="K117" s="2183"/>
      <c r="L117" s="11"/>
      <c r="M117" s="89"/>
      <c r="N117" s="89"/>
      <c r="O117" s="89"/>
    </row>
    <row r="118" spans="1:17" s="3" customFormat="1" ht="35.15" customHeight="1">
      <c r="B118" s="1657"/>
      <c r="C118" s="1657"/>
      <c r="D118" s="2221" t="str">
        <f>IF(Demographic="&lt;select one&gt;",IF(D117="This area intentionally left blank.","","This area intentionally left blank."),IF(Demographic="Elderly Non-ALF",IF(D117="This area intentionally left blank.","","This area intentionally left blank."),IF(Demographic="Elderly ALF",IF(D117="This area intentionally left blank.","","This area intentionally left blank."),IF(Demographic="Family",IF(D117="This area intentionally left blank.","","This area intentionally left blank."),IF(Demographic="Homeless",IF(Data1!B515&gt;=2,Data1!G515,IF(D117="This area intentionally left blank.","","This area intentionally left blank.")),IF(Demographic="Farmworker/Commercial Fish Worker",IF(Data1!B517&gt;=2,Data1!G517,IF(D117="This area intentionally left blank.","","This area intentionally left blank.")),IF(OR(Demographic="Persons with a Disabling Condition",Demographic="Persons with Developmental Disabilities"),IF(Data1!B520&gt;=2,Data1!G520,IF(D117="This area intentionally left blank.","","This area intentionally left blank.")),IF(Demographic="Persons with Special Needs",IF(Data1!B523&gt;=2,Data1!G523,IF(D117="This area intentionally left blank.","","This area intentionally left blank.")),IF(D117="This area intentionally left blank.","","This area intentionally left blank.")))))))))</f>
        <v/>
      </c>
      <c r="E118" s="2221"/>
      <c r="F118" s="2221"/>
      <c r="G118" s="2221"/>
      <c r="H118" s="2221"/>
      <c r="I118" s="2221"/>
      <c r="J118" s="2221"/>
      <c r="K118" s="2221"/>
      <c r="L118" s="11"/>
      <c r="M118" s="89"/>
      <c r="N118" s="89"/>
      <c r="O118" s="89"/>
    </row>
    <row r="119" spans="1:17" s="3" customFormat="1" ht="17.5" customHeight="1">
      <c r="E119" s="54"/>
      <c r="F119" s="2183"/>
      <c r="G119" s="2183"/>
      <c r="H119" s="2183"/>
      <c r="I119" s="2183"/>
      <c r="J119" s="2183"/>
      <c r="K119" s="2183"/>
      <c r="L119" s="11"/>
      <c r="M119" s="89"/>
      <c r="N119" s="89"/>
      <c r="O119" s="89"/>
    </row>
    <row r="120" spans="1:17" s="3" customFormat="1" ht="17.5" customHeight="1">
      <c r="E120" s="1662" t="s">
        <v>1842</v>
      </c>
      <c r="F120" s="1652"/>
      <c r="G120" s="1652"/>
      <c r="H120" s="1652"/>
      <c r="I120" s="50"/>
      <c r="J120" s="1652"/>
      <c r="K120" s="1652"/>
      <c r="L120" s="11"/>
      <c r="M120" s="89"/>
      <c r="N120" s="89"/>
      <c r="O120" s="89"/>
    </row>
    <row r="121" spans="1:17" s="3" customFormat="1" ht="17.5" customHeight="1">
      <c r="F121" s="380"/>
      <c r="G121" s="528" t="str">
        <f>"ELI Commitment"&amp;IF(I121=0,"","s")&amp;":"</f>
        <v>ELI Commitment:</v>
      </c>
      <c r="H121" s="1682">
        <f>IF(OR(Minimum_SetAside_per_Sec_42=Data1!A422,Minimum_SetAside_per_Sec_42=Data1!A423,Minimum_SetAside_per_Sec_42=Data1!A425),MAX(IF(AND('General Information'!K34&lt;&gt;0,Self_Sourced_Applicant="Yes"),MAX(SUMIF(I20:I26,"&lt;="&amp;IFERROR(VLOOKUP(County,DS_CountyData,14),0),G20:G26),DS_Min_ELI_NonAIT_SS+IF(Data1!B460="Yes",DS_Min_ELI_NonAIT_Buy_SS,0)),DS_Min_ELI_NonAIT_NSS+IF(Data1!B460="Yes",DS_Min_ELI_NonAIT_Buy_NSS,0)),SUMIF(I20:I26,"&lt;="&amp;IFERROR(VLOOKUP(County,DS_CountyData,14),0),G20:G26)),IF(Minimum_SetAside_per_Sec_42="Average Income Test",MAX(IF(AND('General Information'!K34&lt;&gt;0,Self_Sourced_Applicant="Yes"),DS_Min_ELI_AIT_SS+IF(Data1!B460="Yes",DS_Min_ELI_AIT_Buy_SS,0),DS_Min_ELI_AIT_NSS+IF(Data1!B460="Yes",DS_Min_ELI_AIT_Buy_NSS,0)),G39+G40),0))</f>
        <v>0</v>
      </c>
      <c r="I121" s="1682">
        <f>IF(Funding!L52=1,IF(OR(LEFT(Minimum_SetAside_per_Sec_42,3)="20%",LEFT(Minimum_SetAside_per_Sec_42,3)="40%",Minimum_SetAside_per_Sec_42=Data1!A425),IF(Self_Sourced_Applicant="Yes",MIN(DS_Min_ELI_NonAIT_Buy_SS,SUMIF(I20:I28,"&lt;="&amp;IFERROR(VLOOKUP(County,DS_CountyData,14),0),G20:G28)),DS_Min_ELI_NonAIT_Buy_NSS),IF(Minimum_SetAside_per_Sec_42="Average Income Test",IF(Self_Sourced_Applicant="Yes",MAX(0,MIN(DS_Min_ELI_AIT_Buy_SS,G39+G40-IF(G41&gt;=Data1!B476,0,Data1!B476-G41))),DS_Min_ELI_AIT_Buy_NSS),0)),0)</f>
        <v>0</v>
      </c>
      <c r="L121" s="1537"/>
      <c r="P121" s="561">
        <v>1</v>
      </c>
    </row>
    <row r="122" spans="1:17" s="3" customFormat="1" ht="17.5" customHeight="1">
      <c r="D122" s="526"/>
      <c r="E122" s="526"/>
      <c r="F122" s="527" t="s">
        <v>827</v>
      </c>
      <c r="G122" s="521" t="s">
        <v>677</v>
      </c>
      <c r="H122" s="521" t="s">
        <v>829</v>
      </c>
      <c r="I122" s="521" t="s">
        <v>831</v>
      </c>
      <c r="J122" s="521" t="s">
        <v>828</v>
      </c>
      <c r="K122" s="523" t="s">
        <v>830</v>
      </c>
      <c r="L122" s="1537"/>
      <c r="M122"/>
      <c r="P122" s="1304" t="str">
        <f>IF(P121=0,"Be sure the 8 ""DS_Min_ELI_..."" named ranges are zero","")</f>
        <v/>
      </c>
    </row>
    <row r="123" spans="1:17" s="3" customFormat="1" ht="5.15" customHeight="1">
      <c r="D123" s="526"/>
      <c r="E123" s="526"/>
      <c r="F123" s="532"/>
      <c r="G123" s="533"/>
      <c r="H123" s="534"/>
      <c r="I123" s="534"/>
      <c r="J123" s="539"/>
      <c r="K123" s="535"/>
      <c r="L123" s="1537"/>
    </row>
    <row r="124" spans="1:17" s="3" customFormat="1" ht="17.5" customHeight="1">
      <c r="D124" s="501"/>
      <c r="E124" s="71"/>
      <c r="F124" s="536">
        <v>0</v>
      </c>
      <c r="G124" s="795">
        <f>Zero_Bed_One_Bath_Total_Units</f>
        <v>0</v>
      </c>
      <c r="H124" s="795">
        <f>ROUNDUP(SUM($G$123:$G124)*H$121,0)-SUM(H$123:H123)</f>
        <v>0</v>
      </c>
      <c r="I124" s="795">
        <f>(ROUNDUP(SUM($G$123:$G124)*H$121,0)-ROUNDUP(SUM($G$123:$G124)*(H$121-I$121),0))-SUM(I$123:I123)</f>
        <v>0</v>
      </c>
      <c r="J124" s="537">
        <f>IFERROR(VLOOKUP(County,DS_CountyData,7+F124),0)</f>
        <v>0</v>
      </c>
      <c r="K124" s="538">
        <f>I124*J124</f>
        <v>0</v>
      </c>
      <c r="L124" s="1537"/>
      <c r="N124" s="2221" t="s">
        <v>1855</v>
      </c>
      <c r="O124" s="2221"/>
      <c r="P124" s="2221"/>
      <c r="Q124" s="2221"/>
    </row>
    <row r="125" spans="1:17" s="3" customFormat="1" ht="17.5" customHeight="1">
      <c r="D125" s="501"/>
      <c r="E125" s="71"/>
      <c r="F125" s="529">
        <v>1</v>
      </c>
      <c r="G125" s="796">
        <f>One_Bed_One_Bath_Total_Units</f>
        <v>0</v>
      </c>
      <c r="H125" s="795">
        <f>ROUNDUP(SUM($G$123:$G125)*H$121,0)-SUM(H$123:H124)</f>
        <v>0</v>
      </c>
      <c r="I125" s="795">
        <f>(ROUNDUP(SUM($G$123:$G125)*H$121,0)-ROUNDUP(SUM($G$123:$G125)*(H$121-I$121),0))-SUM(I$123:I124)</f>
        <v>0</v>
      </c>
      <c r="J125" s="520">
        <f>IFERROR(VLOOKUP(County,DS_CountyData,7+F125),0)</f>
        <v>0</v>
      </c>
      <c r="K125" s="522">
        <f>I125*J125</f>
        <v>0</v>
      </c>
      <c r="L125" s="1537"/>
      <c r="N125" s="2221"/>
      <c r="O125" s="2221"/>
      <c r="P125" s="2221"/>
      <c r="Q125" s="2221"/>
    </row>
    <row r="126" spans="1:17" s="3" customFormat="1" ht="17.5" customHeight="1">
      <c r="D126" s="501"/>
      <c r="E126" s="71"/>
      <c r="F126" s="529">
        <v>2</v>
      </c>
      <c r="G126" s="796">
        <f>SUM(H97:I99)</f>
        <v>0</v>
      </c>
      <c r="H126" s="795">
        <f>ROUNDUP(SUM($G$123:$G126)*H$121,0)-SUM(H$123:H125)</f>
        <v>0</v>
      </c>
      <c r="I126" s="795">
        <f>(ROUNDUP(SUM($G$123:$G126)*H$121,0)-ROUNDUP(SUM($G$123:$G126)*(H$121-I$121),0))-SUM(I$123:I125)</f>
        <v>0</v>
      </c>
      <c r="J126" s="520">
        <f>IFERROR(VLOOKUP(County,DS_CountyData,7+F126),0)</f>
        <v>0</v>
      </c>
      <c r="K126" s="522">
        <f>I126*J126</f>
        <v>0</v>
      </c>
      <c r="L126" s="1537"/>
      <c r="N126" s="2221"/>
      <c r="O126" s="2221"/>
      <c r="P126" s="2221"/>
      <c r="Q126" s="2221"/>
    </row>
    <row r="127" spans="1:17" s="3" customFormat="1" ht="17.5" customHeight="1">
      <c r="D127" s="501"/>
      <c r="E127" s="71"/>
      <c r="F127" s="529">
        <v>3</v>
      </c>
      <c r="G127" s="796">
        <f>SUM(H100:I104)</f>
        <v>0</v>
      </c>
      <c r="H127" s="795">
        <f>ROUNDUP(SUM($G$123:$G127)*H$121,0)-SUM(H$123:H126)</f>
        <v>0</v>
      </c>
      <c r="I127" s="795">
        <f>(ROUNDUP(SUM($G$123:$G127)*H$121,0)-ROUNDUP(SUM($G$123:$G127)*(H$121-I$121),0))-SUM(I$123:I126)</f>
        <v>0</v>
      </c>
      <c r="J127" s="520">
        <f>IFERROR(VLOOKUP(County,DS_CountyData,7+F127),0)</f>
        <v>0</v>
      </c>
      <c r="K127" s="522">
        <f>I127*J127</f>
        <v>0</v>
      </c>
      <c r="L127" s="1537"/>
    </row>
    <row r="128" spans="1:17" s="3" customFormat="1" ht="17.5" customHeight="1">
      <c r="D128" s="501"/>
      <c r="E128" s="71"/>
      <c r="F128" s="529">
        <v>4</v>
      </c>
      <c r="G128" s="796">
        <f>SUM(H105:I111)</f>
        <v>0</v>
      </c>
      <c r="H128" s="795">
        <f>ROUNDUP(SUM($G$123:$G128)*H$121,0)-SUM(H$123:H127)</f>
        <v>0</v>
      </c>
      <c r="I128" s="795">
        <f>(ROUNDUP(SUM($G$123:$G128)*H$121,0)-ROUNDUP(SUM($G$123:$G128)*(H$121-I$121),0))-SUM(I$123:I127)</f>
        <v>0</v>
      </c>
      <c r="J128" s="520">
        <f>IFERROR(VLOOKUP(County,DS_CountyData,7+F128),0)</f>
        <v>0</v>
      </c>
      <c r="K128" s="522">
        <f>I128*J128</f>
        <v>0</v>
      </c>
      <c r="L128" s="1537"/>
    </row>
    <row r="129" spans="1:16" s="3" customFormat="1" ht="5.15" customHeight="1" thickBot="1">
      <c r="D129" s="501"/>
      <c r="E129" s="71"/>
      <c r="F129" s="540"/>
      <c r="G129" s="383"/>
      <c r="H129" s="383"/>
      <c r="I129" s="383"/>
      <c r="J129" s="519"/>
      <c r="K129" s="541"/>
      <c r="L129" s="1537"/>
    </row>
    <row r="130" spans="1:16" s="3" customFormat="1" ht="17.5" customHeight="1" thickTop="1">
      <c r="D130" s="17"/>
      <c r="E130" s="71"/>
      <c r="F130" s="530" t="s">
        <v>763</v>
      </c>
      <c r="G130" s="794">
        <f>SUM(G124:G128)</f>
        <v>0</v>
      </c>
      <c r="H130" s="794">
        <f>SUM(H124:H128)</f>
        <v>0</v>
      </c>
      <c r="I130" s="794">
        <f>SUM(I124:I128)</f>
        <v>0</v>
      </c>
      <c r="J130" s="1677"/>
      <c r="K130" s="531">
        <f>SUM(K124:K128)</f>
        <v>0</v>
      </c>
    </row>
    <row r="131" spans="1:16" s="3" customFormat="1" ht="17.5" customHeight="1">
      <c r="E131" s="54"/>
      <c r="F131" s="2267" t="str">
        <f>IF(SUM(K124:K128)&gt;DS_ELI_PD,"The funding tab will limit the request amount to the Per Development Limit of "&amp;TEXT(DS_ELI_PD,"$#,##0")&amp;".","")</f>
        <v/>
      </c>
      <c r="G131" s="2267"/>
      <c r="H131" s="2267"/>
      <c r="I131" s="2267"/>
      <c r="J131" s="2267"/>
      <c r="K131" s="2267"/>
      <c r="L131" s="1670"/>
      <c r="M131" s="89"/>
      <c r="N131" s="89"/>
      <c r="O131" s="89"/>
    </row>
    <row r="132" spans="1:16" ht="14.5" customHeight="1">
      <c r="A132" s="612" t="str" cm="1">
        <f t="array" ref="A132">CHAR(CODE(LOOKUP(2,1/(COUNTIF(A$3:A130,"&gt;"&amp;A$3:A130&amp;"*")=0),A$3:A130))+1)</f>
        <v>d</v>
      </c>
      <c r="B132" s="2131" t="s">
        <v>357</v>
      </c>
      <c r="C132" s="2131"/>
      <c r="D132" s="2131"/>
      <c r="E132" s="2131"/>
      <c r="F132" s="2131"/>
      <c r="G132" s="2131"/>
      <c r="H132" s="4"/>
      <c r="I132" s="4"/>
      <c r="J132" s="4"/>
      <c r="K132" s="4"/>
      <c r="L132" s="1537"/>
      <c r="M132" s="89"/>
      <c r="N132" s="89"/>
      <c r="O132" s="89"/>
    </row>
    <row r="133" spans="1:16" ht="17.5" customHeight="1">
      <c r="A133" s="4"/>
      <c r="B133" s="153" t="s">
        <v>358</v>
      </c>
      <c r="D133" s="159"/>
      <c r="E133" s="153"/>
      <c r="F133" s="153"/>
      <c r="G133" s="875"/>
      <c r="H133" s="1429"/>
      <c r="J133" s="4"/>
      <c r="K133" s="4"/>
      <c r="L133" s="14"/>
      <c r="M133" s="53"/>
      <c r="N133" s="569">
        <v>1</v>
      </c>
      <c r="O133" s="395">
        <f>IF(AND(N133&lt;&gt;0,H133&lt;&gt;""),N133,0)</f>
        <v>0</v>
      </c>
      <c r="P133" s="621" t="str">
        <f>CHOOSE(N133+1,"Not to be included in this RFA","A REQUIRED input field for this RFA","An OPTIONAL input field for this RFA")</f>
        <v>A REQUIRED input field for this RFA</v>
      </c>
    </row>
    <row r="134" spans="1:16" ht="10.4" customHeight="1">
      <c r="A134" s="4"/>
      <c r="B134" s="4"/>
      <c r="C134" s="4"/>
      <c r="D134" s="4"/>
      <c r="E134" s="4"/>
      <c r="F134" s="4"/>
      <c r="G134" s="4"/>
      <c r="H134" s="4"/>
      <c r="I134" s="4"/>
      <c r="J134" s="4"/>
      <c r="K134" s="4"/>
      <c r="L134" s="14"/>
    </row>
    <row r="135" spans="1:16">
      <c r="A135" s="612" t="str" cm="1">
        <f t="array" ref="A135">CHAR(CODE(LOOKUP(2,1/(COUNTIF(A$3:A134,"&gt;"&amp;A$3:A134&amp;"*")=0),A$3:A134))+1)</f>
        <v>e</v>
      </c>
      <c r="B135" s="169" t="s">
        <v>359</v>
      </c>
      <c r="C135" s="4"/>
      <c r="D135" s="4"/>
      <c r="E135" s="4"/>
      <c r="F135" s="4"/>
      <c r="G135" s="4"/>
      <c r="H135" s="4"/>
      <c r="I135" s="4"/>
      <c r="J135" s="4"/>
      <c r="K135" s="4"/>
      <c r="L135" s="14"/>
    </row>
    <row r="136" spans="1:16" ht="30" customHeight="1">
      <c r="A136" s="4"/>
      <c r="B136" s="2231" t="str">
        <f>"All "&amp;IF(N138=0,"","Non-Self-Sourced ")&amp;"Applicants are required to set aside the units for this number of years, as further described in Section Four of the RFA."</f>
        <v>All Applicants are required to set aside the units for this number of years, as further described in Section Four of the RFA.</v>
      </c>
      <c r="C136" s="2231"/>
      <c r="D136" s="2231"/>
      <c r="E136" s="2231"/>
      <c r="F136" s="2231"/>
      <c r="G136" s="2231"/>
      <c r="H136" s="2231"/>
      <c r="I136" s="2231"/>
      <c r="J136" s="2231"/>
      <c r="K136" s="1607">
        <f>Data1!B461</f>
        <v>30</v>
      </c>
      <c r="L136" s="14"/>
    </row>
    <row r="137" spans="1:16" ht="10.4" customHeight="1">
      <c r="A137" s="4"/>
      <c r="B137" s="4"/>
      <c r="C137" s="4"/>
      <c r="D137" s="4"/>
      <c r="E137" s="4"/>
      <c r="F137" s="4"/>
      <c r="G137" s="4"/>
      <c r="H137" s="4"/>
      <c r="I137" s="4"/>
      <c r="J137" s="4"/>
      <c r="K137" s="4"/>
      <c r="L137" s="14"/>
    </row>
    <row r="138" spans="1:16" ht="30" hidden="1" customHeight="1">
      <c r="B138" s="2232" t="s">
        <v>1800</v>
      </c>
      <c r="C138" s="2232"/>
      <c r="D138" s="2232"/>
      <c r="E138" s="2232"/>
      <c r="F138" s="2232"/>
      <c r="G138" s="2232"/>
      <c r="H138" s="2232"/>
      <c r="I138" s="2232"/>
      <c r="J138" s="2232"/>
      <c r="K138" s="1606"/>
      <c r="L138" s="14"/>
      <c r="N138" s="1711">
        <f>IF('General Information'!K34=0,0,IF(Self_Sourced_Applicant="Yes",1,3))</f>
        <v>0</v>
      </c>
      <c r="O138" s="395">
        <f>IF(AND(N138&lt;&gt;0,AND(C138&lt;&gt;"&lt;select one&gt;",C138&lt;&gt;"")),N138,0)</f>
        <v>0</v>
      </c>
      <c r="P138" s="1595" t="str">
        <f>CHOOSE(N138+1,"Not to be included in this RFA","A REQUIRED input field for this RFA","An OPTIONAL input field for this RFA","No response is expected")</f>
        <v>Not to be included in this RFA</v>
      </c>
    </row>
    <row r="139" spans="1:16" ht="30" hidden="1" customHeight="1">
      <c r="B139" s="1603"/>
      <c r="C139" s="2232" t="str">
        <f>IF(N138=0,"",IF(AND(Self_Sourced_Applicant&lt;&gt;"Yes",'Units, Set-Asides, Bldgs'!$K138&lt;&gt;""),"The Applicant did not indicate it was a Self-Sourced Applicant.",IF(AND(Self_Sourced_Applicant="Yes",'Units, Set-Asides, Bldgs'!$K138=""),"Without a response to indicate otherwise, the Self-Sourced Applicant is electing the miniumum Compliance Period of 15 years.","")))</f>
        <v/>
      </c>
      <c r="D139" s="2232"/>
      <c r="E139" s="2232"/>
      <c r="F139" s="2232"/>
      <c r="G139" s="2232"/>
      <c r="H139" s="2232"/>
      <c r="I139" s="2232"/>
      <c r="J139" s="2232"/>
      <c r="K139" s="2232"/>
    </row>
    <row r="140" spans="1:16" ht="30" hidden="1" customHeight="1">
      <c r="A140" s="45"/>
      <c r="B140" s="2232" t="s">
        <v>1802</v>
      </c>
      <c r="C140" s="2232"/>
      <c r="D140" s="2232"/>
      <c r="E140" s="2232"/>
      <c r="F140" s="2232"/>
      <c r="G140" s="2232"/>
      <c r="H140" s="2232"/>
      <c r="I140" s="2232"/>
      <c r="J140" s="2232"/>
      <c r="K140" s="1602" t="str">
        <f>IF(Self_Sourced_Applicant&lt;&gt;"Yes","NA",IF(SS_Compliance_Period&gt;=50,4,IF(SS_Compliance_Period&gt;=40,3,IF(SS_Compliance_Period&gt;=30,2,IF(SS_Compliance_Period&gt;=20,1,0)))))</f>
        <v>NA</v>
      </c>
      <c r="N140" s="222"/>
    </row>
    <row r="141" spans="1:16" ht="10.4" hidden="1" customHeight="1"/>
  </sheetData>
  <sheetProtection algorithmName="SHA-512" hashValue="c9wmq4LYTwGlZlidRjmQqmS+gsZ34Xm9ZERRo6C2X/MYXOLuggVRKr4ceFgr1QbA0QL9fJhAqajScRdn+Ib68Q==" saltValue="4c3oSUqc9ZiYS4QBkAz3mg==" spinCount="100000" sheet="1" objects="1" scenarios="1" formatRows="0" selectLockedCells="1"/>
  <mergeCells count="138">
    <mergeCell ref="Q28:Q34"/>
    <mergeCell ref="N4:Q4"/>
    <mergeCell ref="G82:H82"/>
    <mergeCell ref="G84:H84"/>
    <mergeCell ref="G23:H23"/>
    <mergeCell ref="G20:H20"/>
    <mergeCell ref="G22:H22"/>
    <mergeCell ref="G25:H25"/>
    <mergeCell ref="G64:H64"/>
    <mergeCell ref="G65:H65"/>
    <mergeCell ref="G67:H67"/>
    <mergeCell ref="G68:H68"/>
    <mergeCell ref="G48:H48"/>
    <mergeCell ref="G24:H24"/>
    <mergeCell ref="G32:H32"/>
    <mergeCell ref="G27:H27"/>
    <mergeCell ref="J20:J28"/>
    <mergeCell ref="B5:J5"/>
    <mergeCell ref="G46:H46"/>
    <mergeCell ref="G45:H45"/>
    <mergeCell ref="L31:M32"/>
    <mergeCell ref="G47:H47"/>
    <mergeCell ref="D52:K52"/>
    <mergeCell ref="D51:K51"/>
    <mergeCell ref="G44:H44"/>
    <mergeCell ref="H93:I94"/>
    <mergeCell ref="F98:G98"/>
    <mergeCell ref="A1:K1"/>
    <mergeCell ref="D17:J17"/>
    <mergeCell ref="G42:H42"/>
    <mergeCell ref="G30:H30"/>
    <mergeCell ref="G28:H28"/>
    <mergeCell ref="G41:H41"/>
    <mergeCell ref="D36:J36"/>
    <mergeCell ref="G38:H38"/>
    <mergeCell ref="C13:K13"/>
    <mergeCell ref="C6:K6"/>
    <mergeCell ref="B8:J8"/>
    <mergeCell ref="G21:H21"/>
    <mergeCell ref="J39:J43"/>
    <mergeCell ref="B3:J3"/>
    <mergeCell ref="G43:H43"/>
    <mergeCell ref="G31:H31"/>
    <mergeCell ref="G39:H39"/>
    <mergeCell ref="D34:K34"/>
    <mergeCell ref="G40:H40"/>
    <mergeCell ref="H95:I95"/>
    <mergeCell ref="H96:I96"/>
    <mergeCell ref="F131:K131"/>
    <mergeCell ref="J100:J104"/>
    <mergeCell ref="D89:K89"/>
    <mergeCell ref="C4:K4"/>
    <mergeCell ref="J97:J99"/>
    <mergeCell ref="D70:J70"/>
    <mergeCell ref="G66:H66"/>
    <mergeCell ref="F95:G95"/>
    <mergeCell ref="F96:G96"/>
    <mergeCell ref="J93:J94"/>
    <mergeCell ref="J73:J84"/>
    <mergeCell ref="D54:J54"/>
    <mergeCell ref="G56:H56"/>
    <mergeCell ref="G57:H57"/>
    <mergeCell ref="J57:J65"/>
    <mergeCell ref="G58:H58"/>
    <mergeCell ref="G59:H59"/>
    <mergeCell ref="G60:H60"/>
    <mergeCell ref="G61:H61"/>
    <mergeCell ref="G62:H62"/>
    <mergeCell ref="G63:H63"/>
    <mergeCell ref="G26:H26"/>
    <mergeCell ref="G19:H19"/>
    <mergeCell ref="B90:J90"/>
    <mergeCell ref="H112:I112"/>
    <mergeCell ref="H99:I99"/>
    <mergeCell ref="H108:I108"/>
    <mergeCell ref="F112:G112"/>
    <mergeCell ref="F104:G104"/>
    <mergeCell ref="H106:I106"/>
    <mergeCell ref="H107:I107"/>
    <mergeCell ref="F108:G108"/>
    <mergeCell ref="F97:G97"/>
    <mergeCell ref="F99:G99"/>
    <mergeCell ref="F100:G100"/>
    <mergeCell ref="H97:I97"/>
    <mergeCell ref="F101:G101"/>
    <mergeCell ref="F111:G111"/>
    <mergeCell ref="H111:I111"/>
    <mergeCell ref="F107:G107"/>
    <mergeCell ref="H98:I98"/>
    <mergeCell ref="H102:I102"/>
    <mergeCell ref="P28:P29"/>
    <mergeCell ref="B136:J136"/>
    <mergeCell ref="B138:J138"/>
    <mergeCell ref="C139:K139"/>
    <mergeCell ref="B140:J140"/>
    <mergeCell ref="G85:H85"/>
    <mergeCell ref="G86:H86"/>
    <mergeCell ref="G83:H83"/>
    <mergeCell ref="F93:G94"/>
    <mergeCell ref="G87:H87"/>
    <mergeCell ref="G72:H72"/>
    <mergeCell ref="G73:H73"/>
    <mergeCell ref="G29:H29"/>
    <mergeCell ref="G74:H74"/>
    <mergeCell ref="G75:H75"/>
    <mergeCell ref="G76:H76"/>
    <mergeCell ref="G77:H77"/>
    <mergeCell ref="G78:H78"/>
    <mergeCell ref="G79:H79"/>
    <mergeCell ref="G80:H80"/>
    <mergeCell ref="G81:H81"/>
    <mergeCell ref="J44:J45"/>
    <mergeCell ref="J105:J111"/>
    <mergeCell ref="B132:G132"/>
    <mergeCell ref="M1:AF2"/>
    <mergeCell ref="L19:U19"/>
    <mergeCell ref="L38:U38"/>
    <mergeCell ref="N93:Q94"/>
    <mergeCell ref="N124:Q126"/>
    <mergeCell ref="F119:K119"/>
    <mergeCell ref="D114:K114"/>
    <mergeCell ref="D115:K115"/>
    <mergeCell ref="D116:K116"/>
    <mergeCell ref="D117:K117"/>
    <mergeCell ref="D118:K118"/>
    <mergeCell ref="H110:I110"/>
    <mergeCell ref="H104:I104"/>
    <mergeCell ref="F105:G105"/>
    <mergeCell ref="H105:I105"/>
    <mergeCell ref="H100:I100"/>
    <mergeCell ref="F103:G103"/>
    <mergeCell ref="H103:I103"/>
    <mergeCell ref="F106:G106"/>
    <mergeCell ref="H101:I101"/>
    <mergeCell ref="F102:G102"/>
    <mergeCell ref="F109:G109"/>
    <mergeCell ref="H109:I109"/>
    <mergeCell ref="F110:G110"/>
  </mergeCells>
  <conditionalFormatting sqref="K3 G20:H29 F39:F45 G73:H84 H95:I111 H133 K138">
    <cfRule type="cellIs" dxfId="452" priority="2" operator="notEqual">
      <formula>""</formula>
    </cfRule>
  </conditionalFormatting>
  <conditionalFormatting sqref="D34">
    <cfRule type="expression" dxfId="451" priority="48">
      <formula>IFERROR(FIND("Attention:",$D$34),0)&gt;0</formula>
    </cfRule>
  </conditionalFormatting>
  <conditionalFormatting sqref="C4">
    <cfRule type="expression" dxfId="450" priority="14">
      <formula>IFERROR(FIND("Attention",$C$4),0)&gt;0</formula>
    </cfRule>
  </conditionalFormatting>
  <conditionalFormatting sqref="H112:I112">
    <cfRule type="cellIs" dxfId="449" priority="118" operator="notEqual">
      <formula>Total_Units</formula>
    </cfRule>
  </conditionalFormatting>
  <conditionalFormatting sqref="J112">
    <cfRule type="cellIs" dxfId="448" priority="125" operator="notEqual">
      <formula>$H$130</formula>
    </cfRule>
  </conditionalFormatting>
  <conditionalFormatting sqref="I121:K130">
    <cfRule type="expression" dxfId="447" priority="151">
      <formula>$I$121=0</formula>
    </cfRule>
  </conditionalFormatting>
  <conditionalFormatting sqref="A3:K4">
    <cfRule type="expression" dxfId="446" priority="12">
      <formula>$N$3=0</formula>
    </cfRule>
  </conditionalFormatting>
  <conditionalFormatting sqref="A5:K7">
    <cfRule type="expression" dxfId="445" priority="18">
      <formula>$N$6=0</formula>
    </cfRule>
  </conditionalFormatting>
  <conditionalFormatting sqref="A8:K9">
    <cfRule type="expression" dxfId="444" priority="24">
      <formula>$P$8=0</formula>
    </cfRule>
  </conditionalFormatting>
  <conditionalFormatting sqref="B12:K14">
    <cfRule type="expression" dxfId="443" priority="26">
      <formula>$N$13=0</formula>
    </cfRule>
  </conditionalFormatting>
  <conditionalFormatting sqref="B36:K53">
    <cfRule type="expression" dxfId="442" priority="50">
      <formula>$P$36=0</formula>
    </cfRule>
  </conditionalFormatting>
  <conditionalFormatting sqref="C36:K52">
    <cfRule type="expression" dxfId="441" priority="51">
      <formula>AND($C$13&lt;&gt;"&lt;select one&gt;",$C$13&lt;&gt;"Average Income Test")</formula>
    </cfRule>
  </conditionalFormatting>
  <conditionalFormatting sqref="C17:J32">
    <cfRule type="expression" dxfId="440" priority="29">
      <formula>AND($C$13&lt;&gt;"&lt;select one&gt;",$C$13="Average Income Test")</formula>
    </cfRule>
  </conditionalFormatting>
  <conditionalFormatting sqref="G20:G29 G75:G78">
    <cfRule type="expression" dxfId="439" priority="35" stopIfTrue="1">
      <formula>AND($G20&lt;&gt;"",$C$13&lt;&gt;"&lt;select one&gt;",$C$13="Average Income Test")</formula>
    </cfRule>
  </conditionalFormatting>
  <conditionalFormatting sqref="L94">
    <cfRule type="expression" dxfId="438" priority="108">
      <formula>LEFT(RIGHT(L94,28),3)="NOT"</formula>
    </cfRule>
  </conditionalFormatting>
  <conditionalFormatting sqref="D115:D118">
    <cfRule type="expression" dxfId="437" priority="135">
      <formula>LEFT(RIGHT(D115,28),3)="NOT"</formula>
    </cfRule>
  </conditionalFormatting>
  <conditionalFormatting sqref="H100:I111">
    <cfRule type="expression" dxfId="436" priority="6">
      <formula>AND(LEFT(RIGHT($D$118,28),3)="NOT",$H100&gt;0)</formula>
    </cfRule>
  </conditionalFormatting>
  <conditionalFormatting sqref="H95:I96">
    <cfRule type="expression" dxfId="435" priority="110">
      <formula>AND(LEFT(RIGHT($L95,28),3)="NOT",$H95&gt;0)</formula>
    </cfRule>
  </conditionalFormatting>
  <conditionalFormatting sqref="C6:K6 C13:K13">
    <cfRule type="cellIs" dxfId="434" priority="23" operator="notEqual">
      <formula>"&lt;select one&gt;"</formula>
    </cfRule>
  </conditionalFormatting>
  <conditionalFormatting sqref="I20:I26">
    <cfRule type="expression" dxfId="433" priority="39">
      <formula>AND($C$13&lt;&gt;"&lt;select one&gt;",$C$13&lt;&gt;"Average Income Test",$I20&lt;VLOOKUP(County,DS_CountyData,14))</formula>
    </cfRule>
  </conditionalFormatting>
  <conditionalFormatting sqref="I49">
    <cfRule type="expression" dxfId="432" priority="58">
      <formula>AND($C$13="Average Income Test",$I$49&gt;60%)</formula>
    </cfRule>
  </conditionalFormatting>
  <conditionalFormatting sqref="A121:K131">
    <cfRule type="expression" dxfId="431" priority="170">
      <formula>$P$121=0</formula>
    </cfRule>
  </conditionalFormatting>
  <conditionalFormatting sqref="J93:J112">
    <cfRule type="expression" dxfId="430" priority="104">
      <formula>$P$121=0</formula>
    </cfRule>
  </conditionalFormatting>
  <conditionalFormatting sqref="I122:I130">
    <cfRule type="expression" dxfId="429" priority="157">
      <formula>$I$121=0</formula>
    </cfRule>
  </conditionalFormatting>
  <conditionalFormatting sqref="J122:K130">
    <cfRule type="expression" dxfId="428" priority="158">
      <formula>$I$121=0</formula>
    </cfRule>
  </conditionalFormatting>
  <conditionalFormatting sqref="K3">
    <cfRule type="expression" dxfId="427" priority="7">
      <formula>AND(K3&lt;&gt;"",OR(K3&lt;IF(DS_Min_Units="TBD",0,DS_Min_Units),K3&gt;IF(OR(DS_Max_Units="No Limit",DS_Max_Units="TBD"),1000,DS_Max_Units)))</formula>
    </cfRule>
  </conditionalFormatting>
  <conditionalFormatting sqref="C6:K6">
    <cfRule type="expression" dxfId="426" priority="19">
      <formula>AND(Development_Category&lt;&gt;"Rehabilitation",Development_Category&lt;&gt;"Acquisition and Rehabilitation",Development_Category&lt;&gt;"Preservation",Development_Category&lt;&gt;"Acquisition and Preservation",Development_Category&lt;&gt;"&lt;select one&gt;")</formula>
    </cfRule>
    <cfRule type="expression" dxfId="425" priority="20"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C13:K13">
    <cfRule type="cellIs" dxfId="424" priority="27" stopIfTrue="1" operator="equal">
      <formula>""</formula>
    </cfRule>
  </conditionalFormatting>
  <conditionalFormatting sqref="I28:I29">
    <cfRule type="expression" dxfId="423" priority="43">
      <formula>LEFT($C$13,3)="20%"</formula>
    </cfRule>
  </conditionalFormatting>
  <conditionalFormatting sqref="F48">
    <cfRule type="expression" dxfId="422" priority="57" stopIfTrue="1">
      <formula>AND(F48&lt;&gt;Total_Units,F48&gt;0,Total_Units&gt;0,Minimum_SetAside_per_Sec_42="Average Income Test")</formula>
    </cfRule>
  </conditionalFormatting>
  <conditionalFormatting sqref="D89">
    <cfRule type="expression" dxfId="421" priority="100">
      <formula>IFERROR(FIND(" NOT ",$D$89),0)&gt;0</formula>
    </cfRule>
  </conditionalFormatting>
  <conditionalFormatting sqref="D51">
    <cfRule type="expression" dxfId="420" priority="59">
      <formula>IFERROR(FIND("NOT",$D$51),0)&gt;0</formula>
    </cfRule>
    <cfRule type="expression" dxfId="419" priority="61">
      <formula>IFERROR(FIND("Attention",$D$51),0)&gt;0</formula>
    </cfRule>
  </conditionalFormatting>
  <conditionalFormatting sqref="G73:H84">
    <cfRule type="cellIs" dxfId="418" priority="76" operator="notEqual">
      <formula>""</formula>
    </cfRule>
  </conditionalFormatting>
  <conditionalFormatting sqref="B70:K89">
    <cfRule type="expression" dxfId="417" priority="75">
      <formula>$P$70=0</formula>
    </cfRule>
  </conditionalFormatting>
  <conditionalFormatting sqref="I65">
    <cfRule type="expression" dxfId="416" priority="74">
      <formula>LEFT($C$13,3)="20%"</formula>
    </cfRule>
  </conditionalFormatting>
  <conditionalFormatting sqref="B54:K69">
    <cfRule type="expression" dxfId="415" priority="62">
      <formula>$P$54=0</formula>
    </cfRule>
  </conditionalFormatting>
  <conditionalFormatting sqref="F64:H65">
    <cfRule type="cellIs" dxfId="414" priority="64" operator="equal">
      <formula>""</formula>
    </cfRule>
  </conditionalFormatting>
  <conditionalFormatting sqref="L19">
    <cfRule type="expression" dxfId="413" priority="30">
      <formula>AND(Minimum_SetAside_per_Sec_42="Average Income Test",$G32&gt;0)</formula>
    </cfRule>
    <cfRule type="expression" dxfId="412" priority="33">
      <formula>AND(Minimum_SetAside_per_Sec_42="Average Income Test",$G32=0)</formula>
    </cfRule>
  </conditionalFormatting>
  <conditionalFormatting sqref="G20:H30">
    <cfRule type="expression" dxfId="411" priority="36">
      <formula>Minimum_SetAside_per_Sec_42="Average Income Test"</formula>
    </cfRule>
  </conditionalFormatting>
  <conditionalFormatting sqref="L38">
    <cfRule type="expression" dxfId="410" priority="52">
      <formula>AND(Minimum_SetAside_per_Sec_42&lt;&gt;"&lt;select one&gt;",Minimum_SetAside_per_Sec_42&lt;&gt;"",Minimum_SetAside_per_Sec_42&lt;&gt;"Average Income Test",$F48&gt;0)</formula>
    </cfRule>
    <cfRule type="expression" dxfId="409" priority="53">
      <formula>AND(Minimum_SetAside_per_Sec_42="Average Income Test",$F48&gt;0)</formula>
    </cfRule>
  </conditionalFormatting>
  <conditionalFormatting sqref="J85">
    <cfRule type="expression" dxfId="408" priority="86">
      <formula>$P$70=0</formula>
    </cfRule>
  </conditionalFormatting>
  <conditionalFormatting sqref="I85:I86">
    <cfRule type="expression" dxfId="407" priority="83">
      <formula>AND($C$13&lt;&gt;"&lt;select one&gt;",$C$13="Average Income Test")</formula>
    </cfRule>
  </conditionalFormatting>
  <conditionalFormatting sqref="F44:J45">
    <cfRule type="expression" dxfId="406" priority="56">
      <formula>LEFT($J$44,1)="H"</formula>
    </cfRule>
  </conditionalFormatting>
  <conditionalFormatting sqref="I73:I84">
    <cfRule type="expression" dxfId="405" priority="78">
      <formula>OR(AND($C$13&lt;&gt;"Average Income Test",$I73&lt;VLOOKUP(County,DS_CountyData,14)),AND($C$13="Average Income Test",$I73&lt;30%))</formula>
    </cfRule>
    <cfRule type="expression" dxfId="404" priority="79">
      <formula>I73&gt;IF(DS_Gap_AMI_Auto_YN="No",DS_Gap_AMI_Max,DS_Gap_AMI_Auto)</formula>
    </cfRule>
  </conditionalFormatting>
  <conditionalFormatting sqref="F73:H84">
    <cfRule type="expression" dxfId="403" priority="77">
      <formula>$I73&gt;IF(AND(DS_Gap_AMI_Auto_YN="Yes",$C$13="Average Income Test"),DS_Gap_AMI_Auto,DS_Gap_AMI_Max)</formula>
    </cfRule>
  </conditionalFormatting>
  <conditionalFormatting sqref="G82:H84">
    <cfRule type="expression" dxfId="402" priority="94">
      <formula>AND(DS_Gap_AMI_Max&lt;$I82,N(G82)&gt;0)</formula>
    </cfRule>
  </conditionalFormatting>
  <conditionalFormatting sqref="F39:F45">
    <cfRule type="expression" dxfId="401" priority="54" stopIfTrue="1">
      <formula>AND($F39&gt;0,AND(Minimum_SetAside_per_Sec_42&lt;&gt;"Average Income Test",Minimum_SetAside_per_Sec_42&lt;&gt;"&lt;select one&gt;"))</formula>
    </cfRule>
    <cfRule type="expression" dxfId="400" priority="55">
      <formula>AND(Minimum_SetAside_per_Sec_42&lt;&gt;"&lt;select one&gt;",Minimum_SetAside_per_Sec_42&lt;&gt;"",Minimum_SetAside_per_Sec_42&lt;&gt;"Average Income Test")</formula>
    </cfRule>
  </conditionalFormatting>
  <conditionalFormatting sqref="I75:I83">
    <cfRule type="expression" dxfId="399" priority="81">
      <formula>Minimum_SetAside_per_Sec_42="Average Income Test"</formula>
    </cfRule>
  </conditionalFormatting>
  <conditionalFormatting sqref="B11:K11">
    <cfRule type="expression" dxfId="398" priority="25">
      <formula>$N$13=1</formula>
    </cfRule>
  </conditionalFormatting>
  <conditionalFormatting sqref="B17:K35">
    <cfRule type="expression" dxfId="397" priority="28">
      <formula>$P$17=0</formula>
    </cfRule>
  </conditionalFormatting>
  <conditionalFormatting sqref="A5:K6">
    <cfRule type="expression" dxfId="396" priority="17">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39:K139">
    <cfRule type="cellIs" dxfId="395" priority="343" operator="notEqual">
      <formula>""</formula>
    </cfRule>
  </conditionalFormatting>
  <conditionalFormatting sqref="A138:K141">
    <cfRule type="expression" dxfId="394" priority="172">
      <formula>$N$138=0</formula>
    </cfRule>
  </conditionalFormatting>
  <conditionalFormatting sqref="C4:K4">
    <cfRule type="expression" dxfId="393" priority="16">
      <formula>IFERROR(FIND("validation",$C$4),0)&gt;0</formula>
    </cfRule>
  </conditionalFormatting>
  <conditionalFormatting sqref="D34">
    <cfRule type="expression" dxfId="392" priority="47">
      <formula>IFERROR(FIND(" NOT ",$D$34),0)&gt;0</formula>
    </cfRule>
  </conditionalFormatting>
  <conditionalFormatting sqref="D89:K89">
    <cfRule type="expression" dxfId="391" priority="103">
      <formula>IFERROR(FIND("Attention:",$D$89),0)&gt;0</formula>
    </cfRule>
  </conditionalFormatting>
  <conditionalFormatting sqref="D114">
    <cfRule type="expression" dxfId="390" priority="129">
      <formula>LEFT(D114,9)="Attention"</formula>
    </cfRule>
  </conditionalFormatting>
  <conditionalFormatting sqref="D34 D51 D89 D115:D118">
    <cfRule type="cellIs" dxfId="389" priority="46" operator="equal">
      <formula>"This area intentionally left blank."</formula>
    </cfRule>
  </conditionalFormatting>
  <conditionalFormatting sqref="F100:J104">
    <cfRule type="expression" dxfId="388" priority="105">
      <formula>$P$99=0</formula>
    </cfRule>
  </conditionalFormatting>
  <conditionalFormatting sqref="F100:I104">
    <cfRule type="expression" dxfId="387" priority="112">
      <formula>$N100=0</formula>
    </cfRule>
  </conditionalFormatting>
  <conditionalFormatting sqref="B30:K31 I85:I86">
    <cfRule type="expression" dxfId="386" priority="1936">
      <formula>$P$30=0</formula>
    </cfRule>
  </conditionalFormatting>
  <conditionalFormatting sqref="B29:K29">
    <cfRule type="expression" dxfId="385" priority="1995">
      <formula>$Q$28=0</formula>
    </cfRule>
  </conditionalFormatting>
  <conditionalFormatting sqref="F105:J111">
    <cfRule type="expression" dxfId="384" priority="2006">
      <formula>$P$107=0</formula>
    </cfRule>
  </conditionalFormatting>
  <conditionalFormatting sqref="F105:I106">
    <cfRule type="expression" dxfId="383" priority="106">
      <formula>$N105=0</formula>
    </cfRule>
  </conditionalFormatting>
  <conditionalFormatting sqref="H100:I101 H105:I106">
    <cfRule type="expression" dxfId="382" priority="1">
      <formula>AND(N($H100)&gt;0,$N100=0)</formula>
    </cfRule>
  </conditionalFormatting>
  <dataValidations count="4">
    <dataValidation type="list" allowBlank="1" showInputMessage="1" showErrorMessage="1" sqref="C13:K13" xr:uid="{9686D334-6280-4764-9E4B-E7A5FD6274BB}">
      <formula1>DS_MinIRS_DDMenu</formula1>
    </dataValidation>
    <dataValidation type="whole" allowBlank="1" showErrorMessage="1" error="Please enter a whole number." sqref="K3" xr:uid="{9E3AAC14-358E-4936-9763-A8AD9C3E823A}">
      <formula1>0</formula1>
      <formula2>999</formula2>
    </dataValidation>
    <dataValidation type="list" allowBlank="1" showInputMessage="1" showErrorMessage="1" sqref="C6:K6" xr:uid="{BFABE010-AC0B-4990-BB84-1FE31D29205A}">
      <formula1>DS_Occ_DDMenu</formula1>
    </dataValidation>
    <dataValidation type="custom" allowBlank="1" showInputMessage="1" showErrorMessage="1" sqref="N3" xr:uid="{F3C2320F-09EE-4C0F-9D18-56B35DE82D7A}">
      <formula1>AND(N3&gt;=0,N3&lt;3,N3=ROUND(N3,0))</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rowBreaks count="1" manualBreakCount="1">
    <brk id="114" max="10" man="1"/>
  </rowBreaks>
  <ignoredErrors>
    <ignoredError sqref="B12" numberStoredAsText="1"/>
  </ignoredErrors>
  <extLst>
    <ext xmlns:x14="http://schemas.microsoft.com/office/spreadsheetml/2009/9/main" uri="{78C0D931-6437-407d-A8EE-F0AAD7539E65}">
      <x14:conditionalFormattings>
        <x14:conditionalFormatting xmlns:xm="http://schemas.microsoft.com/office/excel/2006/main">
          <x14:cfRule type="expression" priority="42" id="{A0CFB625-6DDC-47C0-AE81-EE8EC2A1F9A2}">
            <xm:f>AND(Minimum_SetAside_per_Sec_42=Data1!$A$422,N($G28)&gt;0)</xm:f>
            <x14:dxf>
              <font>
                <color theme="0" tint="-0.14996795556505021"/>
              </font>
              <fill>
                <patternFill patternType="darkUp">
                  <fgColor theme="0" tint="-0.24994659260841701"/>
                  <bgColor rgb="FFFFDCFF"/>
                </patternFill>
              </fill>
            </x14:dxf>
          </x14:cfRule>
          <xm:sqref>G28:H28</xm:sqref>
        </x14:conditionalFormatting>
        <x14:conditionalFormatting xmlns:xm="http://schemas.microsoft.com/office/excel/2006/main">
          <x14:cfRule type="expression" priority="41" id="{9B7593E2-0DDF-4063-9DB0-1DD1C73126A7}">
            <xm:f>AND(Minimum_SetAside_per_Sec_42=Data1!$A$422,N(F28)=0)</xm:f>
            <x14:dxf>
              <font>
                <color theme="0" tint="-0.34998626667073579"/>
              </font>
              <fill>
                <patternFill patternType="darkUp">
                  <fgColor theme="0" tint="-0.24994659260841701"/>
                  <bgColor auto="1"/>
                </patternFill>
              </fill>
            </x14:dxf>
          </x14:cfRule>
          <xm:sqref>F28:H29</xm:sqref>
        </x14:conditionalFormatting>
        <x14:conditionalFormatting xmlns:xm="http://schemas.microsoft.com/office/excel/2006/main">
          <x14:cfRule type="expression" priority="8" id="{AA56417C-6E95-40F9-A14D-00DBB811BD45}">
            <xm:f>Data1!$E$606="Yes"</xm:f>
            <x14:dxf>
              <font>
                <color theme="0"/>
              </font>
              <fill>
                <patternFill>
                  <bgColor theme="0"/>
                </patternFill>
              </fill>
              <border>
                <left/>
                <right/>
                <top/>
                <bottom/>
                <vertical/>
                <horizontal/>
              </border>
            </x14:dxf>
          </x14:cfRule>
          <xm:sqref>N3:P3 N6:Q6 P8 P11 N13:P13 P17 N18:P18 P28:R34 P40:P41 P36 N39:P39 P54 P70 N73:P73 N90:P90 P91:Q91 P99 N100:P104 P107 P121 N124 N133:P133 N138:P138</xm:sqref>
        </x14:conditionalFormatting>
        <x14:conditionalFormatting xmlns:xm="http://schemas.microsoft.com/office/excel/2006/main">
          <x14:cfRule type="expression" priority="3" id="{386DE0FA-4D6B-453D-A4B8-E429F6BDE0DF}">
            <xm:f>Data1!$E$606="Yes"</xm:f>
            <x14:dxf>
              <font>
                <color theme="0"/>
              </font>
              <fill>
                <patternFill>
                  <bgColor theme="0"/>
                </patternFill>
              </fill>
              <border>
                <left/>
                <right/>
                <top/>
                <bottom/>
                <vertical/>
                <horizontal/>
              </border>
            </x14:dxf>
          </x14:cfRule>
          <xm:sqref>N105:P106</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xr:uid="{F7443669-80E7-48DC-A97C-63933B8D4BA4}">
          <x14:formula1>
            <xm:f>Data1!B463</xm:f>
          </x14:formula1>
          <x14:formula2>
            <xm:f>Data1!B464</xm:f>
          </x14:formula2>
          <xm:sqref>K138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13"/>
  <sheetViews>
    <sheetView showGridLines="0" zoomScaleNormal="100" zoomScaleSheetLayoutView="100" workbookViewId="0">
      <pane ySplit="2" topLeftCell="A3" activePane="bottomLeft" state="frozen"/>
      <selection pane="bottomLeft" activeCell="A11" sqref="A11:XFD12"/>
    </sheetView>
  </sheetViews>
  <sheetFormatPr defaultColWidth="8.54296875" defaultRowHeight="14.5"/>
  <cols>
    <col min="1" max="1" width="3" style="42" customWidth="1"/>
    <col min="2" max="3" width="3.54296875" style="42" customWidth="1"/>
    <col min="4" max="4" width="4.453125" style="42" customWidth="1"/>
    <col min="5" max="12" width="8.54296875" style="42"/>
    <col min="13" max="13" width="11.1796875" style="42" customWidth="1"/>
    <col min="14" max="14" width="8.54296875" style="42"/>
    <col min="15" max="15" width="8.453125" style="42" customWidth="1"/>
    <col min="16" max="16" width="8.81640625" style="42" customWidth="1"/>
    <col min="17" max="17" width="3.54296875" style="42" customWidth="1"/>
    <col min="18" max="18" width="3.54296875" style="42" hidden="1" customWidth="1"/>
    <col min="19" max="19" width="35.81640625" style="42" hidden="1" customWidth="1"/>
    <col min="20" max="21" width="3.54296875" style="42" hidden="1" customWidth="1"/>
    <col min="22" max="16384" width="8.54296875" style="42"/>
  </cols>
  <sheetData>
    <row r="1" spans="1:21" ht="35.9" customHeight="1" thickBot="1">
      <c r="A1" s="2115" t="s">
        <v>360</v>
      </c>
      <c r="B1" s="2116"/>
      <c r="C1" s="2116"/>
      <c r="D1" s="2116"/>
      <c r="E1" s="2116"/>
      <c r="F1" s="2116"/>
      <c r="G1" s="2116"/>
      <c r="H1" s="2116"/>
      <c r="I1" s="2116"/>
      <c r="J1" s="2116"/>
      <c r="K1" s="2116"/>
      <c r="L1" s="2116"/>
      <c r="M1" s="2116"/>
      <c r="N1" s="2116"/>
      <c r="O1" s="2117"/>
    </row>
    <row r="2" spans="1:21" ht="14.5" customHeight="1">
      <c r="A2" s="4"/>
      <c r="B2" s="4"/>
      <c r="C2" s="4"/>
      <c r="D2" s="4"/>
      <c r="E2" s="4"/>
      <c r="F2" s="4"/>
      <c r="G2" s="4"/>
      <c r="H2" s="4"/>
      <c r="I2" s="4"/>
      <c r="J2" s="4"/>
      <c r="K2" s="4"/>
      <c r="L2" s="4"/>
      <c r="M2" s="4"/>
    </row>
    <row r="3" spans="1:21" ht="14.5" customHeight="1">
      <c r="A3" s="169" t="s">
        <v>206</v>
      </c>
      <c r="B3" s="169" t="s">
        <v>361</v>
      </c>
      <c r="C3" s="169"/>
      <c r="D3" s="169"/>
      <c r="E3" s="4"/>
      <c r="F3" s="4"/>
      <c r="G3" s="4"/>
      <c r="H3" s="4"/>
      <c r="I3" s="4"/>
      <c r="J3" s="4"/>
      <c r="K3" s="4"/>
      <c r="L3" s="4"/>
      <c r="M3" s="4"/>
      <c r="R3" s="2147" t="s">
        <v>1772</v>
      </c>
      <c r="S3" s="2147"/>
      <c r="T3" s="2147"/>
      <c r="U3" s="2147"/>
    </row>
    <row r="4" spans="1:21" ht="31" customHeight="1">
      <c r="A4" s="4"/>
      <c r="B4" s="2134" t="s">
        <v>362</v>
      </c>
      <c r="C4" s="2134"/>
      <c r="D4" s="2134"/>
      <c r="E4" s="2134"/>
      <c r="F4" s="2134"/>
      <c r="G4" s="2134"/>
      <c r="H4" s="2134"/>
      <c r="I4" s="2134"/>
      <c r="J4" s="2134"/>
      <c r="K4" s="2134"/>
      <c r="L4" s="2134"/>
      <c r="M4" s="2134"/>
    </row>
    <row r="5" spans="1:21" ht="10.4" customHeight="1">
      <c r="A5" s="4"/>
      <c r="B5" s="4"/>
      <c r="C5" s="4"/>
      <c r="D5" s="4"/>
      <c r="E5" s="4"/>
      <c r="F5" s="4"/>
      <c r="G5" s="4"/>
      <c r="H5" s="4"/>
      <c r="I5" s="4"/>
      <c r="J5" s="4"/>
      <c r="K5" s="4"/>
      <c r="L5" s="4"/>
      <c r="M5" s="4"/>
    </row>
    <row r="6" spans="1:21" ht="14.5" customHeight="1">
      <c r="A6" s="46" t="s">
        <v>215</v>
      </c>
      <c r="B6" s="46" t="s">
        <v>363</v>
      </c>
      <c r="C6" s="46"/>
      <c r="D6" s="46"/>
      <c r="E6" s="4"/>
      <c r="F6" s="4"/>
      <c r="G6" s="4"/>
      <c r="H6" s="4"/>
      <c r="I6" s="4"/>
      <c r="J6" s="4"/>
      <c r="K6" s="4"/>
      <c r="L6" s="4"/>
      <c r="M6" s="4"/>
    </row>
    <row r="7" spans="1:21" ht="10.4" customHeight="1">
      <c r="A7" s="4"/>
      <c r="B7" s="4"/>
      <c r="C7" s="4"/>
      <c r="D7" s="4"/>
      <c r="E7" s="4"/>
      <c r="F7" s="4"/>
      <c r="G7" s="4"/>
      <c r="H7" s="4"/>
      <c r="I7" s="4"/>
      <c r="J7" s="4"/>
      <c r="K7" s="4"/>
      <c r="L7" s="4"/>
      <c r="M7" s="4"/>
    </row>
    <row r="8" spans="1:21" ht="14.5" customHeight="1">
      <c r="A8" s="4"/>
      <c r="B8" s="168" t="s">
        <v>208</v>
      </c>
      <c r="C8" s="4" t="s">
        <v>364</v>
      </c>
      <c r="D8" s="168"/>
      <c r="F8" s="4"/>
      <c r="G8" s="4"/>
      <c r="H8" s="4"/>
      <c r="I8" s="4"/>
      <c r="J8" s="4"/>
      <c r="K8" s="4"/>
      <c r="L8" s="4"/>
      <c r="M8" s="4"/>
    </row>
    <row r="9" spans="1:21" ht="14.5" customHeight="1">
      <c r="A9" s="4"/>
      <c r="B9" s="168" t="s">
        <v>210</v>
      </c>
      <c r="C9" s="4" t="s">
        <v>365</v>
      </c>
      <c r="D9" s="168"/>
      <c r="F9" s="4"/>
      <c r="G9" s="4"/>
      <c r="H9" s="4"/>
      <c r="I9" s="4"/>
      <c r="J9" s="4"/>
      <c r="K9" s="4"/>
      <c r="L9" s="4"/>
      <c r="M9" s="4"/>
    </row>
    <row r="10" spans="1:21" ht="14.5" customHeight="1">
      <c r="A10" s="4"/>
      <c r="B10" s="168" t="s">
        <v>212</v>
      </c>
      <c r="C10" s="4" t="s">
        <v>366</v>
      </c>
      <c r="D10" s="168"/>
      <c r="F10" s="4"/>
      <c r="G10" s="4"/>
      <c r="H10" s="4"/>
      <c r="I10" s="4"/>
      <c r="J10" s="4"/>
      <c r="K10" s="4"/>
      <c r="L10" s="4"/>
      <c r="M10" s="4"/>
    </row>
    <row r="11" spans="1:21" ht="14.5" hidden="1" customHeight="1">
      <c r="A11" s="4"/>
      <c r="B11" s="1760" t="s">
        <v>1493</v>
      </c>
      <c r="C11" t="s">
        <v>1966</v>
      </c>
      <c r="D11" s="4"/>
      <c r="E11" s="4"/>
      <c r="F11" s="4"/>
      <c r="G11" s="4"/>
      <c r="H11" s="4"/>
      <c r="I11" s="4"/>
      <c r="J11" s="4"/>
      <c r="K11" s="4"/>
      <c r="L11" s="4"/>
      <c r="M11" s="4"/>
      <c r="S11" s="1110">
        <v>0</v>
      </c>
    </row>
    <row r="12" spans="1:21" ht="14.5" hidden="1" customHeight="1">
      <c r="B12" s="1760" t="s">
        <v>1495</v>
      </c>
      <c r="C12" t="s">
        <v>1967</v>
      </c>
      <c r="S12" s="1110">
        <v>0</v>
      </c>
    </row>
    <row r="13" spans="1:21" ht="10.4" customHeight="1"/>
  </sheetData>
  <sheetProtection algorithmName="SHA-512" hashValue="H7GlDKvIEY89PHJHW7eUX8U4mXkYs7n+cNNjyYM1EhGJuX4p0dzdMG2/ntrBS/6L2zhdXeO1y8u8B1n2kTaOKA==" saltValue="o1lhWwPsPw9hLGJSxJ562w==" spinCount="100000" sheet="1" objects="1" scenarios="1" formatRows="0" selectLockedCells="1"/>
  <mergeCells count="3">
    <mergeCell ref="B4:M4"/>
    <mergeCell ref="A1:O1"/>
    <mergeCell ref="R3:U3"/>
  </mergeCells>
  <conditionalFormatting sqref="A11:O12">
    <cfRule type="expression" dxfId="377" priority="1853">
      <formula>$S11=0</formula>
    </cfRule>
  </conditionalFormatting>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ignoredErrors>
    <ignoredError sqref="B8:B10" numberStoredAsText="1"/>
  </ignoredErrors>
  <extLst>
    <ext xmlns:x14="http://schemas.microsoft.com/office/spreadsheetml/2009/9/main" uri="{78C0D931-6437-407d-A8EE-F0AAD7539E65}">
      <x14:conditionalFormattings>
        <x14:conditionalFormatting xmlns:xm="http://schemas.microsoft.com/office/excel/2006/main">
          <x14:cfRule type="expression" priority="1865" id="{35A1412A-B1EE-4BBD-8623-7253D0088D65}">
            <xm:f>Data1!$E$607="Yes"</xm:f>
            <x14:dxf>
              <font>
                <color theme="0"/>
              </font>
            </x14:dxf>
          </x14:cfRule>
          <xm:sqref>S11:S12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5"/>
  <sheetViews>
    <sheetView showGridLines="0" zoomScaleNormal="100" zoomScaleSheetLayoutView="100" workbookViewId="0">
      <pane ySplit="2" topLeftCell="A4" activePane="bottomLeft" state="frozen"/>
      <selection pane="bottomLeft" activeCell="A2" sqref="A2"/>
    </sheetView>
  </sheetViews>
  <sheetFormatPr defaultColWidth="8.54296875" defaultRowHeight="14.5"/>
  <cols>
    <col min="1" max="1" width="3" style="42" customWidth="1"/>
    <col min="2" max="3" width="3.54296875" style="42" customWidth="1"/>
    <col min="4" max="6" width="4.453125" style="42" customWidth="1"/>
    <col min="7" max="7" width="73.54296875" style="42" customWidth="1"/>
    <col min="8" max="8" width="8.81640625" style="42" customWidth="1"/>
    <col min="9" max="9" width="5.54296875" style="42" customWidth="1"/>
    <col min="10" max="10" width="8.81640625" style="42" customWidth="1"/>
    <col min="11" max="11" width="3.54296875" style="42" customWidth="1"/>
    <col min="12" max="13" width="3.54296875" style="42" hidden="1" customWidth="1"/>
    <col min="14" max="14" width="35.81640625" style="42" hidden="1" customWidth="1"/>
    <col min="15" max="16" width="3.54296875" style="42" hidden="1" customWidth="1"/>
    <col min="17" max="16384" width="8.54296875" style="42"/>
  </cols>
  <sheetData>
    <row r="1" spans="1:31" ht="35.9" customHeight="1" thickBot="1">
      <c r="A1" s="2115" t="s">
        <v>367</v>
      </c>
      <c r="B1" s="2116"/>
      <c r="C1" s="2116"/>
      <c r="D1" s="2116"/>
      <c r="E1" s="2116"/>
      <c r="F1" s="2116"/>
      <c r="G1" s="2116"/>
      <c r="H1" s="2116"/>
      <c r="I1" s="2117"/>
      <c r="J1" s="62"/>
      <c r="K1" s="2134" t="str">
        <f>"There are "&amp;TEXT(COUNTIF($L$12:$L$29,"=1"),"0")&amp;" required input fields and "&amp;TEXT(COUNTIF($L$12:$L$29,"=2"),"0")&amp;" optional input fields tracked on this tab."&amp;CHAR(10)&amp;"There "&amp;IF(COUNTIFS($L$12:$L$29,"=1",$M$12:$M$29,"=1")=1,"is 1 required input field","are "&amp;TEXT(COUNTIFS($L$12:$L$29,"=1",$M$12:$M$29,"=1"),"0")&amp;" required input fields")&amp;" and "&amp;TEXT(COUNTIFS($L$12:$L$29,"=2",$M$12:$M$29,"=2"),"0")&amp;" optional input field"&amp;IF(COUNTIFS($L$12:$L$29,"=2",$M$12:$M$29,"=2")=1," with an entry","s with entries")&amp;" tracked on this tab."&amp;CHAR(10)&amp;"There "&amp;IF(Data1!G608=1,"is ","are ")&amp;TEXT(Data1!G608,"0")&amp;" required input field"&amp;IF(Data1!G608=1," that need an entry","s that need entries")&amp;" and "&amp;TEXT(Data1!H608,"0")&amp;" optional input field"&amp;IF(Data1!H608=1,"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134"/>
      <c r="M1" s="2134"/>
      <c r="N1" s="2134"/>
      <c r="O1" s="2134"/>
      <c r="P1" s="2134"/>
      <c r="Q1" s="2134"/>
      <c r="R1" s="2134"/>
      <c r="S1" s="2134"/>
      <c r="T1" s="2134"/>
      <c r="U1" s="2134"/>
      <c r="V1" s="2134"/>
      <c r="W1" s="2134"/>
      <c r="X1" s="2134"/>
      <c r="Y1" s="2134"/>
      <c r="Z1" s="2134"/>
      <c r="AA1" s="2134"/>
      <c r="AB1" s="2134"/>
      <c r="AC1" s="2134"/>
      <c r="AD1" s="2134"/>
      <c r="AE1" s="2134"/>
    </row>
    <row r="2" spans="1:31" ht="14.5" customHeight="1">
      <c r="K2" s="2134"/>
      <c r="L2" s="2134"/>
      <c r="M2" s="2134"/>
      <c r="N2" s="2134"/>
      <c r="O2" s="2134"/>
      <c r="P2" s="2134"/>
      <c r="Q2" s="2134"/>
      <c r="R2" s="2134"/>
      <c r="S2" s="2134"/>
      <c r="T2" s="2134"/>
      <c r="U2" s="2134"/>
      <c r="V2" s="2134"/>
      <c r="W2" s="2134"/>
      <c r="X2" s="2134"/>
      <c r="Y2" s="2134"/>
      <c r="Z2" s="2134"/>
      <c r="AA2" s="2134"/>
      <c r="AB2" s="2134"/>
      <c r="AC2" s="2134"/>
      <c r="AD2" s="2134"/>
      <c r="AE2" s="2134"/>
    </row>
    <row r="3" spans="1:31" ht="14.5" customHeight="1">
      <c r="A3" s="169" t="s">
        <v>206</v>
      </c>
      <c r="B3" s="2146" t="s">
        <v>368</v>
      </c>
      <c r="C3" s="2146"/>
      <c r="D3" s="2146"/>
      <c r="E3" s="2146"/>
      <c r="F3" s="2146"/>
      <c r="G3" s="2146"/>
      <c r="H3" s="2146"/>
      <c r="I3" s="2146"/>
      <c r="L3" s="2147" t="s">
        <v>1772</v>
      </c>
      <c r="M3" s="2147"/>
      <c r="N3" s="2147"/>
      <c r="O3" s="2147"/>
      <c r="P3" s="2147"/>
    </row>
    <row r="4" spans="1:31" ht="10.4" customHeight="1">
      <c r="A4" s="6"/>
      <c r="B4" s="143"/>
      <c r="C4" s="157"/>
      <c r="D4" s="157"/>
      <c r="E4" s="376"/>
      <c r="F4" s="376"/>
      <c r="G4" s="143"/>
      <c r="H4" s="4"/>
    </row>
    <row r="5" spans="1:31" ht="14.5" customHeight="1">
      <c r="A5" s="46" t="s">
        <v>215</v>
      </c>
      <c r="B5" s="2146" t="s">
        <v>369</v>
      </c>
      <c r="C5" s="2146"/>
      <c r="D5" s="2146"/>
      <c r="E5" s="2146"/>
      <c r="F5" s="2146"/>
      <c r="G5" s="2146"/>
      <c r="H5" s="2146"/>
      <c r="I5" s="2146"/>
      <c r="N5" s="4"/>
    </row>
    <row r="6" spans="1:31" ht="10.4" customHeight="1">
      <c r="A6" s="4"/>
      <c r="B6" s="6"/>
      <c r="C6" s="6"/>
      <c r="D6" s="6"/>
      <c r="E6" s="377"/>
      <c r="F6" s="377"/>
      <c r="G6" s="4"/>
      <c r="H6" s="4"/>
      <c r="N6" s="4"/>
    </row>
    <row r="7" spans="1:31" ht="14.5" customHeight="1">
      <c r="A7" s="169" t="s">
        <v>231</v>
      </c>
      <c r="B7" s="2146"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146"/>
      <c r="D7" s="2146"/>
      <c r="E7" s="2146"/>
      <c r="F7" s="2146"/>
      <c r="G7" s="2146"/>
      <c r="H7" s="2146"/>
      <c r="I7" s="2146"/>
      <c r="N7" s="1874">
        <v>0</v>
      </c>
      <c r="O7" s="1884" t="s">
        <v>2087</v>
      </c>
    </row>
    <row r="8" spans="1:31" ht="10.4" customHeight="1">
      <c r="A8" s="6"/>
      <c r="B8" s="143"/>
      <c r="C8" s="157"/>
      <c r="D8" s="157"/>
      <c r="E8" s="376"/>
      <c r="F8" s="376"/>
      <c r="G8" s="143"/>
      <c r="H8" s="4"/>
    </row>
    <row r="9" spans="1:31" ht="14.5" customHeight="1">
      <c r="A9" s="46" t="s">
        <v>235</v>
      </c>
      <c r="B9" s="2146" t="s">
        <v>370</v>
      </c>
      <c r="C9" s="2146"/>
      <c r="D9" s="2146"/>
      <c r="E9" s="2146"/>
      <c r="F9" s="2146"/>
      <c r="G9" s="2146"/>
      <c r="H9" s="2146"/>
      <c r="I9" s="2146"/>
      <c r="L9" s="1566" t="s">
        <v>1778</v>
      </c>
    </row>
    <row r="10" spans="1:31" ht="14.5" customHeight="1">
      <c r="A10" s="4"/>
      <c r="B10" s="175">
        <v>1</v>
      </c>
      <c r="C10" s="6" t="s">
        <v>371</v>
      </c>
      <c r="D10" s="133"/>
      <c r="E10" s="133"/>
      <c r="F10" s="133"/>
      <c r="H10" s="4"/>
      <c r="L10" s="1566" t="s">
        <v>1777</v>
      </c>
    </row>
    <row r="11" spans="1:31" ht="14.5" hidden="1" customHeight="1">
      <c r="A11" s="6"/>
      <c r="B11" s="175" t="str">
        <f>IF($L12=0,"",MAX(B$10:B10)+1)</f>
        <v/>
      </c>
      <c r="C11" s="158" t="s">
        <v>372</v>
      </c>
      <c r="D11" s="133"/>
      <c r="E11" s="133"/>
      <c r="F11" s="133"/>
      <c r="H11" s="4"/>
    </row>
    <row r="12" spans="1:31" ht="17.5" hidden="1" customHeight="1">
      <c r="A12" s="4"/>
      <c r="B12" s="7"/>
      <c r="C12" s="2109" t="s">
        <v>2</v>
      </c>
      <c r="D12" s="2109"/>
      <c r="E12" s="2109"/>
      <c r="F12" s="2109"/>
      <c r="G12" s="2109"/>
      <c r="H12" s="2109"/>
      <c r="L12" s="569">
        <v>0</v>
      </c>
      <c r="M12" s="395">
        <f>IF(C12&lt;&gt;"&lt;select one&gt;",L12,0)</f>
        <v>0</v>
      </c>
      <c r="N12" s="552" t="str">
        <f>CHOOSE(L12+1,"Not to be included in this RFA","A REQUIRED input field for this RFA","An OPTIONAL input field for this RFA")</f>
        <v>Not to be included in this RFA</v>
      </c>
    </row>
    <row r="13" spans="1:31" ht="60" customHeight="1">
      <c r="A13" s="4"/>
      <c r="B13" s="175">
        <f>IF(SUM(L14:L29)=0,"",MAX(B$10:B12)+1)</f>
        <v>2</v>
      </c>
      <c r="C13" s="2134" t="s">
        <v>2094</v>
      </c>
      <c r="D13" s="2134"/>
      <c r="E13" s="2134"/>
      <c r="F13" s="2134"/>
      <c r="G13" s="2134"/>
      <c r="H13" s="2134"/>
    </row>
    <row r="14" spans="1:31" ht="17.5" customHeight="1">
      <c r="A14" s="1578" t="str">
        <f>IF(Data1!$B534=TRUE,"Yes","No")</f>
        <v>No</v>
      </c>
      <c r="B14" s="4"/>
      <c r="C14" s="409"/>
      <c r="D14" s="4"/>
      <c r="E14" s="2320" t="s">
        <v>2095</v>
      </c>
      <c r="F14" s="2320"/>
      <c r="G14" s="2320"/>
      <c r="H14" s="455">
        <v>2</v>
      </c>
      <c r="L14" s="1711">
        <f>IF(P14=0,0,IF(OR(Development_Category="&lt;select one&gt;",Development_Category="New Construction",Development_Category="Redevelopment",Development_Category="Acquisition and Redevelopment"),3,IF(Data1!B534=TRUE,IF(H$31&lt;=10,1,IF(SUMIF(A$13:A13,"Yes",O$13:O13)&lt;10,1,2)),IF(H$31&lt;10,IF(H$31+SUMIFS(O$13:O13,L$13:L13,1,A$13:A13,"No")&gt;=10,2,1),2))))</f>
        <v>3</v>
      </c>
      <c r="M14" s="395">
        <f>IF(Data1!B534=TRUE,L14,0)</f>
        <v>0</v>
      </c>
      <c r="N14" s="552" t="str">
        <f>CHOOSE(L14+1,"Not to be included in this RFA","A REQUIRED input field for this RFA","An OPTIONAL input field for this RFA","Not Applicable to this Applicant")</f>
        <v>Not Applicable to this Applicant</v>
      </c>
      <c r="O14" s="1533">
        <f>H14</f>
        <v>2</v>
      </c>
      <c r="P14" s="569">
        <v>2</v>
      </c>
    </row>
    <row r="15" spans="1:31" ht="17.5" customHeight="1">
      <c r="A15" s="1578" t="str">
        <f>IF(Data1!$B535=TRUE,"Yes","No")</f>
        <v>No</v>
      </c>
      <c r="B15" s="4"/>
      <c r="C15" s="409"/>
      <c r="D15" s="4"/>
      <c r="E15" s="2320" t="s">
        <v>373</v>
      </c>
      <c r="F15" s="2320"/>
      <c r="G15" s="2320"/>
      <c r="H15" s="455">
        <v>2</v>
      </c>
      <c r="L15" s="1751">
        <f>IF(P15=0,0,IF(OR(Development_Category="&lt;select one&gt;",Development_Category="New Construction",Development_Category="Redevelopment",Development_Category="Acquisition and Redevelopment"),3,IF(Data1!B535=TRUE,IF(H$31&lt;=10,1,IF(SUMIF(A$13:A14,"Yes",O$13:O14)&lt;10,1,2)),IF(H$31&lt;10,IF(H$31+SUMIFS(O$13:O14,L$13:L14,1,A$13:A14,"No")&gt;=10,2,1),2))))</f>
        <v>3</v>
      </c>
      <c r="M15" s="395">
        <f>IF(Data1!B535=TRUE,L15,0)</f>
        <v>0</v>
      </c>
      <c r="N15" s="1752" t="str">
        <f t="shared" ref="N15:N23" si="0">CHOOSE(L15+1,"Not to be included in this RFA","A REQUIRED input field for this RFA","An OPTIONAL input field for this RFA","Not Applicable to this Applicant")</f>
        <v>Not Applicable to this Applicant</v>
      </c>
      <c r="O15" s="1533">
        <f t="shared" ref="O15:O23" si="1">H15</f>
        <v>2</v>
      </c>
      <c r="P15" s="569">
        <f t="shared" ref="P15:P23" si="2">P$14</f>
        <v>2</v>
      </c>
    </row>
    <row r="16" spans="1:31" ht="17.5" customHeight="1">
      <c r="A16" s="1578" t="str">
        <f>IF(Data1!$B536=TRUE,"Yes","No")</f>
        <v>No</v>
      </c>
      <c r="B16" s="4"/>
      <c r="C16" s="409"/>
      <c r="D16" s="4"/>
      <c r="E16" s="2320" t="s">
        <v>374</v>
      </c>
      <c r="F16" s="2320"/>
      <c r="G16" s="2320"/>
      <c r="H16" s="455">
        <v>2</v>
      </c>
      <c r="L16" s="1751">
        <f>IF(P16=0,0,IF(OR(Development_Category="&lt;select one&gt;",Development_Category="New Construction",Development_Category="Redevelopment",Development_Category="Acquisition and Redevelopment"),3,IF(Data1!B536=TRUE,IF(H$31&lt;=10,1,IF(SUMIF(A$13:A15,"Yes",O$13:O15)&lt;10,1,2)),IF(H$31&lt;10,IF(H$31+SUMIFS(O$13:O15,L$13:L15,1,A$13:A15,"No")&gt;=10,2,1),2))))</f>
        <v>3</v>
      </c>
      <c r="M16" s="395">
        <f>IF(Data1!B536=TRUE,L16,0)</f>
        <v>0</v>
      </c>
      <c r="N16" s="1752" t="str">
        <f t="shared" si="0"/>
        <v>Not Applicable to this Applicant</v>
      </c>
      <c r="O16" s="1533">
        <f t="shared" si="1"/>
        <v>2</v>
      </c>
      <c r="P16" s="569">
        <f t="shared" si="2"/>
        <v>2</v>
      </c>
    </row>
    <row r="17" spans="1:16" ht="35.15" customHeight="1">
      <c r="A17" s="1578" t="str">
        <f>IF(Data1!$B537=TRUE,"Yes","No")</f>
        <v>No</v>
      </c>
      <c r="B17" s="4"/>
      <c r="C17" s="409"/>
      <c r="D17" s="4"/>
      <c r="E17" s="2103" t="s">
        <v>375</v>
      </c>
      <c r="F17" s="2103"/>
      <c r="G17" s="2103"/>
      <c r="H17" s="455">
        <v>2</v>
      </c>
      <c r="L17" s="1751">
        <f>IF(P17=0,0,IF(OR(Development_Category="&lt;select one&gt;",Development_Category="New Construction",Development_Category="Redevelopment",Development_Category="Acquisition and Redevelopment"),3,IF(Data1!B537=TRUE,IF(H$31&lt;=10,1,IF(SUMIF(A$13:A16,"Yes",O$13:O16)&lt;10,1,2)),IF(H$31&lt;10,IF(H$31+SUMIFS(O$13:O16,L$13:L16,1,A$13:A16,"No")&gt;=10,2,1),2))))</f>
        <v>3</v>
      </c>
      <c r="M17" s="395">
        <f>IF(Data1!B537=TRUE,L17,0)</f>
        <v>0</v>
      </c>
      <c r="N17" s="1752" t="str">
        <f t="shared" si="0"/>
        <v>Not Applicable to this Applicant</v>
      </c>
      <c r="O17" s="1533">
        <f t="shared" si="1"/>
        <v>2</v>
      </c>
      <c r="P17" s="569">
        <f t="shared" si="2"/>
        <v>2</v>
      </c>
    </row>
    <row r="18" spans="1:16" ht="17.5" customHeight="1">
      <c r="A18" s="1578" t="str">
        <f>IF(Data1!$B538=TRUE,"Yes","No")</f>
        <v>No</v>
      </c>
      <c r="B18" s="4"/>
      <c r="C18" s="409"/>
      <c r="D18" s="4"/>
      <c r="E18" s="2320" t="s">
        <v>376</v>
      </c>
      <c r="F18" s="2320"/>
      <c r="G18" s="2320"/>
      <c r="H18" s="455">
        <v>2</v>
      </c>
      <c r="L18" s="1751">
        <f>IF(P18=0,0,IF(OR(Development_Category="&lt;select one&gt;",Development_Category="New Construction",Development_Category="Redevelopment",Development_Category="Acquisition and Redevelopment"),3,IF(Data1!B538=TRUE,IF(H$31&lt;=10,1,IF(SUMIF(A$13:A17,"Yes",O$13:O17)&lt;10,1,2)),IF(H$31&lt;10,IF(H$31+SUMIFS(O$13:O17,L$13:L17,1,A$13:A17,"No")&gt;=10,2,1),2))))</f>
        <v>3</v>
      </c>
      <c r="M18" s="395">
        <f>IF(Data1!B538=TRUE,L18,0)</f>
        <v>0</v>
      </c>
      <c r="N18" s="1752" t="str">
        <f t="shared" si="0"/>
        <v>Not Applicable to this Applicant</v>
      </c>
      <c r="O18" s="1533">
        <f t="shared" si="1"/>
        <v>2</v>
      </c>
      <c r="P18" s="569">
        <v>2</v>
      </c>
    </row>
    <row r="19" spans="1:16" ht="35.15" customHeight="1">
      <c r="A19" s="1578" t="str">
        <f>IF(Data1!$B539=TRUE,"Yes","No")</f>
        <v>No</v>
      </c>
      <c r="B19" s="4"/>
      <c r="C19" s="409"/>
      <c r="D19" s="4"/>
      <c r="E19" s="2103" t="s">
        <v>377</v>
      </c>
      <c r="F19" s="2103"/>
      <c r="G19" s="2103"/>
      <c r="H19" s="455">
        <v>3</v>
      </c>
      <c r="L19" s="1751">
        <f>IF(P19=0,0,IF(OR(Development_Category="&lt;select one&gt;",Development_Category="New Construction",Development_Category="Redevelopment",Development_Category="Acquisition and Redevelopment"),3,IF(Data1!B539=TRUE,IF(H$31&lt;=10,1,IF(SUMIF(A$13:A18,"Yes",O$13:O18)&lt;10,1,2)),IF(H$31&lt;10,IF(H$31+SUMIFS(O$13:O18,L$13:L18,1,A$13:A18,"No")&gt;=10,2,1),2))))</f>
        <v>3</v>
      </c>
      <c r="M19" s="395">
        <f>IF(Data1!B539=TRUE,L19,0)</f>
        <v>0</v>
      </c>
      <c r="N19" s="1752" t="str">
        <f t="shared" si="0"/>
        <v>Not Applicable to this Applicant</v>
      </c>
      <c r="O19" s="1533">
        <f t="shared" si="1"/>
        <v>3</v>
      </c>
      <c r="P19" s="569">
        <f t="shared" si="2"/>
        <v>2</v>
      </c>
    </row>
    <row r="20" spans="1:16" ht="52.4" customHeight="1">
      <c r="A20" s="1578" t="str">
        <f>IF(Data1!$B540=TRUE,"Yes","No")</f>
        <v>No</v>
      </c>
      <c r="B20" s="4"/>
      <c r="C20" s="409"/>
      <c r="D20" s="4"/>
      <c r="E20" s="2103" t="s">
        <v>378</v>
      </c>
      <c r="F20" s="2103"/>
      <c r="G20" s="2103"/>
      <c r="H20" s="455">
        <v>3</v>
      </c>
      <c r="L20" s="1751">
        <f>IF(P20=0,0,IF(OR(Development_Category="&lt;select one&gt;",Development_Category="New Construction",Development_Category="Redevelopment",Development_Category="Acquisition and Redevelopment"),3,IF(Data1!B540=TRUE,IF(H$31&lt;=10,1,IF(SUMIF(A$13:A19,"Yes",O$13:O19)&lt;10,1,2)),IF(H$31&lt;10,IF(H$31+SUMIFS(O$13:O19,L$13:L19,1,A$13:A19,"No")&gt;=10,2,1),2))))</f>
        <v>3</v>
      </c>
      <c r="M20" s="395">
        <f>IF(Data1!B540=TRUE,L20,0)</f>
        <v>0</v>
      </c>
      <c r="N20" s="1752" t="str">
        <f t="shared" si="0"/>
        <v>Not Applicable to this Applicant</v>
      </c>
      <c r="O20" s="1533">
        <f t="shared" si="1"/>
        <v>3</v>
      </c>
      <c r="P20" s="569">
        <f t="shared" si="2"/>
        <v>2</v>
      </c>
    </row>
    <row r="21" spans="1:16" ht="48" customHeight="1">
      <c r="A21" s="1578" t="str">
        <f>IF(Data1!$B541=TRUE,"Yes","No")</f>
        <v>No</v>
      </c>
      <c r="B21" s="4"/>
      <c r="C21" s="409"/>
      <c r="D21" s="4"/>
      <c r="E21" s="2103" t="s">
        <v>379</v>
      </c>
      <c r="F21" s="2103"/>
      <c r="G21" s="2103"/>
      <c r="H21" s="455">
        <v>3</v>
      </c>
      <c r="L21" s="1751">
        <f>IF(P21=0,0,IF(OR(Development_Category="&lt;select one&gt;",Development_Category="New Construction",Development_Category="Redevelopment",Development_Category="Acquisition and Redevelopment"),3,IF(Data1!B541=TRUE,IF(H$31&lt;=10,1,IF(SUMIF(A$13:A20,"Yes",O$13:O20)&lt;10,1,2)),IF(H$31&lt;10,IF(H$31+SUMIFS(O$13:O20,L$13:L20,1,A$13:A20,"No")&gt;=10,2,1),2))))</f>
        <v>3</v>
      </c>
      <c r="M21" s="395">
        <f>IF(Data1!B541=TRUE,L21,0)</f>
        <v>0</v>
      </c>
      <c r="N21" s="1752" t="str">
        <f t="shared" si="0"/>
        <v>Not Applicable to this Applicant</v>
      </c>
      <c r="O21" s="1533">
        <f t="shared" si="1"/>
        <v>3</v>
      </c>
      <c r="P21" s="569">
        <f t="shared" si="2"/>
        <v>2</v>
      </c>
    </row>
    <row r="22" spans="1:16" ht="17.5" customHeight="1">
      <c r="A22" s="1578" t="str">
        <f>IF(Data1!$B542=TRUE,"Yes","No")</f>
        <v>No</v>
      </c>
      <c r="B22" s="4"/>
      <c r="C22" s="409"/>
      <c r="D22" s="4"/>
      <c r="E22" s="2320" t="s">
        <v>1904</v>
      </c>
      <c r="F22" s="2320"/>
      <c r="G22" s="2320"/>
      <c r="H22" s="455">
        <v>2</v>
      </c>
      <c r="L22" s="1751">
        <f>IF(P22=0,0,IF(OR(Development_Category="&lt;select one&gt;",Development_Category="New Construction",Development_Category="Redevelopment",Development_Category="Acquisition and Redevelopment"),3,IF(Data1!B542=TRUE,IF(H$31&lt;=10,1,IF(SUMIF(A$13:A21,"Yes",O$13:O21)&lt;10,1,2)),IF(H$31&lt;10,IF(H$31+SUMIFS(O$13:O21,L$13:L21,1,A$13:A21,"No")&gt;=10,2,1),2))))</f>
        <v>3</v>
      </c>
      <c r="M22" s="395">
        <f>IF(Data1!B542=TRUE,L22,0)</f>
        <v>0</v>
      </c>
      <c r="N22" s="1752" t="str">
        <f t="shared" si="0"/>
        <v>Not Applicable to this Applicant</v>
      </c>
      <c r="O22" s="1533">
        <f t="shared" si="1"/>
        <v>2</v>
      </c>
      <c r="P22" s="569">
        <v>2</v>
      </c>
    </row>
    <row r="23" spans="1:16" ht="17.5" customHeight="1">
      <c r="A23" s="1578" t="str">
        <f>IF(Data1!$B543=TRUE,"Yes","No")</f>
        <v>No</v>
      </c>
      <c r="B23" s="4"/>
      <c r="C23" s="409"/>
      <c r="D23" s="4"/>
      <c r="E23" s="35" t="s">
        <v>748</v>
      </c>
      <c r="F23" s="35"/>
      <c r="G23" s="35"/>
      <c r="H23" s="455">
        <v>3</v>
      </c>
      <c r="L23" s="1751">
        <f>IF(P23=0,0,IF(OR(Development_Category="&lt;select one&gt;",Development_Category="New Construction",Development_Category="Redevelopment",Development_Category="Acquisition and Redevelopment"),3,IF(Data1!B543=TRUE,IF(H$31&lt;=10,1,IF(SUMIF(A$13:A22,"Yes",O$13:O22)&lt;10,1,2)),IF(H$31&lt;10,IF(H$31+SUMIFS(O$13:O22,L$13:L22,1,A$13:A22,"No")&gt;=10,2,1),2))))</f>
        <v>3</v>
      </c>
      <c r="M23" s="395">
        <f>IF(Data1!B543=TRUE,L23,0)</f>
        <v>0</v>
      </c>
      <c r="N23" s="1752" t="str">
        <f t="shared" si="0"/>
        <v>Not Applicable to this Applicant</v>
      </c>
      <c r="O23" s="1533">
        <f t="shared" si="1"/>
        <v>3</v>
      </c>
      <c r="P23" s="569">
        <f t="shared" si="2"/>
        <v>2</v>
      </c>
    </row>
    <row r="24" spans="1:16" ht="35.15" customHeight="1">
      <c r="A24" s="4"/>
      <c r="B24" s="4"/>
      <c r="C24" s="377"/>
      <c r="D24" s="4"/>
      <c r="E24" s="35" t="s">
        <v>744</v>
      </c>
      <c r="F24" s="2103" t="s">
        <v>743</v>
      </c>
      <c r="G24" s="2103"/>
      <c r="H24" s="377"/>
      <c r="J24" s="1534"/>
      <c r="K24" s="1534"/>
      <c r="L24"/>
      <c r="O24" s="1532"/>
    </row>
    <row r="25" spans="1:16" ht="17.5" customHeight="1">
      <c r="A25" s="4"/>
      <c r="B25" s="4"/>
      <c r="C25" s="377"/>
      <c r="D25" s="4"/>
      <c r="E25" s="35" t="s">
        <v>744</v>
      </c>
      <c r="F25" s="35" t="s">
        <v>745</v>
      </c>
      <c r="G25" s="35"/>
      <c r="H25" s="377"/>
      <c r="J25" s="638"/>
      <c r="K25" s="638"/>
      <c r="L25"/>
      <c r="O25" s="1532"/>
    </row>
    <row r="26" spans="1:16" ht="17.5" customHeight="1">
      <c r="A26" s="4"/>
      <c r="B26" s="4"/>
      <c r="C26" s="377"/>
      <c r="D26" s="4"/>
      <c r="E26" s="35"/>
      <c r="F26" s="407" t="s">
        <v>742</v>
      </c>
      <c r="G26" s="35" t="s">
        <v>746</v>
      </c>
      <c r="H26" s="377"/>
      <c r="J26" s="638"/>
      <c r="K26" s="638"/>
      <c r="L26"/>
      <c r="O26" s="1532"/>
    </row>
    <row r="27" spans="1:16" ht="35.15" customHeight="1">
      <c r="A27" s="4"/>
      <c r="B27" s="4"/>
      <c r="C27" s="377"/>
      <c r="D27" s="4"/>
      <c r="E27" s="377"/>
      <c r="F27" s="407" t="s">
        <v>742</v>
      </c>
      <c r="G27" s="406" t="s">
        <v>747</v>
      </c>
      <c r="H27" s="408"/>
      <c r="J27" s="638"/>
      <c r="K27" s="638"/>
      <c r="L27"/>
      <c r="O27" s="1532"/>
    </row>
    <row r="28" spans="1:16" ht="17.5" customHeight="1">
      <c r="A28" s="1578" t="str">
        <f>IF(Data1!$B548=TRUE,"Yes","No")</f>
        <v>No</v>
      </c>
      <c r="B28" s="4"/>
      <c r="C28" s="409"/>
      <c r="D28" s="4"/>
      <c r="E28" s="2141" t="s">
        <v>380</v>
      </c>
      <c r="F28" s="2141"/>
      <c r="G28" s="2141"/>
      <c r="H28" s="455">
        <v>2</v>
      </c>
      <c r="L28" s="1751">
        <f>IF(P28=0,0,IF(OR(Development_Category="&lt;select one&gt;",Development_Category="New Construction",Development_Category="Redevelopment",Development_Category="Acquisition and Redevelopment"),3,IF(Data1!B548=TRUE,IF(H$31&lt;=10,1,IF(SUMIF(A$13:A27,"Yes",O$13:O27)&lt;10,1,2)),IF(H$31&lt;10,IF(H$31+SUMIFS(O$13:O27,L$13:L27,1,A$13:A27,"No")&gt;=10,2,1),2))))</f>
        <v>3</v>
      </c>
      <c r="M28" s="395">
        <f>IF(Data1!B548=TRUE,L28,0)</f>
        <v>0</v>
      </c>
      <c r="N28" s="1752" t="str">
        <f t="shared" ref="N28:N29" si="3">CHOOSE(L28+1,"Not to be included in this RFA","A REQUIRED input field for this RFA","An OPTIONAL input field for this RFA","Not Applicable to this Applicant")</f>
        <v>Not Applicable to this Applicant</v>
      </c>
      <c r="O28" s="1533">
        <f t="shared" ref="O28:O29" si="4">H28</f>
        <v>2</v>
      </c>
      <c r="P28" s="569">
        <f>P$14</f>
        <v>2</v>
      </c>
    </row>
    <row r="29" spans="1:16" ht="35.15" customHeight="1">
      <c r="A29" s="1578" t="str">
        <f>IF(Data1!$B549=TRUE,"Yes","No")</f>
        <v>No</v>
      </c>
      <c r="B29" s="4"/>
      <c r="C29" s="409"/>
      <c r="D29" s="4"/>
      <c r="E29" s="2112" t="s">
        <v>381</v>
      </c>
      <c r="F29" s="2112"/>
      <c r="G29" s="2112"/>
      <c r="H29" s="455">
        <v>2</v>
      </c>
      <c r="L29" s="1751">
        <f>IF(P29=0,0,IF(OR(Development_Category="&lt;select one&gt;",Development_Category="New Construction",Development_Category="Redevelopment",Development_Category="Acquisition and Redevelopment"),3,IF(Data1!B549=TRUE,IF(H$31&lt;=10,1,IF(SUMIF(A$13:A28,"Yes",O$13:O28)&lt;10,1,2)),IF(H$31&lt;10,IF(H$31+SUMIFS(O$13:O28,L$13:L28,1,A$13:A28,"No")&gt;=10,2,1),2))))</f>
        <v>3</v>
      </c>
      <c r="M29" s="395">
        <f>IF(Data1!B549=TRUE,L29,0)</f>
        <v>0</v>
      </c>
      <c r="N29" s="1752" t="str">
        <f t="shared" si="3"/>
        <v>Not Applicable to this Applicant</v>
      </c>
      <c r="O29" s="1533">
        <f t="shared" si="4"/>
        <v>2</v>
      </c>
      <c r="P29" s="569">
        <f>P$14</f>
        <v>2</v>
      </c>
    </row>
    <row r="30" spans="1:16" ht="30" customHeight="1" thickBot="1">
      <c r="A30" s="4"/>
      <c r="B30" s="4"/>
      <c r="C30" s="4"/>
      <c r="D30" s="2114" t="str">
        <f>IF(AND(AND(Development_Category="New Construction",Development_Category="Redevelopment",Development_Category="Acquisition and Redevelopment"),H31&gt;0),"The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one&gt;",H31&lt;10),"Please select options that total at least 10 points from the above Green Building Features before proceeding",""))</f>
        <v/>
      </c>
      <c r="E30" s="2114"/>
      <c r="F30" s="2114"/>
      <c r="G30" s="2114"/>
      <c r="H30" s="2114"/>
    </row>
    <row r="31" spans="1:16" ht="17.5" customHeight="1" thickTop="1">
      <c r="A31" s="4"/>
      <c r="B31" s="4"/>
      <c r="C31" s="4"/>
      <c r="D31" s="4"/>
      <c r="E31" s="4"/>
      <c r="F31" s="4"/>
      <c r="G31" s="454" t="s">
        <v>382</v>
      </c>
      <c r="H31" s="456">
        <f>SUMIF(Data1!B534:B549,TRUE,H14:H29)</f>
        <v>0</v>
      </c>
      <c r="I31" s="53"/>
    </row>
    <row r="32" spans="1:16" ht="10.4" customHeight="1">
      <c r="A32" s="4"/>
      <c r="B32" s="4"/>
      <c r="C32" s="4"/>
      <c r="D32" s="4"/>
      <c r="E32" s="4"/>
      <c r="F32" s="4"/>
      <c r="G32" s="3"/>
      <c r="H32" s="4"/>
    </row>
    <row r="33" spans="1:8" ht="14.5" customHeight="1">
      <c r="A33" s="4"/>
      <c r="B33" s="377" t="s">
        <v>383</v>
      </c>
      <c r="C33" s="2321" t="s">
        <v>384</v>
      </c>
      <c r="D33" s="2321"/>
      <c r="E33" s="2321"/>
      <c r="F33" s="2321"/>
      <c r="G33" s="2321"/>
      <c r="H33" s="4"/>
    </row>
    <row r="34" spans="1:8" ht="30" customHeight="1">
      <c r="A34" s="4"/>
      <c r="B34" s="6" t="s">
        <v>385</v>
      </c>
      <c r="C34" s="2319" t="s">
        <v>386</v>
      </c>
      <c r="D34" s="2319"/>
      <c r="E34" s="2319"/>
      <c r="F34" s="2319"/>
      <c r="G34" s="2319"/>
      <c r="H34" s="4"/>
    </row>
    <row r="35" spans="1:8" ht="10.4" customHeight="1">
      <c r="A35" s="4"/>
      <c r="B35" s="4"/>
      <c r="C35" s="4"/>
      <c r="D35" s="4"/>
      <c r="E35" s="4"/>
      <c r="F35" s="4"/>
      <c r="G35" s="4"/>
      <c r="H35" s="4"/>
    </row>
  </sheetData>
  <sheetProtection algorithmName="SHA-512" hashValue="ObLmv3DHrBGYEKGmzkXgQWH3Yr33h5mu22PEXa23cSa5Dr1q/bzp3v5htK5dneU1fvZEkcr5iNCG2NpDZXKe2w==" saltValue="hVROUF2URjvuGx7DXnxsiw==" spinCount="100000" sheet="1" objects="1" scenarios="1" formatRows="0" selectLockedCells="1"/>
  <mergeCells count="24">
    <mergeCell ref="L3:P3"/>
    <mergeCell ref="E17:G17"/>
    <mergeCell ref="E18:G18"/>
    <mergeCell ref="A1:I1"/>
    <mergeCell ref="C12:H12"/>
    <mergeCell ref="B3:I3"/>
    <mergeCell ref="B5:I5"/>
    <mergeCell ref="B7:I7"/>
    <mergeCell ref="B9:I9"/>
    <mergeCell ref="C13:H13"/>
    <mergeCell ref="E14:G14"/>
    <mergeCell ref="E15:G15"/>
    <mergeCell ref="E16:G16"/>
    <mergeCell ref="K1:AE2"/>
    <mergeCell ref="C34:G34"/>
    <mergeCell ref="D30:H30"/>
    <mergeCell ref="E19:G19"/>
    <mergeCell ref="E20:G20"/>
    <mergeCell ref="E21:G21"/>
    <mergeCell ref="E22:G22"/>
    <mergeCell ref="E29:G29"/>
    <mergeCell ref="E28:G28"/>
    <mergeCell ref="F24:G24"/>
    <mergeCell ref="C33:G33"/>
  </mergeCells>
  <conditionalFormatting sqref="D30">
    <cfRule type="cellIs" dxfId="375" priority="1257" operator="notEqual">
      <formula>""</formula>
    </cfRule>
  </conditionalFormatting>
  <conditionalFormatting sqref="B14:H22 B28:H29">
    <cfRule type="expression" dxfId="374" priority="7">
      <formula>$L14=0</formula>
    </cfRule>
  </conditionalFormatting>
  <conditionalFormatting sqref="B23:H27">
    <cfRule type="expression" dxfId="373" priority="34">
      <formula>$L$23=0</formula>
    </cfRule>
  </conditionalFormatting>
  <conditionalFormatting sqref="B11:H12">
    <cfRule type="expression" dxfId="372" priority="2">
      <formula>$L$12=0</formula>
    </cfRule>
  </conditionalFormatting>
  <conditionalFormatting sqref="B30:H34">
    <cfRule type="expression" dxfId="371" priority="1256">
      <formula>SUM($L$14:$L$29)=0</formula>
    </cfRule>
  </conditionalFormatting>
  <conditionalFormatting sqref="B34:G34">
    <cfRule type="expression" dxfId="370" priority="1267">
      <formula>$L$22=0</formula>
    </cfRule>
  </conditionalFormatting>
  <conditionalFormatting sqref="B33:G33">
    <cfRule type="expression" dxfId="369" priority="1258">
      <formula>$L$18=0</formula>
    </cfRule>
  </conditionalFormatting>
  <conditionalFormatting sqref="C12:H12">
    <cfRule type="cellIs" dxfId="368" priority="3" operator="notEqual">
      <formula>"&lt;select one&gt;"</formula>
    </cfRule>
    <cfRule type="expression" dxfId="367" priority="4">
      <formula>AND($C12="&lt;select one&gt;",$H$31&gt;0)</formula>
    </cfRule>
  </conditionalFormatting>
  <conditionalFormatting sqref="B13:H29 B31:H34">
    <cfRule type="expression" dxfId="366" priority="6">
      <formula>AND(Development_Category="New Construction",Development_Category="Redevelopment",Development_Category="Acquisition and Redevelopment")</formula>
    </cfRule>
  </conditionalFormatting>
  <dataValidations count="3">
    <dataValidation type="list" allowBlank="1" showInputMessage="1" showErrorMessage="1" sqref="C12" xr:uid="{CFD94D85-0434-4E1C-814F-C4F4350DBC84}">
      <formula1>DS_Green_DDMenu</formula1>
    </dataValidation>
    <dataValidation type="list" allowBlank="1" showDropDown="1" showErrorMessage="1" error="To select this Resident Program, type in &quot;x&quot;." sqref="C14:C23 C28:C29" xr:uid="{DD2D25D6-E408-4452-9CC2-D80E62ADEBF4}">
      <formula1>"x,X"</formula1>
    </dataValidation>
    <dataValidation type="custom" allowBlank="1" showInputMessage="1" showErrorMessage="1" sqref="L12 P14:P23 P28:P29" xr:uid="{DEC48FF7-0C76-4351-9CD2-5F0BA6ED59E1}">
      <formula1>AND(L12&gt;=0,L12&lt;3,L12=ROUND(L12,0))</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13</xdr:row>
                    <xdr:rowOff>0</xdr:rowOff>
                  </from>
                  <to>
                    <xdr:col>5</xdr:col>
                    <xdr:colOff>69850</xdr:colOff>
                    <xdr:row>14</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13</xdr:row>
                    <xdr:rowOff>222250</xdr:rowOff>
                  </from>
                  <to>
                    <xdr:col>5</xdr:col>
                    <xdr:colOff>69850</xdr:colOff>
                    <xdr:row>15</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14</xdr:row>
                    <xdr:rowOff>222250</xdr:rowOff>
                  </from>
                  <to>
                    <xdr:col>5</xdr:col>
                    <xdr:colOff>69850</xdr:colOff>
                    <xdr:row>16</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16</xdr:row>
                    <xdr:rowOff>0</xdr:rowOff>
                  </from>
                  <to>
                    <xdr:col>5</xdr:col>
                    <xdr:colOff>69850</xdr:colOff>
                    <xdr:row>16</xdr:row>
                    <xdr:rowOff>222250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16</xdr:row>
                    <xdr:rowOff>419100</xdr:rowOff>
                  </from>
                  <to>
                    <xdr:col>5</xdr:col>
                    <xdr:colOff>69850</xdr:colOff>
                    <xdr:row>17</xdr:row>
                    <xdr:rowOff>203200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17</xdr:row>
                    <xdr:rowOff>222250</xdr:rowOff>
                  </from>
                  <to>
                    <xdr:col>5</xdr:col>
                    <xdr:colOff>69850</xdr:colOff>
                    <xdr:row>18</xdr:row>
                    <xdr:rowOff>222250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18</xdr:row>
                    <xdr:rowOff>431800</xdr:rowOff>
                  </from>
                  <to>
                    <xdr:col>5</xdr:col>
                    <xdr:colOff>69850</xdr:colOff>
                    <xdr:row>19</xdr:row>
                    <xdr:rowOff>215900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19</xdr:row>
                    <xdr:rowOff>660400</xdr:rowOff>
                  </from>
                  <to>
                    <xdr:col>5</xdr:col>
                    <xdr:colOff>69850</xdr:colOff>
                    <xdr:row>20</xdr:row>
                    <xdr:rowOff>222250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20</xdr:row>
                    <xdr:rowOff>603250</xdr:rowOff>
                  </from>
                  <to>
                    <xdr:col>5</xdr:col>
                    <xdr:colOff>69850</xdr:colOff>
                    <xdr:row>21</xdr:row>
                    <xdr:rowOff>215900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22</xdr:row>
                    <xdr:rowOff>0</xdr:rowOff>
                  </from>
                  <to>
                    <xdr:col>5</xdr:col>
                    <xdr:colOff>69850</xdr:colOff>
                    <xdr:row>23</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27</xdr:row>
                    <xdr:rowOff>0</xdr:rowOff>
                  </from>
                  <to>
                    <xdr:col>5</xdr:col>
                    <xdr:colOff>69850</xdr:colOff>
                    <xdr:row>28</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27</xdr:row>
                    <xdr:rowOff>222250</xdr:rowOff>
                  </from>
                  <to>
                    <xdr:col>5</xdr:col>
                    <xdr:colOff>69850</xdr:colOff>
                    <xdr:row>28</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7B6290EC-7C27-4294-8FF8-160C3374D504}">
            <xm:f>Data1!$E$608="Yes"</xm:f>
            <x14:dxf>
              <font>
                <color theme="0"/>
              </font>
              <fill>
                <patternFill>
                  <bgColor theme="0"/>
                </patternFill>
              </fill>
              <border>
                <left/>
                <right/>
                <top/>
                <bottom/>
                <vertical/>
                <horizontal/>
              </border>
            </x14:dxf>
          </x14:cfRule>
          <xm:sqref>N7:O7 L9:N10 L12:N12 L14:P23 L28:P29</xm:sqref>
        </x14:conditionalFormatting>
        <x14:conditionalFormatting xmlns:xm="http://schemas.microsoft.com/office/excel/2006/main">
          <x14:cfRule type="expression" priority="13" id="{00000000-000E-0000-0E00-000006000000}">
            <xm:f>Data1!$B534=TRUE</xm:f>
            <x14:dxf>
              <fill>
                <patternFill>
                  <bgColor theme="9" tint="0.79998168889431442"/>
                </patternFill>
              </fill>
            </x14:dxf>
          </x14:cfRule>
          <xm:sqref>C14:H22 C28:H29</xm:sqref>
        </x14:conditionalFormatting>
        <x14:conditionalFormatting xmlns:xm="http://schemas.microsoft.com/office/excel/2006/main">
          <x14:cfRule type="expression" priority="1124" id="{00000000-000E-0000-0E00-000008000000}">
            <xm:f>Data1!$B$543=TRUE</xm:f>
            <x14:dxf>
              <fill>
                <patternFill>
                  <bgColor theme="9" tint="0.79998168889431442"/>
                </patternFill>
              </fill>
            </x14:dxf>
          </x14:cfRule>
          <xm:sqref>C23:H27</xm:sqref>
        </x14:conditionalFormatting>
        <x14:conditionalFormatting xmlns:xm="http://schemas.microsoft.com/office/excel/2006/main">
          <x14:cfRule type="expression" priority="1" id="{59596C7A-AA1C-4901-91C7-15BFDA81BC94}">
            <xm:f>Data1!$E$602="Yes"</xm:f>
            <x14:dxf>
              <font>
                <color theme="0"/>
              </font>
              <fill>
                <patternFill>
                  <bgColor theme="0"/>
                </patternFill>
              </fill>
              <border>
                <left/>
                <right/>
                <top/>
                <bottom/>
              </border>
            </x14:dxf>
          </x14:cfRule>
          <xm:sqref>N7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selection activeCell="E16" sqref="E16:H16"/>
    </sheetView>
  </sheetViews>
  <sheetFormatPr defaultColWidth="8.54296875" defaultRowHeight="14.5"/>
  <cols>
    <col min="1" max="1" width="3" customWidth="1"/>
    <col min="2" max="3" width="3.54296875" customWidth="1"/>
    <col min="4" max="4" width="18.453125" customWidth="1"/>
    <col min="5" max="5" width="35.54296875" customWidth="1"/>
    <col min="6" max="6" width="24.54296875" customWidth="1"/>
    <col min="7" max="7" width="14.1796875" customWidth="1"/>
    <col min="8" max="8" width="8.453125" customWidth="1"/>
    <col min="9" max="9" width="8.81640625" customWidth="1"/>
    <col min="10" max="10" width="3.54296875" customWidth="1"/>
    <col min="11" max="12" width="3.54296875" hidden="1" customWidth="1"/>
    <col min="13" max="13" width="35.81640625" hidden="1" customWidth="1"/>
    <col min="14" max="14" width="3.54296875" hidden="1" customWidth="1"/>
  </cols>
  <sheetData>
    <row r="1" spans="1:27" ht="35.9" customHeight="1" thickBot="1">
      <c r="A1" s="2326" t="s">
        <v>1572</v>
      </c>
      <c r="B1" s="2327"/>
      <c r="C1" s="2327"/>
      <c r="D1" s="2327"/>
      <c r="E1" s="2327"/>
      <c r="F1" s="2327"/>
      <c r="G1" s="2327"/>
      <c r="H1" s="2328"/>
      <c r="I1" s="222"/>
      <c r="J1" s="2101"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"&amp;IF(Data1!G609=1,"is ","are ")&amp;TEXT(Data1!G609,"0")&amp;" required input field"&amp;IF(Data1!G609=1," that need an entry","s that need entries")&amp;" and "&amp;TEXT(Data1!H609,"0")&amp;" optional input field"&amp;IF(Data1!H609=1,"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101"/>
      <c r="L1" s="2101"/>
      <c r="M1" s="2101"/>
      <c r="N1" s="2101"/>
      <c r="O1" s="2101"/>
      <c r="P1" s="2101"/>
      <c r="Q1" s="2101"/>
      <c r="R1" s="2101"/>
      <c r="S1" s="2101"/>
      <c r="T1" s="2101"/>
      <c r="U1" s="2101"/>
      <c r="V1" s="2101"/>
      <c r="W1" s="2101"/>
      <c r="X1" s="2101"/>
      <c r="Y1" s="2101"/>
      <c r="Z1" s="2101"/>
      <c r="AA1" s="2101"/>
    </row>
    <row r="2" spans="1:27" ht="14.5" customHeight="1">
      <c r="A2" s="1326"/>
      <c r="B2" s="1327"/>
      <c r="C2" s="1327"/>
      <c r="D2" s="1327"/>
      <c r="E2" s="1327"/>
      <c r="F2" s="1327"/>
      <c r="G2" s="1327"/>
      <c r="H2" s="1327"/>
      <c r="I2" s="1327"/>
      <c r="J2" s="2101"/>
      <c r="K2" s="2101"/>
      <c r="L2" s="2101"/>
      <c r="M2" s="2101"/>
      <c r="N2" s="2101"/>
      <c r="O2" s="2101"/>
      <c r="P2" s="2101"/>
      <c r="Q2" s="2101"/>
      <c r="R2" s="2101"/>
      <c r="S2" s="2101"/>
      <c r="T2" s="2101"/>
      <c r="U2" s="2101"/>
      <c r="V2" s="2101"/>
      <c r="W2" s="2101"/>
      <c r="X2" s="2101"/>
      <c r="Y2" s="2101"/>
      <c r="Z2" s="2101"/>
      <c r="AA2" s="2101"/>
    </row>
    <row r="3" spans="1:27" ht="17.5" customHeight="1">
      <c r="A3" s="2101" t="s">
        <v>1573</v>
      </c>
      <c r="B3" s="2101"/>
      <c r="C3" s="2101"/>
      <c r="D3" s="2101"/>
      <c r="E3" s="2101"/>
      <c r="F3" s="2101"/>
      <c r="G3" s="2101"/>
      <c r="H3" s="2101"/>
      <c r="K3" s="2147" t="s">
        <v>1772</v>
      </c>
      <c r="L3" s="2147"/>
      <c r="M3" s="2147"/>
      <c r="N3" s="2147"/>
      <c r="O3" s="1311"/>
      <c r="P3" s="1311"/>
      <c r="Q3" s="1311"/>
      <c r="R3" s="1311"/>
      <c r="S3" s="1311"/>
      <c r="T3" s="923"/>
      <c r="U3" s="923"/>
      <c r="V3" s="923"/>
      <c r="W3" s="923"/>
      <c r="X3" s="923"/>
      <c r="Y3" s="923"/>
      <c r="Z3" s="923"/>
    </row>
    <row r="4" spans="1:27" ht="17.5" customHeight="1">
      <c r="A4" s="2101"/>
      <c r="B4" s="2101"/>
      <c r="C4" s="2101"/>
      <c r="D4" s="2101"/>
      <c r="E4" s="2101"/>
      <c r="F4" s="2101"/>
      <c r="G4" s="2101"/>
      <c r="H4" s="2101"/>
      <c r="I4" s="1326"/>
      <c r="J4" s="1326"/>
      <c r="K4" s="108"/>
      <c r="L4" s="108"/>
      <c r="M4" s="108"/>
      <c r="N4" s="1311"/>
      <c r="O4" s="1311"/>
      <c r="P4" s="1311"/>
      <c r="Q4" s="1311"/>
      <c r="R4" s="1311"/>
      <c r="S4" s="1311"/>
      <c r="T4" s="923"/>
      <c r="U4" s="923"/>
      <c r="V4" s="923"/>
      <c r="W4" s="923"/>
      <c r="X4" s="923"/>
      <c r="Y4" s="923"/>
      <c r="Z4" s="923"/>
    </row>
    <row r="5" spans="1:27" ht="17.5" customHeight="1">
      <c r="A5" s="2101"/>
      <c r="B5" s="2101"/>
      <c r="C5" s="2101"/>
      <c r="D5" s="2101"/>
      <c r="E5" s="2101"/>
      <c r="F5" s="2101"/>
      <c r="G5" s="2101"/>
      <c r="H5" s="2101"/>
      <c r="I5" s="1328"/>
      <c r="J5" s="1328"/>
      <c r="K5" s="108"/>
      <c r="L5" s="108"/>
      <c r="M5" s="1110">
        <v>1</v>
      </c>
      <c r="N5" s="1311"/>
      <c r="O5" s="1311"/>
      <c r="P5" s="1311"/>
      <c r="Q5" s="1311"/>
      <c r="R5" s="1311"/>
      <c r="S5" s="1311"/>
      <c r="T5" s="923"/>
      <c r="U5" s="923"/>
      <c r="V5" s="923"/>
      <c r="W5" s="923"/>
      <c r="X5" s="923"/>
      <c r="Y5" s="923"/>
      <c r="Z5" s="923"/>
    </row>
    <row r="6" spans="1:27" s="108" customFormat="1" ht="10.4" customHeight="1">
      <c r="A6" s="1326"/>
      <c r="B6" s="1327"/>
      <c r="C6" s="1327"/>
      <c r="D6" s="1327"/>
      <c r="E6" s="1327"/>
      <c r="F6" s="1327"/>
      <c r="G6" s="1327"/>
      <c r="H6" s="1327"/>
      <c r="I6" s="1327"/>
    </row>
    <row r="7" spans="1:27" ht="85.25" customHeight="1">
      <c r="A7" s="1579" t="str">
        <f>IF(Data1!$B552=TRUE,"Yes","No")</f>
        <v>No</v>
      </c>
      <c r="B7" s="1329"/>
      <c r="C7" s="2101" t="s">
        <v>2096</v>
      </c>
      <c r="D7" s="2101"/>
      <c r="E7" s="2101"/>
      <c r="F7" s="2101"/>
      <c r="G7" s="2101"/>
      <c r="H7" s="2101"/>
      <c r="K7" s="1711">
        <f>IF(M$5=0,0,IF(AND(DS_ExcelCheckbox_Coordination_Exp_3rd_party=FALSE,DS_ExcelCheckbox_ExpApplicant=FALSE),1,2))</f>
        <v>1</v>
      </c>
      <c r="L7" s="606">
        <f>IF(Data1!B552=TRUE,K7,0)</f>
        <v>0</v>
      </c>
      <c r="M7" s="1312" t="str">
        <f t="shared" ref="M7:M8" si="0">CHOOSE(K7+1,"Not to be included in this RFA","A REQUIRED input field for this RFA","An OPTIONAL input field for this RFA")</f>
        <v>A REQUIRED input field for this RFA</v>
      </c>
    </row>
    <row r="8" spans="1:27" ht="35" customHeight="1">
      <c r="A8" s="1579" t="str">
        <f>IF(Data1!$B553=TRUE,"Yes","No")</f>
        <v>No</v>
      </c>
      <c r="B8" s="1329"/>
      <c r="C8" s="2101" t="s">
        <v>1574</v>
      </c>
      <c r="D8" s="2101"/>
      <c r="E8" s="2101"/>
      <c r="F8" s="2101"/>
      <c r="G8" s="2101"/>
      <c r="H8" s="2101"/>
      <c r="K8" s="1711">
        <f>IF(M$5=0,0,IF(K7=1,2,IF(K7=2,1,2)))</f>
        <v>2</v>
      </c>
      <c r="L8" s="606">
        <f>IF(Data1!B553=TRUE,K8,0)</f>
        <v>0</v>
      </c>
      <c r="M8" s="1312" t="str">
        <f t="shared" si="0"/>
        <v>An OPTIONAL input field for this RFA</v>
      </c>
    </row>
    <row r="9" spans="1:27" ht="10.4" customHeight="1">
      <c r="B9" s="1313"/>
      <c r="C9" s="2111"/>
      <c r="D9" s="2111"/>
      <c r="E9" s="2111"/>
      <c r="F9" s="2111"/>
      <c r="I9" s="1330"/>
      <c r="J9" s="1330"/>
    </row>
    <row r="10" spans="1:27" ht="20" customHeight="1">
      <c r="B10" s="2101" t="s">
        <v>1575</v>
      </c>
      <c r="C10" s="2101"/>
      <c r="D10" s="2101"/>
      <c r="E10" s="2101"/>
      <c r="F10" s="2101"/>
      <c r="G10" s="2101"/>
      <c r="H10" s="2101"/>
      <c r="K10" s="1569" t="s">
        <v>1780</v>
      </c>
    </row>
    <row r="11" spans="1:27" ht="20" customHeight="1">
      <c r="B11" s="2101"/>
      <c r="C11" s="2101"/>
      <c r="D11" s="2101"/>
      <c r="E11" s="2101"/>
      <c r="F11" s="2101"/>
      <c r="G11" s="2101"/>
      <c r="H11" s="2101"/>
      <c r="K11" s="1570" t="s">
        <v>1779</v>
      </c>
    </row>
    <row r="12" spans="1:27" ht="20" customHeight="1">
      <c r="B12" s="2101"/>
      <c r="C12" s="2101"/>
      <c r="D12" s="2101"/>
      <c r="E12" s="2101"/>
      <c r="F12" s="2101"/>
      <c r="G12" s="2101"/>
      <c r="H12" s="2101"/>
    </row>
    <row r="13" spans="1:27" ht="10.4" customHeight="1">
      <c r="B13" s="1589"/>
      <c r="C13" s="1589"/>
      <c r="D13" s="1589"/>
      <c r="E13" s="1589"/>
      <c r="F13" s="1589"/>
      <c r="G13" s="1589"/>
      <c r="H13" s="1589"/>
    </row>
    <row r="14" spans="1:27" ht="20" customHeight="1">
      <c r="B14" s="2323"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2323"/>
      <c r="D14" s="2323"/>
      <c r="E14" s="2323"/>
      <c r="F14" s="2323"/>
      <c r="G14" s="2323"/>
      <c r="H14" s="2323"/>
      <c r="M14" s="1110">
        <v>1</v>
      </c>
    </row>
    <row r="15" spans="1:27" ht="20" customHeight="1">
      <c r="B15" s="2101"/>
      <c r="C15" s="2101"/>
      <c r="D15" s="2101"/>
      <c r="E15" s="2101"/>
      <c r="F15" s="2101"/>
      <c r="G15" s="2101"/>
      <c r="H15" s="2101"/>
      <c r="M15" s="609" t="str">
        <f>IF(AND(M14=1,SUM(N16:N18)=0),"Need to enter a 1 in cell M14","")</f>
        <v/>
      </c>
    </row>
    <row r="16" spans="1:27" ht="17.5" customHeight="1">
      <c r="B16" s="1331"/>
      <c r="C16" s="1331"/>
      <c r="D16" s="1332" t="s">
        <v>222</v>
      </c>
      <c r="E16" s="2139"/>
      <c r="F16" s="2139"/>
      <c r="G16" s="2139"/>
      <c r="H16" s="2139"/>
      <c r="K16" s="1711">
        <f>IF(M$14=0,0,N16)</f>
        <v>1</v>
      </c>
      <c r="L16" s="606">
        <f>IF(E16&lt;&gt;"",K16,0)</f>
        <v>0</v>
      </c>
      <c r="M16" s="740" t="str">
        <f t="shared" ref="M16:M18" si="1">CHOOSE(K16+1,"Not to be included in this RFA","A REQUIRED input field for this RFA","An OPTIONAL input field for this RFA")</f>
        <v>A REQUIRED input field for this RFA</v>
      </c>
      <c r="N16" s="1590">
        <v>1</v>
      </c>
    </row>
    <row r="17" spans="2:14" ht="45" customHeight="1">
      <c r="D17" s="1332" t="s">
        <v>223</v>
      </c>
      <c r="E17" s="2139"/>
      <c r="F17" s="2139"/>
      <c r="G17" s="2139"/>
      <c r="H17" s="2139"/>
      <c r="K17" s="1711">
        <f>IF(M$14=0,0,N17)</f>
        <v>1</v>
      </c>
      <c r="L17" s="606">
        <f>IF(E17&lt;&gt;"",K17,0)</f>
        <v>0</v>
      </c>
      <c r="M17" s="740" t="str">
        <f t="shared" si="1"/>
        <v>A REQUIRED input field for this RFA</v>
      </c>
      <c r="N17" s="1590">
        <v>1</v>
      </c>
    </row>
    <row r="18" spans="2:14" ht="17.5" customHeight="1">
      <c r="B18" s="1331"/>
      <c r="D18" s="137" t="s">
        <v>224</v>
      </c>
      <c r="E18" s="1333"/>
      <c r="K18" s="1711">
        <f>IF(M$14=0,0,N18)</f>
        <v>1</v>
      </c>
      <c r="L18" s="606">
        <f>IF(N(E18)&gt;0,K18,0)</f>
        <v>0</v>
      </c>
      <c r="M18" s="740" t="str">
        <f t="shared" si="1"/>
        <v>A REQUIRED input field for this RFA</v>
      </c>
      <c r="N18" s="1590">
        <v>1</v>
      </c>
    </row>
    <row r="19" spans="2:14" ht="10.4" customHeight="1">
      <c r="K19" s="222"/>
    </row>
    <row r="20" spans="2:14" ht="20" customHeight="1">
      <c r="B20" s="2323"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2323"/>
      <c r="D20" s="2323"/>
      <c r="E20" s="2323"/>
      <c r="F20" s="2323"/>
      <c r="G20" s="2323"/>
      <c r="H20" s="2323"/>
      <c r="K20" s="222"/>
      <c r="M20" s="1110">
        <v>1</v>
      </c>
    </row>
    <row r="21" spans="2:14" ht="20" customHeight="1">
      <c r="B21" s="2101"/>
      <c r="C21" s="2101"/>
      <c r="D21" s="2101"/>
      <c r="E21" s="2101"/>
      <c r="F21" s="2101"/>
      <c r="G21" s="2101"/>
      <c r="H21" s="2101"/>
      <c r="K21" s="222"/>
      <c r="M21" s="609" t="str">
        <f>IF(AND(M20=1,SUM(N22:N24)=0),"Need to enter a 1 in cell M20","")</f>
        <v/>
      </c>
    </row>
    <row r="22" spans="2:14" ht="17.5" customHeight="1">
      <c r="B22" s="1331"/>
      <c r="C22" s="1331"/>
      <c r="D22" s="1332" t="s">
        <v>222</v>
      </c>
      <c r="E22" s="2139"/>
      <c r="F22" s="2139"/>
      <c r="G22" s="2139"/>
      <c r="H22" s="2139"/>
      <c r="K22" s="1711">
        <f>IF(M$20=0,0,N22)</f>
        <v>1</v>
      </c>
      <c r="L22" s="606">
        <f>IF(E22&lt;&gt;"",K22,0)</f>
        <v>0</v>
      </c>
      <c r="M22" s="740" t="str">
        <f t="shared" ref="M22:M24" si="2">CHOOSE(K22+1,"Not to be included in this RFA","A REQUIRED input field for this RFA","An OPTIONAL input field for this RFA")</f>
        <v>A REQUIRED input field for this RFA</v>
      </c>
      <c r="N22" s="1590">
        <v>1</v>
      </c>
    </row>
    <row r="23" spans="2:14" ht="45" customHeight="1">
      <c r="D23" s="1332" t="s">
        <v>223</v>
      </c>
      <c r="E23" s="2139"/>
      <c r="F23" s="2139"/>
      <c r="G23" s="2139"/>
      <c r="H23" s="2139"/>
      <c r="K23" s="1711">
        <f>IF(M$20=0,0,N23)</f>
        <v>1</v>
      </c>
      <c r="L23" s="606">
        <f>IF(E23&lt;&gt;"",K23,0)</f>
        <v>0</v>
      </c>
      <c r="M23" s="740" t="str">
        <f t="shared" si="2"/>
        <v>A REQUIRED input field for this RFA</v>
      </c>
      <c r="N23" s="1590">
        <v>1</v>
      </c>
    </row>
    <row r="24" spans="2:14" ht="17.5" customHeight="1">
      <c r="B24" s="1331"/>
      <c r="D24" s="137" t="s">
        <v>224</v>
      </c>
      <c r="E24" s="1333"/>
      <c r="K24" s="1711">
        <f>IF(M$20=0,0,N24)</f>
        <v>1</v>
      </c>
      <c r="L24" s="606">
        <f>IF(N(E24)&gt;0,K24,0)</f>
        <v>0</v>
      </c>
      <c r="M24" s="740" t="str">
        <f t="shared" si="2"/>
        <v>A REQUIRED input field for this RFA</v>
      </c>
      <c r="N24" s="1590">
        <v>1</v>
      </c>
    </row>
    <row r="25" spans="2:14" ht="10.4" customHeight="1">
      <c r="K25" s="222"/>
    </row>
    <row r="26" spans="2:14" ht="20" customHeight="1">
      <c r="B26" s="2323"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2323"/>
      <c r="D26" s="2323"/>
      <c r="E26" s="2323"/>
      <c r="F26" s="2323"/>
      <c r="G26" s="2323"/>
      <c r="H26" s="2323"/>
      <c r="K26" s="222"/>
      <c r="M26" s="1110">
        <v>1</v>
      </c>
    </row>
    <row r="27" spans="2:14" ht="20" customHeight="1">
      <c r="B27" s="2101"/>
      <c r="C27" s="2101"/>
      <c r="D27" s="2101"/>
      <c r="E27" s="2101"/>
      <c r="F27" s="2101"/>
      <c r="G27" s="2101"/>
      <c r="H27" s="2101"/>
      <c r="K27" s="222"/>
      <c r="M27" s="609" t="str">
        <f>IF(AND(M26=1,SUM(N28:N30)=0),"Need to enter a 1 in cell M26","")</f>
        <v/>
      </c>
    </row>
    <row r="28" spans="2:14" ht="17.5" customHeight="1">
      <c r="B28" s="1331"/>
      <c r="C28" s="1331"/>
      <c r="D28" s="1332" t="s">
        <v>222</v>
      </c>
      <c r="E28" s="2139"/>
      <c r="F28" s="2139"/>
      <c r="G28" s="2139"/>
      <c r="H28" s="2139"/>
      <c r="K28" s="1711">
        <f t="shared" ref="K28:K30" si="3">$K$7</f>
        <v>1</v>
      </c>
      <c r="L28" s="606">
        <f>IF(E28&lt;&gt;"",K28,0)</f>
        <v>0</v>
      </c>
      <c r="M28" s="740" t="str">
        <f t="shared" ref="M28:M30" si="4">CHOOSE(K28+1,"Not to be included in this RFA","A REQUIRED input field for this RFA","An OPTIONAL input field for this RFA")</f>
        <v>A REQUIRED input field for this RFA</v>
      </c>
      <c r="N28" s="1590">
        <v>1</v>
      </c>
    </row>
    <row r="29" spans="2:14" ht="45" customHeight="1">
      <c r="D29" s="1332" t="s">
        <v>223</v>
      </c>
      <c r="E29" s="2139"/>
      <c r="F29" s="2139"/>
      <c r="G29" s="2139"/>
      <c r="H29" s="2139"/>
      <c r="K29" s="1711">
        <f t="shared" si="3"/>
        <v>1</v>
      </c>
      <c r="L29" s="606">
        <f>IF(E29&lt;&gt;"",K29,0)</f>
        <v>0</v>
      </c>
      <c r="M29" s="740" t="str">
        <f t="shared" si="4"/>
        <v>A REQUIRED input field for this RFA</v>
      </c>
      <c r="N29" s="1590">
        <v>1</v>
      </c>
    </row>
    <row r="30" spans="2:14" ht="17.5" customHeight="1">
      <c r="B30" s="1331"/>
      <c r="D30" s="137" t="s">
        <v>224</v>
      </c>
      <c r="E30" s="1333"/>
      <c r="K30" s="1711">
        <f t="shared" si="3"/>
        <v>1</v>
      </c>
      <c r="L30" s="606">
        <f>IF(N(E30)&gt;0,K30,0)</f>
        <v>0</v>
      </c>
      <c r="M30" s="740" t="str">
        <f t="shared" si="4"/>
        <v>A REQUIRED input field for this RFA</v>
      </c>
      <c r="N30" s="1590">
        <v>1</v>
      </c>
    </row>
    <row r="31" spans="2:14" ht="10.4" customHeight="1">
      <c r="K31" s="222"/>
    </row>
    <row r="32" spans="2:14" ht="20" customHeight="1">
      <c r="B32" s="2323"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2323"/>
      <c r="D32" s="2323"/>
      <c r="E32" s="2323"/>
      <c r="F32" s="2323"/>
      <c r="G32" s="2323"/>
      <c r="H32" s="2323"/>
      <c r="K32" s="222"/>
      <c r="M32" s="1110">
        <v>1</v>
      </c>
    </row>
    <row r="33" spans="2:14" ht="20" customHeight="1">
      <c r="B33" s="2101"/>
      <c r="C33" s="2101"/>
      <c r="D33" s="2101"/>
      <c r="E33" s="2101"/>
      <c r="F33" s="2101"/>
      <c r="G33" s="2101"/>
      <c r="H33" s="2101"/>
      <c r="K33" s="222"/>
      <c r="M33" s="609" t="str">
        <f>IF(AND(M32=1,SUM(N34:N36)=0),"Need to enter a 1 in cell M32","")</f>
        <v/>
      </c>
    </row>
    <row r="34" spans="2:14" ht="17.5" customHeight="1">
      <c r="B34" s="1331"/>
      <c r="C34" s="1331"/>
      <c r="D34" s="1332" t="s">
        <v>222</v>
      </c>
      <c r="E34" s="2139"/>
      <c r="F34" s="2139"/>
      <c r="G34" s="2139"/>
      <c r="H34" s="2139"/>
      <c r="K34" s="1711">
        <f>IF(M$32=0,0,N34)</f>
        <v>1</v>
      </c>
      <c r="L34" s="606">
        <f>IF(E34&lt;&gt;"",K34,0)</f>
        <v>0</v>
      </c>
      <c r="M34" s="740" t="str">
        <f t="shared" ref="M34:M36" si="5">CHOOSE(K34+1,"Not to be included in this RFA","A REQUIRED input field for this RFA","An OPTIONAL input field for this RFA")</f>
        <v>A REQUIRED input field for this RFA</v>
      </c>
      <c r="N34" s="1590">
        <v>1</v>
      </c>
    </row>
    <row r="35" spans="2:14" ht="45" customHeight="1">
      <c r="D35" s="1332" t="s">
        <v>223</v>
      </c>
      <c r="E35" s="2139"/>
      <c r="F35" s="2139"/>
      <c r="G35" s="2139"/>
      <c r="H35" s="2139"/>
      <c r="K35" s="1711">
        <f>IF(M$32=0,0,N35)</f>
        <v>1</v>
      </c>
      <c r="L35" s="606">
        <f>IF(E35&lt;&gt;"",K35,0)</f>
        <v>0</v>
      </c>
      <c r="M35" s="740" t="str">
        <f t="shared" si="5"/>
        <v>A REQUIRED input field for this RFA</v>
      </c>
      <c r="N35" s="1590">
        <v>1</v>
      </c>
    </row>
    <row r="36" spans="2:14" ht="17.5" customHeight="1">
      <c r="B36" s="1331"/>
      <c r="D36" s="137" t="s">
        <v>224</v>
      </c>
      <c r="E36" s="1333"/>
      <c r="K36" s="1711">
        <f>IF(M$32=0,0,N36)</f>
        <v>1</v>
      </c>
      <c r="L36" s="606">
        <f>IF(N(E36)&gt;0,K36,0)</f>
        <v>0</v>
      </c>
      <c r="M36" s="740" t="str">
        <f t="shared" si="5"/>
        <v>A REQUIRED input field for this RFA</v>
      </c>
      <c r="N36" s="1590">
        <v>1</v>
      </c>
    </row>
    <row r="37" spans="2:14" ht="10.4" customHeight="1"/>
    <row r="38" spans="2:14" ht="20" customHeight="1">
      <c r="B38" s="2324" t="s">
        <v>1576</v>
      </c>
      <c r="C38" s="2324"/>
      <c r="D38" s="2324"/>
      <c r="E38" s="2324"/>
      <c r="F38" s="2324"/>
      <c r="G38" s="2324"/>
      <c r="H38" s="2324"/>
    </row>
    <row r="39" spans="2:14" ht="20" customHeight="1">
      <c r="B39" s="2101"/>
      <c r="C39" s="2101"/>
      <c r="D39" s="2101"/>
      <c r="E39" s="2101"/>
      <c r="F39" s="2101"/>
      <c r="G39" s="2101"/>
      <c r="H39" s="2101"/>
    </row>
    <row r="40" spans="2:14" ht="17.5" customHeight="1">
      <c r="B40" s="2325" t="str">
        <f>"Total Number of Units from the above "&amp;CHOOSE(M$14+M$20+M$26+M$32+1,"no","one","two","three","four")&amp;" development"&amp;IF(M$14+M$20+M$26+M$32=1,"","s")&amp;":"</f>
        <v>Total Number of Units from the above four developments:</v>
      </c>
      <c r="C40" s="2325"/>
      <c r="D40" s="2325"/>
      <c r="E40" s="2325"/>
      <c r="F40" s="1334">
        <f>N(E18)+N(E24)+N(E30)+N(E36)</f>
        <v>0</v>
      </c>
      <c r="G40" s="1335"/>
      <c r="H40" s="1335"/>
    </row>
    <row r="41" spans="2:14" ht="10.4" customHeight="1"/>
    <row r="42" spans="2:14" ht="17.5" customHeight="1">
      <c r="B42" s="2322" t="str">
        <f>IF(AND(N(Total_Units)&gt;0,N(Owner_operator_Exp_total_Dev_units)&gt;0),IF(N(Owner_operator_Exp_total_Dev_units)&gt;=50%*N(Total_Units),"","The combined Total Number of Units above is not at least 50% of Total Units of the Proposed Development."),"")</f>
        <v/>
      </c>
      <c r="C42" s="2322"/>
      <c r="D42" s="2322"/>
      <c r="E42" s="2322"/>
      <c r="F42" s="2322"/>
      <c r="G42" s="2322"/>
      <c r="H42" s="2322"/>
    </row>
    <row r="43" spans="2:14" ht="17.5" customHeight="1"/>
    <row r="44" spans="2:14" ht="17.5" customHeight="1"/>
  </sheetData>
  <sheetProtection algorithmName="SHA-512" hashValue="tlMuWePJBQSE/2M3oLfefE6+Nfevysz8hDRnjMcBHdF6RYJq6zrasKBjzPhpom9kJ1yybdBh35sKJVIP7Ypl4w==" saltValue="/UrecSb6/NSHH0276Moawg==" spinCount="100000" sheet="1" objects="1" scenarios="1" formatRows="0" selectLockedCells="1"/>
  <mergeCells count="23">
    <mergeCell ref="J1:AA2"/>
    <mergeCell ref="K3:N3"/>
    <mergeCell ref="E35:H35"/>
    <mergeCell ref="B38:H39"/>
    <mergeCell ref="B40:E40"/>
    <mergeCell ref="E22:H22"/>
    <mergeCell ref="A1:H1"/>
    <mergeCell ref="A3:H5"/>
    <mergeCell ref="C7:H7"/>
    <mergeCell ref="C8:H8"/>
    <mergeCell ref="B20:H21"/>
    <mergeCell ref="C9:F9"/>
    <mergeCell ref="B10:H12"/>
    <mergeCell ref="B14:H15"/>
    <mergeCell ref="E16:H16"/>
    <mergeCell ref="E17:H17"/>
    <mergeCell ref="B42:H42"/>
    <mergeCell ref="E23:H23"/>
    <mergeCell ref="B26:H27"/>
    <mergeCell ref="E28:H28"/>
    <mergeCell ref="E29:H29"/>
    <mergeCell ref="B32:H33"/>
    <mergeCell ref="E34:H34"/>
  </mergeCells>
  <conditionalFormatting sqref="C9">
    <cfRule type="expression" dxfId="361" priority="11" stopIfTrue="1">
      <formula>AND($C9="Please select at least three of the above resident programs before proceeding",OR(Demographic="Family",Demographic="Workforce"))</formula>
    </cfRule>
    <cfRule type="cellIs" dxfId="360" priority="13" operator="equal">
      <formula>"The above programs are not applicable to the selected Demographic Commitment"</formula>
    </cfRule>
  </conditionalFormatting>
  <conditionalFormatting sqref="B7:C7">
    <cfRule type="expression" dxfId="359" priority="8">
      <formula>$K7=0</formula>
    </cfRule>
  </conditionalFormatting>
  <conditionalFormatting sqref="C9">
    <cfRule type="expression" dxfId="358" priority="12" stopIfTrue="1">
      <formula>AND($I9&gt;0,$C9="The above programs are not applicable to the selected Demographic Commitment",AND(Demographic&lt;&gt;"Family",Demographic&lt;&gt;"Workforce"))</formula>
    </cfRule>
  </conditionalFormatting>
  <conditionalFormatting sqref="B8:C8">
    <cfRule type="expression" dxfId="357" priority="10">
      <formula>$K8=0</formula>
    </cfRule>
  </conditionalFormatting>
  <conditionalFormatting sqref="F40">
    <cfRule type="cellIs" dxfId="356" priority="20" operator="equal">
      <formula>0</formula>
    </cfRule>
  </conditionalFormatting>
  <conditionalFormatting sqref="B42">
    <cfRule type="cellIs" dxfId="355" priority="21" operator="notEqual">
      <formula>""</formula>
    </cfRule>
  </conditionalFormatting>
  <conditionalFormatting sqref="B7:H7">
    <cfRule type="expression" dxfId="354" priority="7">
      <formula>DS_ExcelCheckbox_Coordination_Exp_3rd_party=TRUE</formula>
    </cfRule>
  </conditionalFormatting>
  <conditionalFormatting sqref="B8:H8">
    <cfRule type="expression" dxfId="353" priority="9">
      <formula>DS_ExcelCheckbox_ExpApplicant=TRUE</formula>
    </cfRule>
  </conditionalFormatting>
  <conditionalFormatting sqref="E16:H17 E18 E22:H23 E24 E28:H29 E30 E34:H35 E36">
    <cfRule type="cellIs" dxfId="352" priority="16" operator="notEqual">
      <formula>""</formula>
    </cfRule>
  </conditionalFormatting>
  <conditionalFormatting sqref="A14:H19">
    <cfRule type="expression" dxfId="351" priority="14">
      <formula>$M$14=0</formula>
    </cfRule>
  </conditionalFormatting>
  <conditionalFormatting sqref="A16:H18 A22:H24 A28:H30 A34:H36">
    <cfRule type="expression" dxfId="350" priority="15">
      <formula>$K16=0</formula>
    </cfRule>
  </conditionalFormatting>
  <conditionalFormatting sqref="A20:H25">
    <cfRule type="expression" dxfId="349" priority="17">
      <formula>$M$20=0</formula>
    </cfRule>
  </conditionalFormatting>
  <conditionalFormatting sqref="A26:H31">
    <cfRule type="expression" dxfId="348" priority="18">
      <formula>$M$26=0</formula>
    </cfRule>
  </conditionalFormatting>
  <conditionalFormatting sqref="A32:H37">
    <cfRule type="expression" dxfId="347" priority="19">
      <formula>$M$32=0</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rowBreaks count="1" manualBreakCount="1">
    <brk id="2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25400</xdr:colOff>
                    <xdr:row>5</xdr:row>
                    <xdr:rowOff>107950</xdr:rowOff>
                  </from>
                  <to>
                    <xdr:col>3</xdr:col>
                    <xdr:colOff>450850</xdr:colOff>
                    <xdr:row>6</xdr:row>
                    <xdr:rowOff>215900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25400</xdr:colOff>
                    <xdr:row>6</xdr:row>
                    <xdr:rowOff>1054100</xdr:rowOff>
                  </from>
                  <to>
                    <xdr:col>3</xdr:col>
                    <xdr:colOff>450850</xdr:colOff>
                    <xdr:row>7</xdr:row>
                    <xdr:rowOff>203200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6B5D169-5D55-490C-987D-CE4EB41A5E77}">
            <xm:f>Data1!$E$609="Yes"</xm:f>
            <x14:dxf>
              <font>
                <color theme="0"/>
              </font>
              <fill>
                <patternFill>
                  <bgColor theme="0"/>
                </patternFill>
              </fill>
              <border>
                <left/>
                <right/>
                <top/>
                <bottom/>
                <vertical/>
                <horizontal/>
              </border>
            </x14:dxf>
          </x14:cfRule>
          <xm:sqref>M5 K7:M8 K10:M11 M14 K16:N18 M20 K22:N24 M26 K28:N30 M32 K34:N36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2"/>
  <sheetViews>
    <sheetView showGridLines="0" zoomScaleNormal="100" zoomScaleSheetLayoutView="100" workbookViewId="0">
      <pane ySplit="2" topLeftCell="A3" activePane="bottomLeft" state="frozen"/>
      <selection pane="bottomLeft" activeCell="A2" sqref="A2"/>
    </sheetView>
  </sheetViews>
  <sheetFormatPr defaultColWidth="8.54296875" defaultRowHeight="14.5"/>
  <cols>
    <col min="1" max="1" width="3" style="42" customWidth="1"/>
    <col min="2" max="2" width="3.54296875" style="45" customWidth="1"/>
    <col min="3" max="3" width="3.54296875" style="42" customWidth="1"/>
    <col min="4" max="4" width="4.453125" style="42" customWidth="1"/>
    <col min="5" max="5" width="49.54296875" style="42" customWidth="1"/>
    <col min="6" max="6" width="24.54296875" style="42" customWidth="1"/>
    <col min="7" max="7" width="14.1796875" style="42" customWidth="1"/>
    <col min="8" max="8" width="8.453125" style="42" customWidth="1"/>
    <col min="9" max="9" width="8.81640625" style="45" customWidth="1"/>
    <col min="10" max="10" width="3.54296875" style="45" customWidth="1"/>
    <col min="11" max="12" width="3.54296875" style="42" customWidth="1"/>
    <col min="13" max="13" width="35.81640625" style="42" customWidth="1"/>
    <col min="14" max="14" width="3.54296875" style="42" customWidth="1"/>
    <col min="15" max="16384" width="8.54296875" style="42"/>
  </cols>
  <sheetData>
    <row r="1" spans="1:28" ht="35.9" customHeight="1" thickBot="1">
      <c r="A1" s="2115" t="s">
        <v>387</v>
      </c>
      <c r="B1" s="2116"/>
      <c r="C1" s="2116"/>
      <c r="D1" s="2116"/>
      <c r="E1" s="2116"/>
      <c r="F1" s="2116"/>
      <c r="G1" s="2116"/>
      <c r="H1" s="2117"/>
      <c r="I1" s="62"/>
      <c r="J1" s="2134"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"&amp;IF(Data1!G610=1,"is ","are ")&amp;TEXT(Data1!G610,"0")&amp;" required input field"&amp;IF(Data1!G610=1," that need an entry","s that need entries")&amp;" and "&amp;TEXT(Data1!H610,"0")&amp;" optional input field"&amp;IF(Data1!H610=1," that may or may not need an entry","s may or may not need entries")&amp;" tracked on this tab."</f>
        <v>There are 3 required input fields and 3 optional input fields tracked on this tab.
There are 0 required input fields and 0 optional input fields with entries tracked on this tab.
There are 3 required input fields that need entries and 3 optional input fields may or may not need entries tracked on this tab.</v>
      </c>
      <c r="K1" s="2134"/>
      <c r="L1" s="2134"/>
      <c r="M1" s="2134"/>
      <c r="N1" s="2134"/>
      <c r="O1" s="2134"/>
      <c r="P1" s="2134"/>
      <c r="Q1" s="2134"/>
      <c r="R1" s="2134"/>
      <c r="S1" s="2134"/>
      <c r="T1" s="2134"/>
      <c r="U1" s="2134"/>
      <c r="V1" s="2134"/>
      <c r="W1" s="2134"/>
      <c r="X1" s="2134"/>
      <c r="Y1" s="2134"/>
      <c r="Z1" s="2134"/>
      <c r="AA1" s="2134"/>
      <c r="AB1" s="2134"/>
    </row>
    <row r="2" spans="1:28" ht="14.5" customHeight="1">
      <c r="A2" s="4"/>
      <c r="B2" s="3"/>
      <c r="C2" s="4"/>
      <c r="D2" s="4"/>
      <c r="E2" s="4"/>
      <c r="F2" s="4"/>
      <c r="H2" s="4"/>
      <c r="I2" s="3"/>
      <c r="J2" s="2134"/>
      <c r="K2" s="2134"/>
      <c r="L2" s="2134"/>
      <c r="M2" s="2134"/>
      <c r="N2" s="2134"/>
      <c r="O2" s="2134"/>
      <c r="P2" s="2134"/>
      <c r="Q2" s="2134"/>
      <c r="R2" s="2134"/>
      <c r="S2" s="2134"/>
      <c r="T2" s="2134"/>
      <c r="U2" s="2134"/>
      <c r="V2" s="2134"/>
      <c r="W2" s="2134"/>
      <c r="X2" s="2134"/>
      <c r="Y2" s="2134"/>
      <c r="Z2" s="2134"/>
      <c r="AA2" s="2134"/>
      <c r="AB2" s="2134"/>
    </row>
    <row r="3" spans="1:28" ht="14.5" customHeight="1">
      <c r="A3" s="17" t="str">
        <f>IF(SUM(N5:N10)=0,"","a.")</f>
        <v>a.</v>
      </c>
      <c r="B3" s="2329" t="s">
        <v>1760</v>
      </c>
      <c r="C3" s="2329"/>
      <c r="D3" s="2329"/>
      <c r="E3" s="2329"/>
      <c r="F3" s="183"/>
      <c r="H3" s="16"/>
      <c r="I3" s="11"/>
      <c r="J3" s="11"/>
      <c r="K3" s="2147" t="s">
        <v>1772</v>
      </c>
      <c r="L3" s="2147"/>
      <c r="M3" s="2147"/>
      <c r="N3" s="2147"/>
    </row>
    <row r="4" spans="1:28" s="14" customFormat="1" ht="10.4" customHeight="1">
      <c r="I4" s="19"/>
      <c r="J4" s="19"/>
      <c r="L4" s="16"/>
    </row>
    <row r="5" spans="1:28" ht="17.5" customHeight="1">
      <c r="A5" s="1578" t="str">
        <f>IF(Data1!$B557=TRUE,"Yes","No")</f>
        <v>No</v>
      </c>
      <c r="B5" s="184"/>
      <c r="C5" s="2330" t="s">
        <v>388</v>
      </c>
      <c r="D5" s="2330"/>
      <c r="E5" s="2330"/>
      <c r="F5" s="179"/>
      <c r="G5" s="1316"/>
      <c r="H5" s="1315" t="str">
        <f>IF(AND(Data1!B557=TRUE,Demographic&lt;&gt;"Family",Demographic&lt;&gt;"Workforce"),"Verify Demographic Commitment","")</f>
        <v/>
      </c>
      <c r="J5" s="3"/>
      <c r="K5" s="1716">
        <f>IF(N5=0,0,IF(AND(Demographic&lt;&gt;"Elderly Non-ALF",Demographic&lt;&gt;"Elderly ALF"),IF(Data1!B557=TRUE,IF(A$11&lt;3,1,IF(COUNTIF(K$4:K4,1)&lt;3,1,2)),IF(A$11+COUNTIF(K$4:K4,1)&lt;3,1,2)),3))</f>
        <v>1</v>
      </c>
      <c r="L5" s="395">
        <f>IF(Data1!B557=TRUE,K5,0)</f>
        <v>0</v>
      </c>
      <c r="M5" s="555" t="str">
        <f>CHOOSE(K5+1,"Not to be included in this RFA","A REQUIRED input field for this RFA","An OPTIONAL input field for this RFA","Not Applicable")</f>
        <v>A REQUIRED input field for this RFA</v>
      </c>
      <c r="N5" s="569">
        <v>1</v>
      </c>
    </row>
    <row r="6" spans="1:28" ht="17.5" customHeight="1">
      <c r="A6" s="1578" t="str">
        <f>IF(Data1!$B558=TRUE,"Yes","No")</f>
        <v>No</v>
      </c>
      <c r="B6" s="184"/>
      <c r="C6" s="2330" t="s">
        <v>389</v>
      </c>
      <c r="D6" s="2330"/>
      <c r="E6" s="2330"/>
      <c r="F6" s="179"/>
      <c r="H6" s="1315" t="str">
        <f>IF(AND(Data1!B558=TRUE,Demographic&lt;&gt;"Family",Demographic&lt;&gt;"Workforce"),"Verify Demographic Commitment","")</f>
        <v/>
      </c>
      <c r="J6" s="3"/>
      <c r="K6" s="1716">
        <f>IF(N6=0,0,IF(AND(Demographic&lt;&gt;"Elderly Non-ALF",Demographic&lt;&gt;"Elderly ALF"),IF(Data1!B558=TRUE,IF(A$11&lt;3,1,IF(COUNTIF(K$4:K5,1)&lt;3,1,2)),IF(A$11+COUNTIF(K$4:K5,1)&lt;3,1,2)),3))</f>
        <v>1</v>
      </c>
      <c r="L6" s="395">
        <f>IF(Data1!B558=TRUE,K6,0)</f>
        <v>0</v>
      </c>
      <c r="M6" s="1529" t="str">
        <f t="shared" ref="M6:M9" si="0">CHOOSE(K6+1,"Not to be included in this RFA","A REQUIRED input field for this RFA","An OPTIONAL input field for this RFA","Not Applicable")</f>
        <v>A REQUIRED input field for this RFA</v>
      </c>
      <c r="N6" s="569">
        <v>1</v>
      </c>
    </row>
    <row r="7" spans="1:28" ht="17.5" customHeight="1">
      <c r="A7" s="1578" t="str">
        <f>IF(Data1!$B559=TRUE,"Yes","No")</f>
        <v>No</v>
      </c>
      <c r="B7" s="184"/>
      <c r="C7" s="2330" t="s">
        <v>390</v>
      </c>
      <c r="D7" s="2330"/>
      <c r="E7" s="2330"/>
      <c r="F7" s="179"/>
      <c r="H7" s="1315" t="str">
        <f>IF(AND(Data1!B559=TRUE,Demographic&lt;&gt;"Family",Demographic&lt;&gt;"Workforce"),"Verify Demographic Commitment","")</f>
        <v/>
      </c>
      <c r="J7" s="3"/>
      <c r="K7" s="1716">
        <f>IF(N7=0,0,IF(AND(Demographic&lt;&gt;"Elderly Non-ALF",Demographic&lt;&gt;"Elderly ALF"),IF(Data1!B559=TRUE,IF(A$11&lt;3,1,IF(COUNTIF(K$4:K6,1)&lt;3,1,2)),IF(A$11+COUNTIF(K$4:K6,1)&lt;3,1,2)),3))</f>
        <v>1</v>
      </c>
      <c r="L7" s="395">
        <f>IF(Data1!B559=TRUE,K7,0)</f>
        <v>0</v>
      </c>
      <c r="M7" s="1529" t="str">
        <f t="shared" si="0"/>
        <v>A REQUIRED input field for this RFA</v>
      </c>
      <c r="N7" s="569">
        <v>1</v>
      </c>
    </row>
    <row r="8" spans="1:28" ht="17.5" customHeight="1">
      <c r="A8" s="1578" t="str">
        <f>IF(Data1!$B560=TRUE,"Yes","No")</f>
        <v>No</v>
      </c>
      <c r="B8" s="184"/>
      <c r="C8" s="2330" t="s">
        <v>391</v>
      </c>
      <c r="D8" s="2330"/>
      <c r="E8" s="2330"/>
      <c r="F8" s="179"/>
      <c r="H8" s="1315" t="str">
        <f>IF(AND(Data1!B560=TRUE,Demographic&lt;&gt;"Family",Demographic&lt;&gt;"Workforce"),"Verify Demographic Commitment","")</f>
        <v/>
      </c>
      <c r="J8" s="3"/>
      <c r="K8" s="1716">
        <f>IF(N8=0,0,IF(AND(Demographic&lt;&gt;"Elderly Non-ALF",Demographic&lt;&gt;"Elderly ALF"),IF(Data1!B560=TRUE,IF(A$11&lt;3,1,IF(COUNTIF(K$4:K7,1)&lt;3,1,2)),IF(A$11+COUNTIF(K$4:K7,1)&lt;3,1,2)),3))</f>
        <v>2</v>
      </c>
      <c r="L8" s="395">
        <f>IF(Data1!B560=TRUE,K8,0)</f>
        <v>0</v>
      </c>
      <c r="M8" s="1529" t="str">
        <f t="shared" si="0"/>
        <v>An OPTIONAL input field for this RFA</v>
      </c>
      <c r="N8" s="569">
        <v>1</v>
      </c>
    </row>
    <row r="9" spans="1:28" ht="17.5" customHeight="1">
      <c r="A9" s="1578" t="str">
        <f>IF(Data1!$B561=TRUE,"Yes","No")</f>
        <v>No</v>
      </c>
      <c r="B9" s="184"/>
      <c r="C9" s="2330" t="s">
        <v>392</v>
      </c>
      <c r="D9" s="2330"/>
      <c r="E9" s="2330"/>
      <c r="F9" s="179"/>
      <c r="H9" s="1315" t="str">
        <f>IF(AND(Data1!B561=TRUE,Demographic&lt;&gt;"Family",Demographic&lt;&gt;"Workforce"),"Verify Demographic Commitment","")</f>
        <v/>
      </c>
      <c r="J9" s="3"/>
      <c r="K9" s="1716">
        <f>IF(N9=0,0,IF(AND(Demographic&lt;&gt;"Elderly Non-ALF",Demographic&lt;&gt;"Elderly ALF"),IF(Data1!B561=TRUE,IF(A$11&lt;3,1,IF(COUNTIF(K$4:K8,1)&lt;3,1,2)),IF(A$11+COUNTIF(K$4:K8,1)&lt;3,1,2)),3))</f>
        <v>2</v>
      </c>
      <c r="L9" s="395">
        <f>IF(Data1!B561=TRUE,K9,0)</f>
        <v>0</v>
      </c>
      <c r="M9" s="1529" t="str">
        <f t="shared" si="0"/>
        <v>An OPTIONAL input field for this RFA</v>
      </c>
      <c r="N9" s="569">
        <v>1</v>
      </c>
    </row>
    <row r="10" spans="1:28" ht="17.5" customHeight="1">
      <c r="A10" s="1578" t="str">
        <f>IF(Data1!$B562=TRUE,"Yes","No")</f>
        <v>No</v>
      </c>
      <c r="B10" s="184"/>
      <c r="C10" s="2330" t="s">
        <v>393</v>
      </c>
      <c r="D10" s="2330"/>
      <c r="E10" s="2330"/>
      <c r="F10" s="179"/>
      <c r="H10" s="1315" t="str">
        <f>IF(AND(Data1!B562=TRUE,Demographic&lt;&gt;"Family",Demographic&lt;&gt;"Workforce"),"Verify Demographic Commitment","")</f>
        <v/>
      </c>
      <c r="J10" s="3"/>
      <c r="K10" s="1716">
        <f>IF(N10=0,0,IF(AND(Demographic&lt;&gt;"Elderly Non-ALF",Demographic&lt;&gt;"Elderly ALF"),IF(Data1!B562=TRUE,IF(A$11&lt;3,1,IF(COUNTIF(K$4:K9,1)&lt;3,1,2)),IF(A$11+COUNTIF(K$4:K9,1)&lt;3,1,2)),3))</f>
        <v>2</v>
      </c>
      <c r="L10" s="395">
        <f>IF(Data1!B562=TRUE,K10,0)</f>
        <v>0</v>
      </c>
      <c r="M10" s="1529" t="str">
        <f>CHOOSE(K10+1,"Not to be included in this RFA","A REQUIRED input field for this RFA","An OPTIONAL input field for this RFA","Not Applicable")</f>
        <v>An OPTIONAL input field for this RFA</v>
      </c>
      <c r="N10" s="569">
        <v>1</v>
      </c>
    </row>
    <row r="11" spans="1:28" ht="14.5" customHeight="1">
      <c r="A11" s="187">
        <f>COUNTIF(Data1!B557:B562,"TRUE")</f>
        <v>0</v>
      </c>
      <c r="B11" s="54"/>
      <c r="C11" s="2111" t="str">
        <f>IF(AND(A11&lt;3,OR(Demographic="Family",Demographic="Workforce")),"Please select at least three of the above resident programs before proceeding",IF(AND(Demographic&lt;&gt;"Family",Demographic&lt;&gt;"Workforce",Demographic&lt;&gt;"&lt;select one&gt;"),"The above programs are not applicable to the selected Demographic Commitment",""))</f>
        <v>The above programs are not applicable to the selected Demographic Commitment</v>
      </c>
      <c r="D11" s="2111"/>
      <c r="E11" s="2111"/>
      <c r="F11" s="2111"/>
      <c r="H11" s="4"/>
      <c r="J11" s="187"/>
      <c r="K11" s="4"/>
      <c r="L11" s="4"/>
    </row>
    <row r="12" spans="1:28" ht="14.5" customHeight="1">
      <c r="A12" s="46" t="str">
        <f>IF(SUM(N5:N10)=0,"a.","b.")</f>
        <v>b.</v>
      </c>
      <c r="B12" s="2331" t="s">
        <v>394</v>
      </c>
      <c r="C12" s="2331"/>
      <c r="D12" s="2331"/>
      <c r="E12" s="2331"/>
      <c r="F12" s="186"/>
      <c r="H12" s="4"/>
      <c r="I12" s="3"/>
      <c r="J12" s="3"/>
      <c r="K12" s="4"/>
      <c r="L12" s="4"/>
    </row>
    <row r="13" spans="1:28" ht="10.4" customHeight="1">
      <c r="A13" s="46"/>
      <c r="B13" s="186"/>
      <c r="C13" s="186"/>
      <c r="D13" s="186"/>
      <c r="E13" s="186"/>
      <c r="F13" s="186"/>
      <c r="H13" s="4"/>
      <c r="I13" s="3"/>
      <c r="J13" s="3"/>
      <c r="K13" s="4"/>
      <c r="L13" s="4"/>
    </row>
    <row r="14" spans="1:28" ht="30" customHeight="1">
      <c r="A14" s="4"/>
      <c r="B14" s="121" t="s">
        <v>208</v>
      </c>
      <c r="C14" s="2134" t="s">
        <v>395</v>
      </c>
      <c r="D14" s="2134"/>
      <c r="E14" s="2134"/>
      <c r="F14" s="2134"/>
      <c r="G14" s="2134"/>
      <c r="H14" s="2134"/>
      <c r="I14" s="3"/>
      <c r="J14" s="3"/>
      <c r="K14" s="1571" t="s">
        <v>1782</v>
      </c>
      <c r="L14" s="4"/>
    </row>
    <row r="15" spans="1:28" ht="30" customHeight="1">
      <c r="A15" s="4"/>
      <c r="B15" s="121" t="s">
        <v>210</v>
      </c>
      <c r="C15" s="2134" t="s">
        <v>396</v>
      </c>
      <c r="D15" s="2134"/>
      <c r="E15" s="2134"/>
      <c r="F15" s="2134"/>
      <c r="G15" s="2134"/>
      <c r="H15" s="2134"/>
      <c r="I15" s="3"/>
      <c r="J15" s="3"/>
      <c r="K15" s="1571" t="s">
        <v>1781</v>
      </c>
      <c r="L15" s="4"/>
    </row>
    <row r="16" spans="1:28" ht="30" customHeight="1">
      <c r="A16" s="4"/>
      <c r="B16" s="121" t="s">
        <v>212</v>
      </c>
      <c r="C16" s="2134" t="s">
        <v>1761</v>
      </c>
      <c r="D16" s="2134"/>
      <c r="E16" s="2134"/>
      <c r="F16" s="2134"/>
      <c r="G16" s="2134"/>
      <c r="H16" s="2134"/>
      <c r="I16" s="3"/>
      <c r="J16" s="3"/>
      <c r="K16" s="4"/>
      <c r="L16" s="4"/>
    </row>
    <row r="17" spans="1:14" ht="17.5" customHeight="1">
      <c r="A17" s="1578" t="str">
        <f>IF(Data1!$B564=TRUE,"Yes","No")</f>
        <v>No</v>
      </c>
      <c r="B17" s="409"/>
      <c r="C17" s="2330" t="s">
        <v>397</v>
      </c>
      <c r="D17" s="2330"/>
      <c r="E17" s="2330"/>
      <c r="F17" s="2330"/>
      <c r="H17" s="192" t="str">
        <f>IF(AND(Data1!B564=TRUE,Demographic&lt;&gt;"Elderly ALF",Demographic&lt;&gt;"Elderly Non-ALF"),"Verify Demographic Commitment","")</f>
        <v/>
      </c>
      <c r="J17" s="3"/>
      <c r="K17" s="1716">
        <f>IF(N17=0,0,IF(OR(Demographic="Elderly Non-ALF",Demographic="Elderly ALF"),IF(Data1!B564=TRUE,IF(A$22&lt;3,1,IF(COUNTIF(K$16:K16,1)&lt;3,1,2)),IF(A$22+COUNTIF(K$16:K16,1)&lt;3,1,2)),3))</f>
        <v>3</v>
      </c>
      <c r="L17" s="395">
        <f>IF(Data1!B564=TRUE,K17,0)</f>
        <v>0</v>
      </c>
      <c r="M17" s="555" t="str">
        <f>CHOOSE(K17+1,"Not to be included in this RFA","A REQUIRED input field for this RFA","An OPTIONAL input field for this RFA","Not Applicable")</f>
        <v>Not Applicable</v>
      </c>
      <c r="N17" s="569">
        <v>2</v>
      </c>
    </row>
    <row r="18" spans="1:14" ht="17.5" customHeight="1">
      <c r="A18" s="1578" t="str">
        <f>IF(Data1!$B565=TRUE,"Yes","No")</f>
        <v>No</v>
      </c>
      <c r="B18" s="185"/>
      <c r="C18" s="2330" t="s">
        <v>398</v>
      </c>
      <c r="D18" s="2330"/>
      <c r="E18" s="2330"/>
      <c r="F18" s="2330"/>
      <c r="H18" s="192" t="str">
        <f>IF(AND(Data1!B565=TRUE,Demographic&lt;&gt;"Elderly ALF",Demographic&lt;&gt;"Elderly Non-ALF"),"Verify Demographic Commitment","")</f>
        <v/>
      </c>
      <c r="J18" s="3"/>
      <c r="K18" s="1716">
        <f>IF(N18=0,0,IF(OR(Demographic="Elderly Non-ALF",Demographic="Elderly ALF"),IF(Data1!B565=TRUE,IF(A$22&lt;3,1,IF(COUNTIF(K$16:K17,1)&lt;3,1,2)),IF(A$22+COUNTIF(K$16:K17,1)&lt;3,1,2)),3))</f>
        <v>3</v>
      </c>
      <c r="L18" s="395">
        <f>IF(Data1!B565=TRUE,K18,0)</f>
        <v>0</v>
      </c>
      <c r="M18" s="1529" t="str">
        <f>CHOOSE(K18+1,"Not to be included in this RFA","A REQUIRED input field for this RFA","An OPTIONAL input field for this RFA","Not Applicable")</f>
        <v>Not Applicable</v>
      </c>
      <c r="N18" s="569">
        <v>2</v>
      </c>
    </row>
    <row r="19" spans="1:14" ht="17.5" customHeight="1">
      <c r="A19" s="1578" t="str">
        <f>IF(Data1!$B566=TRUE,"Yes","No")</f>
        <v>No</v>
      </c>
      <c r="B19" s="185"/>
      <c r="C19" s="2330" t="s">
        <v>399</v>
      </c>
      <c r="D19" s="2330"/>
      <c r="E19" s="2330"/>
      <c r="F19" s="2330"/>
      <c r="H19" s="192" t="str">
        <f>IF(AND(Data1!B566=TRUE,Demographic&lt;&gt;"Elderly ALF",Demographic&lt;&gt;"Elderly Non-ALF"),"Verify Demographic Commitment","")</f>
        <v/>
      </c>
      <c r="J19" s="3"/>
      <c r="K19" s="1716">
        <f>IF(N19=0,0,IF(OR(Demographic="Elderly Non-ALF",Demographic="Elderly ALF"),IF(Data1!B566=TRUE,IF(A$22&lt;3,1,IF(COUNTIF(K$16:K18,1)&lt;3,1,2)),IF(A$22+COUNTIF(K$16:K18,1)&lt;3,1,2)),3))</f>
        <v>3</v>
      </c>
      <c r="L19" s="395">
        <f>IF(Data1!B566=TRUE,K19,0)</f>
        <v>0</v>
      </c>
      <c r="M19" s="1529" t="str">
        <f>CHOOSE(K19+1,"Not to be included in this RFA","A REQUIRED input field for this RFA","An OPTIONAL input field for this RFA","Not Applicable")</f>
        <v>Not Applicable</v>
      </c>
      <c r="N19" s="569">
        <v>2</v>
      </c>
    </row>
    <row r="20" spans="1:14" ht="17.5" customHeight="1">
      <c r="A20" s="1578" t="str">
        <f>IF(Data1!$B567=TRUE,"Yes","No")</f>
        <v>No</v>
      </c>
      <c r="B20" s="185"/>
      <c r="C20" s="2330" t="s">
        <v>2018</v>
      </c>
      <c r="D20" s="2330"/>
      <c r="E20" s="2330"/>
      <c r="F20" s="2330"/>
      <c r="H20" s="192" t="str">
        <f>IF(AND(Data1!B567=TRUE,Demographic&lt;&gt;"Elderly ALF",Demographic&lt;&gt;"Elderly Non-ALF"),"Verify Demographic Commitment","")</f>
        <v/>
      </c>
      <c r="J20" s="3"/>
      <c r="K20" s="1716">
        <f>IF(N20=0,0,IF(OR(Demographic="Elderly Non-ALF",Demographic="Elderly ALF"),IF(Data1!B567=TRUE,IF(A$22&lt;3,1,IF(COUNTIF(K$16:K19,1)&lt;3,1,2)),IF(A$22+COUNTIF(K$16:K19,1)&lt;3,1,2)),3))</f>
        <v>3</v>
      </c>
      <c r="L20" s="395">
        <f>IF(Data1!B567=TRUE,K20,0)</f>
        <v>0</v>
      </c>
      <c r="M20" s="1529" t="str">
        <f>CHOOSE(K20+1,"Not to be included in this RFA","A REQUIRED input field for this RFA","An OPTIONAL input field for this RFA","Not Applicable")</f>
        <v>Not Applicable</v>
      </c>
      <c r="N20" s="569">
        <v>2</v>
      </c>
    </row>
    <row r="21" spans="1:14" ht="17.5" customHeight="1">
      <c r="A21" s="1578" t="str">
        <f>IF(Data1!$B568=TRUE,"Yes","No")</f>
        <v>No</v>
      </c>
      <c r="B21" s="185"/>
      <c r="C21" s="2330" t="s">
        <v>400</v>
      </c>
      <c r="D21" s="2330"/>
      <c r="E21" s="2330"/>
      <c r="F21" s="2330"/>
      <c r="H21" s="192" t="str">
        <f>IF(AND(Data1!B568=TRUE,Demographic&lt;&gt;"Elderly ALF",Demographic&lt;&gt;"Elderly Non-ALF"),"Verify Demographic Commitment","")</f>
        <v/>
      </c>
      <c r="J21" s="3"/>
      <c r="K21" s="1716">
        <f>IF(N21=0,0,IF(OR(Demographic="Elderly Non-ALF",Demographic="Elderly ALF"),IF(Data1!B568=TRUE,IF(A$22&lt;3,1,IF(COUNTIF(K$16:K20,1)&lt;3,1,2)),IF(A$22+COUNTIF(K$16:K20,1)&lt;3,1,2)),3))</f>
        <v>3</v>
      </c>
      <c r="L21" s="395">
        <f>IF(Data1!B568=TRUE,K21,0)</f>
        <v>0</v>
      </c>
      <c r="M21" s="1529" t="str">
        <f>CHOOSE(K21+1,"Not to be included in this RFA","A REQUIRED input field for this RFA","An OPTIONAL input field for this RFA","Not Applicable")</f>
        <v>Not Applicable</v>
      </c>
      <c r="N21" s="569">
        <v>2</v>
      </c>
    </row>
    <row r="22" spans="1:14" ht="14.5" customHeight="1">
      <c r="A22" s="187">
        <f>COUNTIF(Data1!B564:B568,"TRUE")</f>
        <v>0</v>
      </c>
      <c r="B22" s="44"/>
      <c r="C22" s="2111"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2" s="2111"/>
      <c r="E22" s="2111"/>
      <c r="F22" s="2111"/>
      <c r="H22" s="4"/>
      <c r="J22" s="187"/>
      <c r="K22" s="4"/>
      <c r="L22" s="4"/>
    </row>
  </sheetData>
  <mergeCells count="21">
    <mergeCell ref="C22:F22"/>
    <mergeCell ref="B12:E12"/>
    <mergeCell ref="C11:F11"/>
    <mergeCell ref="C6:E6"/>
    <mergeCell ref="C7:E7"/>
    <mergeCell ref="C8:E8"/>
    <mergeCell ref="C9:E9"/>
    <mergeCell ref="C10:E10"/>
    <mergeCell ref="C16:H16"/>
    <mergeCell ref="C14:H14"/>
    <mergeCell ref="C15:H15"/>
    <mergeCell ref="C18:F18"/>
    <mergeCell ref="C19:F19"/>
    <mergeCell ref="C20:F20"/>
    <mergeCell ref="C21:F21"/>
    <mergeCell ref="C17:F17"/>
    <mergeCell ref="J1:AB2"/>
    <mergeCell ref="A1:H1"/>
    <mergeCell ref="B3:E3"/>
    <mergeCell ref="C5:E5"/>
    <mergeCell ref="K3:N3"/>
  </mergeCells>
  <conditionalFormatting sqref="C11 C22">
    <cfRule type="expression" dxfId="345" priority="1275" stopIfTrue="1">
      <formula>AND($C11="Please select at least three of the above resident programs before proceeding",OR(Demographic="Family",Demographic="Workforce"))</formula>
    </cfRule>
    <cfRule type="cellIs" dxfId="344" priority="1285" operator="equal">
      <formula>"The above programs are not applicable to the selected Demographic Commitment"</formula>
    </cfRule>
  </conditionalFormatting>
  <conditionalFormatting sqref="J5:J10 J17:J21">
    <cfRule type="expression" dxfId="343" priority="1273">
      <formula>NOT(ISBLANK($I$11:$I$22))</formula>
    </cfRule>
  </conditionalFormatting>
  <conditionalFormatting sqref="B17:C21 G17:H21">
    <cfRule type="expression" dxfId="342" priority="1287">
      <formula>$K17=0</formula>
    </cfRule>
  </conditionalFormatting>
  <conditionalFormatting sqref="B5:H10">
    <cfRule type="expression" dxfId="341" priority="7">
      <formula>$K5=0</formula>
    </cfRule>
  </conditionalFormatting>
  <conditionalFormatting sqref="C11">
    <cfRule type="expression" dxfId="340" priority="1274" stopIfTrue="1">
      <formula>AND($A11&gt;0,$C11="The above programs are not applicable to the selected Demographic Commitment",AND(Demographic&lt;&gt;"Family",Demographic&lt;&gt;"Workforce"))</formula>
    </cfRule>
  </conditionalFormatting>
  <conditionalFormatting sqref="C22:F22">
    <cfRule type="expression" dxfId="339" priority="1593">
      <formula>$C$22="Please select at least three of the above resident programs before proceeding"</formula>
    </cfRule>
    <cfRule type="expression" dxfId="338" priority="1594" stopIfTrue="1">
      <formula>AND($A22&gt;0,$C22="The above programs are not applicable to the selected Demographic Commitment",AND(Demographic&lt;&gt;"Elderly Non-ALF",Demographic&lt;&gt;"Elderly ALF"))</formula>
    </cfRule>
  </conditionalFormatting>
  <conditionalFormatting sqref="A3:H11">
    <cfRule type="expression" dxfId="337" priority="3">
      <formula>SUM($N$5:$N$10)=0</formula>
    </cfRule>
  </conditionalFormatting>
  <conditionalFormatting sqref="A12:H16 C17:H21">
    <cfRule type="expression" dxfId="336" priority="2">
      <formula>AND(Demographic&lt;&gt;"Elderly ALF",Demographic&lt;&gt;"Elderly Non-ALF",Demographic&lt;&gt;"&lt;select one&gt;")</formula>
    </cfRule>
  </conditionalFormatting>
  <conditionalFormatting sqref="A3:H10">
    <cfRule type="expression" dxfId="335" priority="1">
      <formula>AND(Demographic&lt;&gt;"Family",Demographic&lt;&gt;"Workforce",Demographic&lt;&gt;"&lt;select one&gt;")</formula>
    </cfRule>
  </conditionalFormatting>
  <dataValidations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5:N10 N17:N21"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ignoredErrors>
    <ignoredError sqref="B14:B1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50800</xdr:colOff>
                    <xdr:row>3</xdr:row>
                    <xdr:rowOff>107950</xdr:rowOff>
                  </from>
                  <to>
                    <xdr:col>4</xdr:col>
                    <xdr:colOff>177800</xdr:colOff>
                    <xdr:row>4</xdr:row>
                    <xdr:rowOff>215900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50800</xdr:colOff>
                    <xdr:row>4</xdr:row>
                    <xdr:rowOff>215900</xdr:rowOff>
                  </from>
                  <to>
                    <xdr:col>4</xdr:col>
                    <xdr:colOff>177800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50800</xdr:colOff>
                    <xdr:row>5</xdr:row>
                    <xdr:rowOff>215900</xdr:rowOff>
                  </from>
                  <to>
                    <xdr:col>4</xdr:col>
                    <xdr:colOff>177800</xdr:colOff>
                    <xdr:row>7</xdr:row>
                    <xdr:rowOff>0</xdr:rowOff>
                  </to>
                </anchor>
              </controlPr>
            </control>
          </mc:Choice>
        </mc:AlternateContent>
        <mc:AlternateContent xmlns:mc="http://schemas.openxmlformats.org/markup-compatibility/2006">
          <mc:Choice Requires="x14">
            <control shapeId="24581" r:id="rId7" name="Check Box 5">
              <controlPr locked="0" defaultSize="0" autoFill="0" autoLine="0" autoPict="0">
                <anchor moveWithCells="1">
                  <from>
                    <xdr:col>1</xdr:col>
                    <xdr:colOff>50800</xdr:colOff>
                    <xdr:row>6</xdr:row>
                    <xdr:rowOff>215900</xdr:rowOff>
                  </from>
                  <to>
                    <xdr:col>4</xdr:col>
                    <xdr:colOff>177800</xdr:colOff>
                    <xdr:row>8</xdr:row>
                    <xdr:rowOff>0</xdr:rowOff>
                  </to>
                </anchor>
              </controlPr>
            </control>
          </mc:Choice>
        </mc:AlternateContent>
        <mc:AlternateContent xmlns:mc="http://schemas.openxmlformats.org/markup-compatibility/2006">
          <mc:Choice Requires="x14">
            <control shapeId="24582" r:id="rId8" name="Check Box 6">
              <controlPr locked="0" defaultSize="0" autoFill="0" autoLine="0" autoPict="0">
                <anchor moveWithCells="1">
                  <from>
                    <xdr:col>1</xdr:col>
                    <xdr:colOff>50800</xdr:colOff>
                    <xdr:row>7</xdr:row>
                    <xdr:rowOff>215900</xdr:rowOff>
                  </from>
                  <to>
                    <xdr:col>4</xdr:col>
                    <xdr:colOff>177800</xdr:colOff>
                    <xdr:row>9</xdr:row>
                    <xdr:rowOff>0</xdr:rowOff>
                  </to>
                </anchor>
              </controlPr>
            </control>
          </mc:Choice>
        </mc:AlternateContent>
        <mc:AlternateContent xmlns:mc="http://schemas.openxmlformats.org/markup-compatibility/2006">
          <mc:Choice Requires="x14">
            <control shapeId="24589" r:id="rId9" name="Check Box 13">
              <controlPr locked="0" defaultSize="0" autoFill="0" autoLine="0" autoPict="0">
                <anchor moveWithCells="1">
                  <from>
                    <xdr:col>1</xdr:col>
                    <xdr:colOff>50800</xdr:colOff>
                    <xdr:row>8</xdr:row>
                    <xdr:rowOff>215900</xdr:rowOff>
                  </from>
                  <to>
                    <xdr:col>4</xdr:col>
                    <xdr:colOff>177800</xdr:colOff>
                    <xdr:row>10</xdr:row>
                    <xdr:rowOff>0</xdr:rowOff>
                  </to>
                </anchor>
              </controlPr>
            </control>
          </mc:Choice>
        </mc:AlternateContent>
        <mc:AlternateContent xmlns:mc="http://schemas.openxmlformats.org/markup-compatibility/2006">
          <mc:Choice Requires="x14">
            <control shapeId="24591" r:id="rId10" name="Check Box 15">
              <controlPr locked="0" defaultSize="0" autoFill="0" autoLine="0" autoPict="0" altText="">
                <anchor moveWithCells="1">
                  <from>
                    <xdr:col>1</xdr:col>
                    <xdr:colOff>38100</xdr:colOff>
                    <xdr:row>15</xdr:row>
                    <xdr:rowOff>374650</xdr:rowOff>
                  </from>
                  <to>
                    <xdr:col>4</xdr:col>
                    <xdr:colOff>165100</xdr:colOff>
                    <xdr:row>17</xdr:row>
                    <xdr:rowOff>0</xdr:rowOff>
                  </to>
                </anchor>
              </controlPr>
            </control>
          </mc:Choice>
        </mc:AlternateContent>
        <mc:AlternateContent xmlns:mc="http://schemas.openxmlformats.org/markup-compatibility/2006">
          <mc:Choice Requires="x14">
            <control shapeId="24592" r:id="rId11" name="Check Box 16">
              <controlPr locked="0" defaultSize="0" autoFill="0" autoLine="0" autoPict="0" altText="">
                <anchor moveWithCells="1">
                  <from>
                    <xdr:col>1</xdr:col>
                    <xdr:colOff>38100</xdr:colOff>
                    <xdr:row>16</xdr:row>
                    <xdr:rowOff>215900</xdr:rowOff>
                  </from>
                  <to>
                    <xdr:col>4</xdr:col>
                    <xdr:colOff>165100</xdr:colOff>
                    <xdr:row>18</xdr:row>
                    <xdr:rowOff>0</xdr:rowOff>
                  </to>
                </anchor>
              </controlPr>
            </control>
          </mc:Choice>
        </mc:AlternateContent>
        <mc:AlternateContent xmlns:mc="http://schemas.openxmlformats.org/markup-compatibility/2006">
          <mc:Choice Requires="x14">
            <control shapeId="24593" r:id="rId12" name="Check Box 17">
              <controlPr locked="0" defaultSize="0" autoFill="0" autoLine="0" autoPict="0" altText="">
                <anchor moveWithCells="1">
                  <from>
                    <xdr:col>1</xdr:col>
                    <xdr:colOff>38100</xdr:colOff>
                    <xdr:row>17</xdr:row>
                    <xdr:rowOff>215900</xdr:rowOff>
                  </from>
                  <to>
                    <xdr:col>4</xdr:col>
                    <xdr:colOff>165100</xdr:colOff>
                    <xdr:row>19</xdr:row>
                    <xdr:rowOff>0</xdr:rowOff>
                  </to>
                </anchor>
              </controlPr>
            </control>
          </mc:Choice>
        </mc:AlternateContent>
        <mc:AlternateContent xmlns:mc="http://schemas.openxmlformats.org/markup-compatibility/2006">
          <mc:Choice Requires="x14">
            <control shapeId="24595" r:id="rId13" name="Check Box 19">
              <controlPr locked="0" defaultSize="0" autoFill="0" autoLine="0" autoPict="0" altText="">
                <anchor moveWithCells="1">
                  <from>
                    <xdr:col>1</xdr:col>
                    <xdr:colOff>38100</xdr:colOff>
                    <xdr:row>18</xdr:row>
                    <xdr:rowOff>203200</xdr:rowOff>
                  </from>
                  <to>
                    <xdr:col>4</xdr:col>
                    <xdr:colOff>165100</xdr:colOff>
                    <xdr:row>19</xdr:row>
                    <xdr:rowOff>215900</xdr:rowOff>
                  </to>
                </anchor>
              </controlPr>
            </control>
          </mc:Choice>
        </mc:AlternateContent>
        <mc:AlternateContent xmlns:mc="http://schemas.openxmlformats.org/markup-compatibility/2006">
          <mc:Choice Requires="x14">
            <control shapeId="24596" r:id="rId14" name="Check Box 20">
              <controlPr locked="0" defaultSize="0" autoFill="0" autoLine="0" autoPict="0" altText="">
                <anchor moveWithCells="1">
                  <from>
                    <xdr:col>1</xdr:col>
                    <xdr:colOff>38100</xdr:colOff>
                    <xdr:row>19</xdr:row>
                    <xdr:rowOff>203200</xdr:rowOff>
                  </from>
                  <to>
                    <xdr:col>4</xdr:col>
                    <xdr:colOff>165100</xdr:colOff>
                    <xdr:row>20</xdr:row>
                    <xdr:rowOff>215900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71" id="{CCD5B67E-62E8-41AB-814E-9642CA5492F6}">
            <xm:f>Data1!$E$610="Yes"</xm:f>
            <x14:dxf>
              <font>
                <color theme="0"/>
              </font>
              <fill>
                <patternFill>
                  <bgColor theme="0"/>
                </patternFill>
              </fill>
              <border>
                <left/>
                <right/>
                <top/>
                <bottom/>
                <vertical/>
                <horizontal/>
              </border>
            </x14:dxf>
          </x14:cfRule>
          <xm:sqref>K5:N10 K14:N15 K17:N21</xm:sqref>
        </x14:conditionalFormatting>
        <x14:conditionalFormatting xmlns:xm="http://schemas.microsoft.com/office/excel/2006/main">
          <x14:cfRule type="expression" priority="1286" stopIfTrue="1" id="{00000000-000E-0000-0F00-000003000000}">
            <xm:f>AND(Data1!$B564=TRUE,AND(Demographic&lt;&gt;"Elderly Non-ALF",Demographic&lt;&gt;"Elderly ALF"))</xm:f>
            <x14:dxf>
              <font>
                <color rgb="FFC00000"/>
              </font>
              <fill>
                <patternFill>
                  <bgColor rgb="FFFFE6FF"/>
                </patternFill>
              </fill>
            </x14:dxf>
          </x14:cfRule>
          <x14:cfRule type="expression" priority="1585" id="{00000000-000E-0000-0F00-000019000000}">
            <xm:f>Data1!$B564=TRUE</xm:f>
            <x14:dxf>
              <fill>
                <patternFill>
                  <bgColor theme="9" tint="0.79998168889431442"/>
                </patternFill>
              </fill>
            </x14:dxf>
          </x14:cfRule>
          <xm:sqref>B17:C21 G17:H21</xm:sqref>
        </x14:conditionalFormatting>
        <x14:conditionalFormatting xmlns:xm="http://schemas.microsoft.com/office/excel/2006/main">
          <x14:cfRule type="expression" priority="9" stopIfTrue="1" id="{00000000-000E-0000-0F00-000009000000}">
            <xm:f>AND(Data1!$B557=TRUE,AND(Demographic&lt;&gt;"Family",Demographic&lt;&gt;"Workforce"))</xm:f>
            <x14:dxf>
              <font>
                <color rgb="FFC00000"/>
              </font>
              <fill>
                <patternFill>
                  <bgColor rgb="FFFFE6FF"/>
                </patternFill>
              </fill>
            </x14:dxf>
          </x14:cfRule>
          <x14:cfRule type="expression" priority="36" id="{00000000-000E-0000-0F00-00000B000000}">
            <xm:f>AND(Data1!$B557=TRUE,OR(Demographic="Family",Demographic="Workforce"))</xm:f>
            <x14:dxf>
              <fill>
                <patternFill>
                  <bgColor theme="9" tint="0.79998168889431442"/>
                </patternFill>
              </fill>
            </x14:dxf>
          </x14:cfRule>
          <xm:sqref>B5:H10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410"/>
  <sheetViews>
    <sheetView showGridLines="0" zoomScaleNormal="100" zoomScaleSheetLayoutView="100" workbookViewId="0">
      <pane ySplit="2" topLeftCell="A3" activePane="bottomLeft" state="frozen"/>
      <selection pane="bottomLeft" activeCell="I42" sqref="I42"/>
    </sheetView>
  </sheetViews>
  <sheetFormatPr defaultColWidth="8.54296875" defaultRowHeight="14.5"/>
  <cols>
    <col min="1" max="1" width="3" style="42" customWidth="1"/>
    <col min="2" max="2" width="4.54296875" style="42" customWidth="1"/>
    <col min="3" max="3" width="3.54296875" style="42" customWidth="1"/>
    <col min="4" max="4" width="4.453125" style="42" customWidth="1"/>
    <col min="5" max="6" width="14.54296875" style="42" customWidth="1"/>
    <col min="7" max="7" width="19.54296875" style="42" customWidth="1"/>
    <col min="8" max="8" width="24.1796875" style="42" customWidth="1"/>
    <col min="9" max="9" width="23" style="42" customWidth="1"/>
    <col min="10" max="10" width="8.81640625" customWidth="1"/>
    <col min="11" max="11" width="3.54296875" customWidth="1"/>
    <col min="12" max="12" width="3.54296875" style="222" hidden="1" customWidth="1"/>
    <col min="13" max="13" width="3.54296875" style="42" hidden="1" customWidth="1"/>
    <col min="14" max="14" width="35.81640625" style="42" hidden="1" customWidth="1"/>
    <col min="15" max="16" width="3.54296875" style="42" hidden="1" customWidth="1"/>
    <col min="17" max="17" width="35.81640625" style="42" hidden="1" customWidth="1"/>
    <col min="18" max="18" width="3.54296875" style="42" hidden="1" customWidth="1"/>
    <col min="19" max="19" width="8.54296875" style="42"/>
    <col min="20" max="20" width="28.81640625" style="42" customWidth="1"/>
    <col min="21" max="16384" width="8.54296875" style="42"/>
  </cols>
  <sheetData>
    <row r="1" spans="1:33" ht="35.9" customHeight="1" thickBot="1">
      <c r="A1" s="2115" t="s">
        <v>401</v>
      </c>
      <c r="B1" s="2116"/>
      <c r="C1" s="2116"/>
      <c r="D1" s="2116"/>
      <c r="E1" s="2116"/>
      <c r="F1" s="2116"/>
      <c r="G1" s="2116"/>
      <c r="H1" s="2116"/>
      <c r="I1" s="2117"/>
      <c r="J1" s="413"/>
      <c r="K1" s="2134" t="str">
        <f ca="1">"There are "&amp;TEXT(COUNTIF($L$3:$L$353,"=1"),"0")&amp;" required input fields and "&amp;TEXT(COUNTIF($L$3:$L$353,"=2")+COUNTIF(L269:L272,"=2"),"0")&amp;" optional input fields tracked on this tab."&amp;CHAR(10)&amp;"There "&amp;IF(COUNTIFS($L$3:$L$353,"=1",$M$3:$M$353,"=1")=1,"is 1 required input field","are "&amp;TEXT(COUNTIFS($L$3:$L$353,"=1",$M$3:$M$353,"=1"),"0")&amp;" required input fields")&amp;" and "&amp;TEXT(COUNTIFS($L$3:$L$353,"=2",$M$3:$M$353,"=2")+IF(AND(M269=2,H269&lt;&gt;""),1,0)+IF(AND(M270=2,H270&lt;&gt;""),1,0)+IF(AND(M271=2,H271&lt;&gt;""),1,0)+IF(AND(M272=2,H272&lt;&gt;""),1,0),"0")&amp;" optional input field"&amp;IF(COUNTIFS($L$3:$L$353,"=2",$M$3:$M$353,"=2")+IF(AND(M270=2,H270&lt;&gt;""),1,0)+IF(AND(M271=2,H271&lt;&gt;""),1,0)+IF(AND(M272=2,H272&lt;&gt;""),1,0)=1," with an entry","s with entries")&amp;" tracked on this tab."&amp;CHAR(10)&amp;"There "&amp;IF(Data1!G611=1,"is ","are ")&amp;TEXT(Data1!G611,"0")&amp;" required input field"&amp;IF(Data1!G611=1," that need an entry","s that need entries")&amp;" and "&amp;TEXT(Data1!H611,"0")&amp;" optional input field"&amp;IF(Data1!H611=1," that may or may not need an entry","s that may or may not need entries")&amp;" tracked on this tab."</f>
        <v>There are 4 required input fields and 5 optional input fields tracked on this tab.
There are 0 required input fields and 0 optional input fields with entries tracked on this tab.
There are 4 required input fields that need entries and 5 optional input fields that may or may not need entries tracked on this tab.</v>
      </c>
      <c r="L1" s="2134"/>
      <c r="M1" s="2134"/>
      <c r="N1" s="2134"/>
      <c r="O1" s="2134"/>
      <c r="P1" s="2134"/>
      <c r="Q1" s="2134"/>
      <c r="R1" s="2134"/>
      <c r="S1" s="2134"/>
      <c r="T1" s="2134"/>
      <c r="U1" s="2134"/>
      <c r="V1" s="2134"/>
      <c r="W1" s="2134"/>
      <c r="X1" s="2134"/>
      <c r="Y1" s="2134"/>
      <c r="Z1" s="2134"/>
      <c r="AA1" s="2134"/>
      <c r="AB1" s="2134"/>
      <c r="AC1" s="2134"/>
      <c r="AD1" s="2134"/>
      <c r="AE1" s="2134"/>
      <c r="AF1" s="2134"/>
      <c r="AG1" s="2134"/>
    </row>
    <row r="2" spans="1:33" ht="14.5" customHeight="1">
      <c r="A2" s="4"/>
      <c r="B2" s="4"/>
      <c r="C2" s="4"/>
      <c r="D2" s="4"/>
      <c r="E2" s="4"/>
      <c r="F2" s="4"/>
      <c r="G2" s="4"/>
      <c r="H2" s="4"/>
      <c r="I2" s="4"/>
      <c r="J2" s="413"/>
      <c r="K2" s="2134"/>
      <c r="L2" s="2134"/>
      <c r="M2" s="2134"/>
      <c r="N2" s="2134"/>
      <c r="O2" s="2134"/>
      <c r="P2" s="2134"/>
      <c r="Q2" s="2134"/>
      <c r="R2" s="2134"/>
      <c r="S2" s="2134"/>
      <c r="T2" s="2134"/>
      <c r="U2" s="2134"/>
      <c r="V2" s="2134"/>
      <c r="W2" s="2134"/>
      <c r="X2" s="2134"/>
      <c r="Y2" s="2134"/>
      <c r="Z2" s="2134"/>
      <c r="AA2" s="2134"/>
      <c r="AB2" s="2134"/>
      <c r="AC2" s="2134"/>
      <c r="AD2" s="2134"/>
      <c r="AE2" s="2134"/>
      <c r="AF2" s="2134"/>
      <c r="AG2" s="2134"/>
    </row>
    <row r="3" spans="1:33" ht="14.5" customHeight="1" thickBot="1">
      <c r="A3" s="169" t="s">
        <v>206</v>
      </c>
      <c r="B3" s="169" t="s">
        <v>402</v>
      </c>
      <c r="C3" s="169"/>
      <c r="D3" s="169"/>
      <c r="E3" s="169"/>
      <c r="F3" s="169"/>
      <c r="G3" s="169"/>
      <c r="H3" s="909"/>
      <c r="I3" s="910"/>
      <c r="J3" s="413"/>
      <c r="K3" s="1592"/>
      <c r="L3" s="2332" t="s">
        <v>1772</v>
      </c>
      <c r="M3" s="2332"/>
      <c r="N3" s="2332"/>
      <c r="O3" s="2332"/>
      <c r="P3" s="2332"/>
      <c r="Q3" s="2332"/>
      <c r="R3" s="2332"/>
    </row>
    <row r="4" spans="1:33" ht="14.5" hidden="1" customHeight="1">
      <c r="A4" s="4"/>
      <c r="B4" s="175" t="str">
        <f>IF($L$15=0,"",1)</f>
        <v/>
      </c>
      <c r="C4" s="2123" t="s">
        <v>403</v>
      </c>
      <c r="D4" s="2123"/>
      <c r="E4" s="2123"/>
      <c r="F4" s="2123"/>
      <c r="G4" s="2123"/>
      <c r="H4" s="2123"/>
      <c r="I4" s="2123"/>
      <c r="J4" s="413"/>
      <c r="K4" s="1592"/>
      <c r="N4" s="1767">
        <v>0</v>
      </c>
    </row>
    <row r="5" spans="1:33" ht="10.4" hidden="1" customHeight="1">
      <c r="A5" s="4"/>
      <c r="B5" s="4"/>
      <c r="C5" s="4"/>
      <c r="D5" s="4"/>
      <c r="E5" s="4"/>
      <c r="F5" s="4"/>
      <c r="G5" s="4"/>
      <c r="H5" s="4"/>
      <c r="I5" s="4"/>
      <c r="J5" s="413"/>
      <c r="K5" s="1592"/>
    </row>
    <row r="6" spans="1:33" ht="17.5" hidden="1" customHeight="1">
      <c r="A6" s="4"/>
      <c r="B6" s="7"/>
      <c r="D6" s="2354" t="s">
        <v>812</v>
      </c>
      <c r="E6" s="2354"/>
      <c r="F6" s="2354"/>
      <c r="G6" s="2354"/>
      <c r="H6" s="2354"/>
      <c r="J6" s="413"/>
      <c r="K6" s="1592"/>
    </row>
    <row r="7" spans="1:33" ht="14.5" hidden="1" customHeight="1">
      <c r="A7" s="4"/>
      <c r="B7" s="4"/>
      <c r="C7" s="4"/>
      <c r="D7" s="4"/>
      <c r="E7" s="488" t="s">
        <v>798</v>
      </c>
      <c r="F7" s="488"/>
      <c r="G7" s="488"/>
      <c r="H7" s="481" t="str">
        <f>IF(County="&lt;select one&gt;","Select a County",IF(County="Monroe",DS_W_SAIL_PD_FLKeys,"NA"))</f>
        <v>Select a County</v>
      </c>
      <c r="I7" s="4"/>
      <c r="J7" s="413"/>
      <c r="K7" s="1592"/>
      <c r="O7" s="569">
        <v>1</v>
      </c>
      <c r="Q7" s="14" t="str">
        <f>IF(O7="","",IF(O7=0,"Not ","")&amp;"Applicable to this RFA")</f>
        <v>Applicable to this RFA</v>
      </c>
    </row>
    <row r="8" spans="1:33" ht="14.5" hidden="1" customHeight="1">
      <c r="A8" s="4"/>
      <c r="B8" s="4"/>
      <c r="C8" s="4"/>
      <c r="D8" s="4"/>
      <c r="E8" s="489" t="s">
        <v>799</v>
      </c>
      <c r="F8" s="489"/>
      <c r="G8" s="489"/>
      <c r="H8" s="490" t="str">
        <f>IF(County="&lt;select one&gt;","Select a County",IF(OR(total_units_in_setaside_chart&gt;0,N(Market_Avg_Income_Units)=0),IF(County="Monroe",DS_W_SAIL_PU_FLKeys_80Plus,"NA"),"NA"))</f>
        <v>Select a County</v>
      </c>
      <c r="I8" s="464" t="str">
        <f>IF(County="Monroe","(Applicable to "&amp;IF(OR(,N(Market_Avg_Income_Units)&gt;0,total_units_in_setaside_chart&gt;0),TEXT(Total_Units,"0"),"0")&amp;" Units)","")</f>
        <v/>
      </c>
      <c r="J8" s="465"/>
      <c r="K8" s="1592"/>
      <c r="O8" s="630">
        <v>1</v>
      </c>
      <c r="Q8" s="14" t="str">
        <f>IF(O8="","",IF(O8=0,"Not ","")&amp;"Applicable to this RFA")</f>
        <v>Applicable to this RFA</v>
      </c>
    </row>
    <row r="9" spans="1:33" ht="14.5" hidden="1" customHeight="1">
      <c r="A9" s="4"/>
      <c r="B9" s="4"/>
      <c r="C9" s="4"/>
      <c r="D9" s="4"/>
      <c r="E9" s="489" t="s">
        <v>800</v>
      </c>
      <c r="F9" s="489"/>
      <c r="G9" s="489"/>
      <c r="H9" s="490" t="str">
        <f>IF(County="&lt;select one&gt;","Select a County",IF(County="Monroe",IF('Units, Set-Asides, Bldgs'!F48&gt;0,DS_W_SAIL_PU_FLKeys_No80Plus,"NA"),"NA"))</f>
        <v>Select a County</v>
      </c>
      <c r="I9" s="4" t="str">
        <f>IF(County="Monroe",IF(N(Workforce_AMI_non_avg_inc)+N(Market_Avg_Income_Units)&gt;0,"","(Applicable to "&amp;TEXT(Total_Units,"0")&amp;" Units)"),"")</f>
        <v/>
      </c>
      <c r="J9" s="465"/>
      <c r="K9" s="1592"/>
      <c r="O9" s="630">
        <v>1</v>
      </c>
      <c r="Q9" s="14" t="str">
        <f>IF(O9="","",IF(O9=0,"Not ","")&amp;"Applicable to this RFA")</f>
        <v>Applicable to this RFA</v>
      </c>
    </row>
    <row r="10" spans="1:33" ht="14.5" hidden="1" customHeight="1">
      <c r="A10" s="4"/>
      <c r="B10" s="4"/>
      <c r="C10" s="4"/>
      <c r="D10" s="4"/>
      <c r="E10" s="489" t="s">
        <v>801</v>
      </c>
      <c r="F10" s="489"/>
      <c r="G10" s="489"/>
      <c r="H10" s="490" t="str">
        <f>IF(County="&lt;select one&gt;","Select a County",IF(County&lt;&gt;"Monroe",DS_W_SAIL_PD,"NA"))</f>
        <v>Select a County</v>
      </c>
      <c r="I10" s="4"/>
      <c r="J10" s="465"/>
      <c r="K10" s="1592"/>
      <c r="O10" s="630">
        <v>1</v>
      </c>
      <c r="Q10" s="14" t="str">
        <f>IF(O10="","",IF(O10=0,"Not ","")&amp;"Applicable to this RFA")</f>
        <v>Applicable to this RFA</v>
      </c>
    </row>
    <row r="11" spans="1:33" ht="14.5" hidden="1" customHeight="1">
      <c r="A11" s="4"/>
      <c r="B11" s="4"/>
      <c r="C11" s="4"/>
      <c r="D11" s="4"/>
      <c r="E11" s="489" t="s">
        <v>802</v>
      </c>
      <c r="F11" s="489"/>
      <c r="G11" s="489"/>
      <c r="H11" s="490" t="str">
        <f>IF(County="&lt;select one&gt;","Select a County",IF(County&lt;&gt;"Monroe",DS_W_SAIL_PU,"NA"))</f>
        <v>Select a County</v>
      </c>
      <c r="I11" s="4"/>
      <c r="J11" s="465"/>
      <c r="K11" s="1592"/>
      <c r="O11" s="630">
        <v>1</v>
      </c>
      <c r="Q11" s="14" t="str">
        <f>IF(O11="","",IF(O11=0,"Not ","")&amp;"Applicable to this RFA")</f>
        <v>Applicable to this RFA</v>
      </c>
    </row>
    <row r="12" spans="1:33" ht="10.4" hidden="1" customHeight="1">
      <c r="A12" s="4"/>
      <c r="B12" s="4"/>
      <c r="C12" s="4"/>
      <c r="D12" s="4"/>
      <c r="E12" s="487"/>
      <c r="F12" s="487"/>
      <c r="G12" s="487"/>
      <c r="H12" s="482"/>
      <c r="I12" s="4"/>
      <c r="J12" s="465"/>
      <c r="K12" s="1592"/>
      <c r="O12" s="222"/>
    </row>
    <row r="13" spans="1:33" ht="30" hidden="1" customHeight="1">
      <c r="A13" s="4"/>
      <c r="B13" s="4"/>
      <c r="C13" s="4"/>
      <c r="D13" s="4"/>
      <c r="E13" s="2157" t="s">
        <v>1051</v>
      </c>
      <c r="F13" s="2157"/>
      <c r="G13" s="2157"/>
      <c r="H13" s="491" t="str">
        <f>IF(County="&lt;select one&gt;","Select a County",IF(County="Monroe",MIN(N(H7),Total_Units*IF(N(Workforce_AMI_non_avg_inc)+N(Market_Avg_Income_Units)&gt;0,N(H8),N(H9))),MIN(N(H10),Total_Units*N(H11))))</f>
        <v>Select a County</v>
      </c>
      <c r="I13" s="1113" t="s">
        <v>1277</v>
      </c>
      <c r="J13" s="465"/>
      <c r="K13" s="1592"/>
      <c r="O13" s="222"/>
    </row>
    <row r="14" spans="1:33" ht="10.4" hidden="1" customHeight="1">
      <c r="A14" s="4"/>
      <c r="B14" s="4"/>
      <c r="C14" s="4"/>
      <c r="D14" s="16"/>
      <c r="H14" s="482"/>
      <c r="I14" s="4"/>
      <c r="J14" s="465"/>
      <c r="K14" s="1592"/>
      <c r="O14" s="222"/>
    </row>
    <row r="15" spans="1:33" ht="17.5" hidden="1" customHeight="1">
      <c r="A15" s="4"/>
      <c r="B15" s="4"/>
      <c r="C15" s="492" t="s">
        <v>217</v>
      </c>
      <c r="D15" s="483" t="s">
        <v>795</v>
      </c>
      <c r="E15" s="483"/>
      <c r="F15" s="483"/>
      <c r="G15" s="483"/>
      <c r="H15" s="484"/>
      <c r="I15" s="1678"/>
      <c r="J15" s="465"/>
      <c r="K15" s="1592"/>
      <c r="L15" s="1768">
        <f>N4</f>
        <v>0</v>
      </c>
      <c r="M15" s="550">
        <f>IF(AND(L15&lt;&gt;0,I15&lt;&gt;""),L15,0)</f>
        <v>0</v>
      </c>
      <c r="N15" s="552" t="str">
        <f>CHOOSE(L15+1,"Not to be included in this RFA","A REQUIRED input field for this RFA","An OPTIONAL input field for this RFA")</f>
        <v>Not to be included in this RFA</v>
      </c>
      <c r="O15" s="222"/>
    </row>
    <row r="16" spans="1:33" ht="5.15" hidden="1" customHeight="1">
      <c r="A16" s="4"/>
      <c r="B16" s="4"/>
      <c r="C16" s="4"/>
      <c r="D16" s="4"/>
      <c r="E16" s="4"/>
      <c r="F16" s="4"/>
      <c r="G16" s="4"/>
      <c r="H16" s="4"/>
      <c r="I16" s="4"/>
      <c r="J16" s="413"/>
      <c r="K16" s="1592"/>
      <c r="O16" s="222"/>
    </row>
    <row r="17" spans="1:20" ht="17.5" hidden="1" customHeight="1">
      <c r="A17" s="4"/>
      <c r="B17" s="4"/>
      <c r="C17" s="4"/>
      <c r="D17" s="4"/>
      <c r="E17" s="483" t="s">
        <v>1843</v>
      </c>
      <c r="F17" s="483"/>
      <c r="G17" s="483"/>
      <c r="H17" s="483"/>
      <c r="I17" s="1671">
        <f>MIN(N(Max_Workforce),N(Workforce_Request_Amount))</f>
        <v>0</v>
      </c>
      <c r="J17" s="1646"/>
      <c r="K17" s="1646"/>
      <c r="O17" s="222"/>
    </row>
    <row r="18" spans="1:20" ht="14.5" hidden="1" customHeight="1" thickBot="1">
      <c r="A18" s="4"/>
      <c r="B18" s="4"/>
      <c r="C18" s="4"/>
      <c r="D18" s="4"/>
      <c r="E18" s="4"/>
      <c r="F18" s="4"/>
      <c r="G18" s="4"/>
      <c r="H18" s="4"/>
      <c r="I18" s="4"/>
      <c r="J18" s="1646"/>
      <c r="K18" s="1646"/>
      <c r="O18" s="222"/>
    </row>
    <row r="19" spans="1:20" ht="14.5" customHeight="1">
      <c r="A19" s="4"/>
      <c r="B19" s="175">
        <f>IF(AND($L$42=0,$L$52=0),"",MAX(B$4:B16)+1)</f>
        <v>1</v>
      </c>
      <c r="C19" s="4" t="s">
        <v>467</v>
      </c>
      <c r="D19" s="4"/>
      <c r="E19" s="4"/>
      <c r="F19" s="4"/>
      <c r="G19" s="4"/>
      <c r="H19" s="4"/>
      <c r="I19" s="4"/>
      <c r="J19" s="413"/>
      <c r="K19" s="1592"/>
      <c r="N19" s="1767">
        <v>1</v>
      </c>
      <c r="O19" s="222"/>
      <c r="T19" s="2370" t="s">
        <v>2114</v>
      </c>
    </row>
    <row r="20" spans="1:20" ht="10.4" customHeight="1">
      <c r="A20" s="4"/>
      <c r="B20" s="4"/>
      <c r="C20" s="4"/>
      <c r="D20" s="4"/>
      <c r="E20" s="4"/>
      <c r="F20" s="4"/>
      <c r="G20" s="4"/>
      <c r="H20" s="4"/>
      <c r="I20" s="4"/>
      <c r="J20" s="413"/>
      <c r="K20" s="1592"/>
      <c r="O20" s="222"/>
      <c r="T20" s="2371"/>
    </row>
    <row r="21" spans="1:20" ht="17.5" customHeight="1" thickBot="1">
      <c r="A21" s="4"/>
      <c r="B21" s="4"/>
      <c r="D21" s="2130" t="s">
        <v>813</v>
      </c>
      <c r="E21" s="2130"/>
      <c r="F21" s="2130"/>
      <c r="G21" s="2130"/>
      <c r="H21" s="1697"/>
      <c r="I21" s="1849" t="str">
        <f>IF(DS_SAIL_ELI_Inclusive="Yes","(Per Development &amp; % of TDC Limits include ELI Funding**)","")</f>
        <v/>
      </c>
      <c r="J21" s="413"/>
      <c r="K21" s="1592"/>
      <c r="O21" s="222"/>
      <c r="T21" s="2372"/>
    </row>
    <row r="22" spans="1:20" ht="14.5" hidden="1" customHeight="1">
      <c r="A22" s="4"/>
      <c r="B22" s="4"/>
      <c r="C22" s="170"/>
      <c r="D22" s="466"/>
      <c r="E22" s="485" t="s">
        <v>808</v>
      </c>
      <c r="F22" s="485"/>
      <c r="G22" s="485"/>
      <c r="H22" s="498" t="str">
        <f>IF(O22=0,"",IF(County="&lt;select one&gt;","Select a County",IF(AND(Development_Category="&lt;select one&gt;",DS_SAIL_PD_Large_DevCat&lt;&gt;"None"),"Select a Dev. Category",IF(VLOOKUP(County,DS_County_Sizes,8,FALSE)="Large",IF(DS_SAIL_PD_Large_DevCat="None",DS_SAIL_PD_Large-IF(DS_SAIL_ELI_Inclusive="Yes",MIN(Max_ELI,Eligible_ELI_Request_Amount),0),IF(AND(DS_SAIL_PD_Large_DevCat="NC or Redev",OR(Development_Category="New Construction",Development_Category="Redevelopment",Development_Category="Acquisition and Redevelopment")),DS_SAIL_PD_Large-IF(DS_SAIL_ELI_Inclusive="Yes",MIN(Max_ELI,Eligible_ELI_Request_Amount),0),"NA")),"NA"))))</f>
        <v/>
      </c>
      <c r="I22" s="633"/>
      <c r="J22" s="463"/>
      <c r="K22" s="1592"/>
      <c r="O22" s="569">
        <v>0</v>
      </c>
      <c r="Q22" s="14" t="str">
        <f t="shared" ref="Q22:Q36" si="0">IF(O22="","",IF(O22=0,"Not ","")&amp;"Applicable to this RFA")</f>
        <v>Not Applicable to this RFA</v>
      </c>
    </row>
    <row r="23" spans="1:20" ht="45" hidden="1" customHeight="1">
      <c r="A23" s="4"/>
      <c r="B23" s="4"/>
      <c r="C23" s="170"/>
      <c r="D23" s="1698"/>
      <c r="E23" s="2362" t="str">
        <f>"**"&amp;IF(DS_SAIL_ELI_Inclusive&lt;&gt;"Yes","NA","("&amp;IF(N(H22)=0,"The Applicant's Eligible ELI Request Amount will be deducted from the gross Per Development SAIL Request Limit to obtain a net Per Development SAIL Request Limit, once an ELI Request Amount has been entered.","the "&amp;TEXT(DS_SAIL_PD_Large,"$#,##0")&amp;" Per Development Limit, less the Applicant's Eligible ELI Request Amount of "&amp;TEXT(Eligible_ELI_Request_Amount,"$#,##0")&amp;" yields a net SAIL Per Development Request Amount of "&amp;TEXT(H22,"$#,##0")&amp;".)"))</f>
        <v>**NA</v>
      </c>
      <c r="F23" s="2362"/>
      <c r="G23" s="2362"/>
      <c r="H23" s="2362"/>
      <c r="I23" s="633"/>
      <c r="J23" s="463"/>
      <c r="K23" s="1669"/>
      <c r="O23" s="1951">
        <f>IF(AND(O22=1,DS_SAIL_ELI_Inclusive="Yes"),1,0)</f>
        <v>0</v>
      </c>
      <c r="P23"/>
      <c r="Q23" s="108" t="str">
        <f t="shared" si="0"/>
        <v>Not Applicable to this RFA</v>
      </c>
    </row>
    <row r="24" spans="1:20" ht="14.5" hidden="1" customHeight="1">
      <c r="A24" s="4"/>
      <c r="B24" s="4"/>
      <c r="C24" s="170"/>
      <c r="D24" s="466"/>
      <c r="E24" s="1699" t="s">
        <v>809</v>
      </c>
      <c r="F24" s="1699"/>
      <c r="G24" s="1699"/>
      <c r="H24" s="1611" t="str">
        <f>IF(O24=0,"",IF(County="&lt;select one&gt;","Select a County",IF(AND(Development_Category="&lt;select one&gt;",DS_SAIL_PD_Large_DevCat&lt;&gt;"None"),"Select a Dev. Category",IF(OR(VLOOKUP(County,DS_County_Sizes,8,FALSE)="Small",VLOOKUP(County,DS_County_Sizes,8,FALSE)="Medium"),IF(DS_SAIL_PD_Sm_Med_DevCat="None",DS_SAIL_PD_Sm_Med-IF(DS_SAIL_ELI_Inclusive="Yes",MIN(Max_ELI,Eligible_ELI_Request_Amount),0),IF(AND(DS_SAIL_PD_Sm_Med_DevCat="NC or Redev",OR(Development_Category="New Construction",Development_Category="Redevelopment",Development_Category="Acquisition and Redevelopment")),DS_SAIL_PD_Sm_Med-IF(DS_SAIL_ELI_Inclusive="Yes",MIN(Max_ELI,Eligible_ELI_Request_Amount),0),"NA")),"NA"))))</f>
        <v/>
      </c>
      <c r="I24" s="633"/>
      <c r="J24" s="465"/>
      <c r="K24" s="1592"/>
      <c r="O24" s="1701">
        <v>0</v>
      </c>
      <c r="P24"/>
      <c r="Q24" s="108" t="str">
        <f t="shared" si="0"/>
        <v>Not Applicable to this RFA</v>
      </c>
    </row>
    <row r="25" spans="1:20" ht="45" hidden="1" customHeight="1">
      <c r="A25" s="4"/>
      <c r="B25" s="4"/>
      <c r="C25" s="170"/>
      <c r="D25" s="1698"/>
      <c r="E25" s="2362" t="str">
        <f>"**"&amp;IF(DS_SAIL_ELI_Inclusive&lt;&gt;"Yes","NA","("&amp;IF(N(H24)=0,"The Applicant's Eligible ELI Request Amount will be deducted from the gross Per Development SAIL Request Limit to obtain a net Per Development SAIL Request Limit, once an ELI Request Amount has been entered.","The "&amp;TEXT(DS_SAIL_PD_Sm_Med,"$#,##0")&amp;" Per Development Limit, less the Applicant's Eligible ELI Request Amount of "&amp;TEXT(Eligible_ELI_Request_Amount,"$#,##0")&amp;" yields a net SAIL Per Development Request Amount of "&amp;TEXT(H24,"$#,##0")&amp;".)"))</f>
        <v>**NA</v>
      </c>
      <c r="F25" s="2362"/>
      <c r="G25" s="2362"/>
      <c r="H25" s="2362"/>
      <c r="I25" s="633"/>
      <c r="J25" s="1669"/>
      <c r="K25" s="1669"/>
      <c r="O25" s="1951">
        <f>IF(AND(O24=1,DS_SAIL_ELI_Inclusive="Yes"),1,0)</f>
        <v>0</v>
      </c>
      <c r="P25"/>
      <c r="Q25" s="108" t="str">
        <f t="shared" si="0"/>
        <v>Not Applicable to this RFA</v>
      </c>
    </row>
    <row r="26" spans="1:20" ht="14.5" hidden="1" customHeight="1">
      <c r="A26" s="4"/>
      <c r="B26" s="4"/>
      <c r="C26" s="170"/>
      <c r="D26" s="466"/>
      <c r="E26" s="1720" t="str">
        <f>"Per Development - "&amp;IF(Data1!E154=1,"Preservation","")&amp;IF(Data1!E153+Data1!E154=3," or ","")&amp;IF(Data1!E153=2,"Rehabilitation","")&amp;"*"</f>
        <v>Per Development - *</v>
      </c>
      <c r="F26" s="1699"/>
      <c r="G26" s="1699"/>
      <c r="H26" s="1611" t="str">
        <f>IF(O26=0,"",IF(Development_Category="&lt;select one&gt;","Select a Dev. Category",IF(OR(Development_Category="Preservation",Development_Category="Acquisition and Preservation",Development_Category="Rehabilitation",Development_Category="Acquisition and Rehabilitation"),DS_SAIL_PD_Pres,"NA")))</f>
        <v/>
      </c>
      <c r="I26" s="496" t="s">
        <v>814</v>
      </c>
      <c r="J26" s="465"/>
      <c r="K26" s="1592"/>
      <c r="L26" s="42"/>
      <c r="O26" s="569">
        <v>0</v>
      </c>
      <c r="Q26" s="14" t="str">
        <f>IF(O26="","",IF(O26=0,"Not ","")&amp;"Applicable to this RFA")</f>
        <v>Not Applicable to this RFA</v>
      </c>
      <c r="S26" s="1126"/>
    </row>
    <row r="27" spans="1:20" ht="45" hidden="1" customHeight="1">
      <c r="A27" s="4"/>
      <c r="B27" s="4"/>
      <c r="C27" s="170"/>
      <c r="D27" s="1872"/>
      <c r="E27" s="2361"/>
      <c r="F27" s="2361"/>
      <c r="G27" s="2361"/>
      <c r="H27" s="2361"/>
      <c r="I27" s="496"/>
      <c r="J27" s="1669"/>
      <c r="K27" s="1669"/>
      <c r="L27" s="42"/>
      <c r="O27" s="1951">
        <f>IF(AND(O26=1,DS_SAIL_ELI_Inclusive="Yes"),1,0)</f>
        <v>0</v>
      </c>
      <c r="P27"/>
      <c r="Q27" s="108" t="str">
        <f t="shared" ref="Q27" si="1">IF(O27="","",IF(O27=0,"Not ","")&amp;"Applicable to this RFA")</f>
        <v>Not Applicable to this RFA</v>
      </c>
      <c r="S27" s="1126"/>
    </row>
    <row r="28" spans="1:20" ht="14.5" customHeight="1">
      <c r="A28" s="4"/>
      <c r="B28" s="4"/>
      <c r="C28" s="170"/>
      <c r="D28" s="466"/>
      <c r="E28" s="1873" t="s">
        <v>818</v>
      </c>
      <c r="F28" s="1873"/>
      <c r="G28" s="1873"/>
      <c r="H28" s="1961">
        <f>IF(O28=0,"",DS_SAIL_PD_Demo-IF(DS_SAIL_ELI_Inclusive="Yes",MIN(Max_ELI,Eligible_ELI_Request_Amount),0))</f>
        <v>2077942</v>
      </c>
      <c r="I28" s="496"/>
      <c r="J28" s="465"/>
      <c r="K28" s="1592"/>
      <c r="L28" s="42"/>
      <c r="O28" s="569">
        <v>1</v>
      </c>
      <c r="Q28" s="14" t="str">
        <f>IF(O28="","",IF(O28=0,"Not ","")&amp;"Applicable to this RFA")</f>
        <v>Applicable to this RFA</v>
      </c>
    </row>
    <row r="29" spans="1:20" ht="45" hidden="1" customHeight="1">
      <c r="A29" s="4"/>
      <c r="B29" s="4"/>
      <c r="C29" s="170"/>
      <c r="D29" s="1811"/>
      <c r="E29" s="2362" t="str">
        <f>"**"&amp;IF(DS_SAIL_ELI_Inclusive&lt;&gt;"Yes","NA","("&amp;IF(N(H28)=0,"The Applicant's Eligible ELI Request Amount will be deducted from the gross Per Development SAIL Request Limit to obtain a net Per Development SAIL Request Limit, once an ELI Request Amount has been entered.","The "&amp;TEXT(DS_SAIL_PD_Demo,"$#,##0")&amp;" Per Development Limit, less the Applicant's Eligible ELI Request Amount of "&amp;TEXT(Eligible_ELI_Request_Amount,"$#,##0")&amp;" yields a net SAIL Per Development Request Amount of "&amp;TEXT(H28,"$#,##0")&amp;".)"))</f>
        <v>**NA</v>
      </c>
      <c r="F29" s="2362"/>
      <c r="G29" s="2362"/>
      <c r="H29" s="2362"/>
      <c r="I29" s="1813"/>
      <c r="J29" s="1669"/>
      <c r="K29" s="1669"/>
      <c r="L29" s="42"/>
      <c r="O29" s="1951">
        <f>IF(AND(O28=1,DS_SAIL_ELI_Inclusive="Yes"),1,0)</f>
        <v>0</v>
      </c>
      <c r="P29"/>
      <c r="Q29" s="108" t="str">
        <f t="shared" ref="Q29" si="2">IF(O29="","",IF(O29=0,"Not ","")&amp;"Applicable to this RFA")</f>
        <v>Not Applicable to this RFA</v>
      </c>
    </row>
    <row r="30" spans="1:20" ht="14.5" hidden="1" customHeight="1">
      <c r="A30" s="4"/>
      <c r="B30" s="4"/>
      <c r="C30" s="170"/>
      <c r="D30" s="466"/>
      <c r="E30" s="1883" t="s">
        <v>810</v>
      </c>
      <c r="F30" s="1883"/>
      <c r="G30" s="1883"/>
      <c r="H30" s="1882" t="str">
        <f>IF(O30=0,"",IF(County="&lt;select one&gt;","Select a County",IF(County="Miami-Dade",DS_SAIL_PD_Min_MD,"NA")))</f>
        <v/>
      </c>
      <c r="I30" s="1114" t="s">
        <v>1804</v>
      </c>
      <c r="J30" s="1613"/>
      <c r="K30" s="1613"/>
      <c r="O30" s="569">
        <v>0</v>
      </c>
      <c r="Q30" s="14" t="str">
        <f t="shared" si="0"/>
        <v>Not Applicable to this RFA</v>
      </c>
    </row>
    <row r="31" spans="1:20" ht="14.5" hidden="1" customHeight="1">
      <c r="A31" s="4"/>
      <c r="B31" s="4"/>
      <c r="C31" s="170"/>
      <c r="D31" s="1281"/>
      <c r="E31" s="486" t="s">
        <v>1678</v>
      </c>
      <c r="F31" s="486"/>
      <c r="G31" s="486"/>
      <c r="H31" s="497"/>
      <c r="I31" s="496"/>
      <c r="J31" s="1276"/>
      <c r="K31" s="1592"/>
      <c r="L31" s="42"/>
      <c r="O31" s="569">
        <v>0</v>
      </c>
      <c r="Q31" s="14" t="str">
        <f t="shared" ref="Q31" si="3">IF(O31="","",IF(O31=0,"Not ","")&amp;"Applicable to this RFA")</f>
        <v>Not Applicable to this RFA</v>
      </c>
    </row>
    <row r="32" spans="1:20" ht="14.5" hidden="1" customHeight="1">
      <c r="A32" s="4"/>
      <c r="B32" s="3"/>
      <c r="C32" s="1250"/>
      <c r="D32" s="18"/>
      <c r="E32" s="1251" t="s">
        <v>821</v>
      </c>
      <c r="F32" s="1251"/>
      <c r="G32" s="1251"/>
      <c r="H32" s="1252" t="str">
        <f>IF(O32=0,"",IF(Development_Category="&lt;select one&gt;","Select a Development Category",IF(OR(Development_Category="New Construction",Development_Category="Redevelopment",Development_Category="Acquisition and Redevelopment"),DS_SAIL_PU_NC,"NA")))</f>
        <v/>
      </c>
      <c r="I32" s="1125" t="str">
        <f>IF(O32=0,"","("&amp;TEXT(N(H32)*SUM('Proposed Development Info'!H59:H67),"$#,##0")&amp;" Per Development)")</f>
        <v/>
      </c>
      <c r="J32" s="472"/>
      <c r="K32" s="1592"/>
      <c r="L32" s="42"/>
      <c r="O32" s="569">
        <v>0</v>
      </c>
      <c r="Q32" s="14" t="str">
        <f>IF(O32="","",IF(O32=0,"Not ","")&amp;"Applicable to this RFA")</f>
        <v>Not Applicable to this RFA</v>
      </c>
    </row>
    <row r="33" spans="1:30" ht="14.5" hidden="1" customHeight="1">
      <c r="A33" s="4"/>
      <c r="B33" s="4"/>
      <c r="C33" s="170"/>
      <c r="D33" s="473"/>
      <c r="E33" s="486" t="s">
        <v>822</v>
      </c>
      <c r="F33" s="486"/>
      <c r="G33" s="486"/>
      <c r="H33" s="497" t="str">
        <f>IF(O33=0,"",IF(Development_Category="&lt;select one&gt;","Select a Development Category",IF(OR(Development_Category="Rehabilitation",Development_Category="Acquisition and Rehabilitation"),DS_SAIL_PU_SR,"NA")))</f>
        <v/>
      </c>
      <c r="I33" s="496"/>
      <c r="J33" s="472"/>
      <c r="K33" s="1592"/>
      <c r="L33" s="42"/>
      <c r="O33" s="569">
        <v>0</v>
      </c>
      <c r="Q33" s="14" t="str">
        <f>IF(O33="","",IF(O33=0,"Not ","")&amp;"Applicable to this RFA")</f>
        <v>Not Applicable to this RFA</v>
      </c>
    </row>
    <row r="34" spans="1:30" ht="14.5" hidden="1" customHeight="1">
      <c r="A34" s="4"/>
      <c r="B34" s="4"/>
      <c r="C34" s="170"/>
      <c r="D34" s="466"/>
      <c r="E34" s="486" t="s">
        <v>1803</v>
      </c>
      <c r="F34" s="486"/>
      <c r="G34" s="486"/>
      <c r="H34" s="1612" t="str">
        <f>IF(O34=0,"",IF(Self_Sourced_Applicant="&lt;select one&gt;","Identify Status",IF(Self_Sourced_Applicant="Yes",DS_SAIL_PU_SS-IF(Total_Units=0,0,ROUNDUP((SUMIF('Pro Forma'!$K$320:$K$344,"Local Government Subsidy",'Pro Forma'!$H$320:$H$344)+SUMIF('Pro Forma'!$K$320:$K$344,"Other",'Pro Forma'!$H$320:$H$344)+SUMIF('Pro Forma'!$K$320:$K$344,"",'Pro Forma'!$H$320:$H$344))/Total_Units,2)),"NA")))</f>
        <v/>
      </c>
      <c r="I34" s="633" t="str">
        <f>IF(AND(O34=1,H34&lt;&gt;"NA",N(Total_Units)&gt;0),TEXT(ROUNDDOWN(N(H34)*Total_Units,0),"$#,##0")&amp;" Total","")</f>
        <v/>
      </c>
      <c r="J34" s="465"/>
      <c r="K34" s="1592"/>
      <c r="L34" s="42"/>
      <c r="O34" s="1711">
        <f>IF('General Information'!K34=0,0,Funding!R34)</f>
        <v>0</v>
      </c>
      <c r="Q34" s="14" t="str">
        <f t="shared" si="0"/>
        <v>Not Applicable to this RFA</v>
      </c>
      <c r="R34" s="569">
        <v>1</v>
      </c>
    </row>
    <row r="35" spans="1:30" ht="75" hidden="1" customHeight="1">
      <c r="A35" s="4"/>
      <c r="B35" s="4"/>
      <c r="C35" s="170"/>
      <c r="D35" s="1599"/>
      <c r="E35" s="2361" t="str">
        <f>"**"&amp;IF(OR(O34=0,'General Information'!G34&lt;&gt;"Yes"),"NA","("&amp;TEXT(DS_SAIL_PU_SS,"$#,##0")&amp;" PU, less "&amp;TEXT(SUMIF('Pro Forma'!$K$320:$K$344,"Local Government Subsidy",'Pro Forma'!$H$320:$H$344)+SUMIF('Pro Forma'!$K$320:$K$344,"Other",'Pro Forma'!$H$320:$H$344)+SUMIF('Pro Forma'!$K$320:$K$344,"",'Pro Forma'!$H$320:$H$344),"$#,##0.00")&amp;" for Permanent Sources that Cause Reduction in Maximum SAIL Request Amounts of Self-Sourced Applicants† divided by "&amp;TEXT(Total_Units,"0")&amp;" total units, or "&amp;TEXT(IF(Total_Units=0,0,ROUNDUP((SUMIF('Pro Forma'!$K$320:$N$344,"Local Government Subsidy",'Pro Forma'!$H$320:$H$344)+SUMIF('Pro Forma'!$K$320:$N$344,"Other",'Pro Forma'!$H$320:$H$344)+SUMIF('Pro Forma'!$K$320:$K$344,"",'Pro Forma'!$H$320:$H$344))/Total_Units,2)),"$#,##0.00")&amp;" PU = "&amp;TEXT(DS_SAIL_PU_SS-IF(Total_Units=0,0,ROUNDUP((SUMIF('Pro Forma'!$K$320:$N$344,"Local Government Subsidy",'Pro Forma'!$H$320:$H$344)+SUMIF('Pro Forma'!$K$320:$N$344,"Other",'Pro Forma'!$H$320:$H$344)+SUMIF('Pro Forma'!$K$320:$K$344,"",'Pro Forma'!$H$320:$H$344))/Total_Units,2)),"$#,##0.00")&amp;" PU)"&amp;CHAR(10)&amp;"†Determined by the Lender designations of Local Government Subsidy, Other, or a blank in the Permanent Funding Sources section of the Pro Forma tab.")</f>
        <v>**NA</v>
      </c>
      <c r="F35" s="2361"/>
      <c r="G35" s="2361"/>
      <c r="H35" s="2361"/>
      <c r="I35" s="1625"/>
      <c r="J35" s="1592"/>
      <c r="K35" s="1592"/>
      <c r="L35" s="42"/>
      <c r="O35" s="1711">
        <f>O34</f>
        <v>0</v>
      </c>
      <c r="Q35" s="14" t="str">
        <f t="shared" si="0"/>
        <v>Not Applicable to this RFA</v>
      </c>
    </row>
    <row r="36" spans="1:30" ht="14.5" hidden="1" customHeight="1">
      <c r="A36" s="4"/>
      <c r="B36" s="4"/>
      <c r="C36" s="170"/>
      <c r="D36" s="466"/>
      <c r="E36" s="486" t="s">
        <v>811</v>
      </c>
      <c r="F36" s="486"/>
      <c r="G36" s="486"/>
      <c r="H36" s="1611" t="str">
        <f>IF(O36=0,"",IF(Self_Sourced_Applicant="&lt;select one&gt;","Identify Status",IF(Self_Sourced_Applicant="No",DS_SAIL_PU_Not_SS,"NA")))</f>
        <v/>
      </c>
      <c r="I36" s="633" t="str">
        <f>IF(AND(O36=1,H36&lt;&gt;"NA",N(Total_Units)&gt;0),TEXT(ROUNDDOWN(N(H36)*Total_Units,0),"$#,##0")&amp;" Total","")</f>
        <v/>
      </c>
      <c r="J36" s="465"/>
      <c r="K36" s="1592"/>
      <c r="L36" s="42"/>
      <c r="O36" s="1711">
        <f>O34</f>
        <v>0</v>
      </c>
      <c r="Q36" s="14" t="str">
        <f t="shared" si="0"/>
        <v>Not Applicable to this RFA</v>
      </c>
    </row>
    <row r="37" spans="1:30" ht="14.5" hidden="1" customHeight="1">
      <c r="A37" s="4"/>
      <c r="B37" s="4"/>
      <c r="C37" s="170"/>
      <c r="D37" s="504"/>
      <c r="E37" s="1848" t="str">
        <f>"Percentage of Total Development Costs ("&amp;TEXT(IF(AND(SUM('Units, Set-Asides, Bldgs'!G39:G40)&lt;5%,IF(Total_Units=0,0,SUMIF('Units, Set-Asides, Bldgs'!I20:I28,"&lt;="&amp;IFERROR(VLOOKUP(County,DS_CountyData,14),0),'Units, Set-Asides, Bldgs'!G20:G28))&lt;5%),DS_SAIL_Percent_TDC_1,DS_SAIL_Percent_TDC_2),"0%")&amp;")"</f>
        <v>Percentage of Total Development Costs (25%)</v>
      </c>
      <c r="F37" s="486"/>
      <c r="G37" s="486"/>
      <c r="H37" s="497" t="str">
        <f>IF(O37=0,"",IF(N(TDC_total)=0,"Need Costs",ROUNDDOWN(LEFT(RIGHT(E37,4),3)*N(TDC_total),0)-IF(DS_SAIL_ELI_Inclusive="Yes",MIN(Max_ELI,Eligible_ELI_Request_Amount),0)))</f>
        <v/>
      </c>
      <c r="I37" s="633" t="str">
        <f>"(% based on "&amp;TEXT(ROUNDDOWN(MAX(SUM('Units, Set-Asides, Bldgs'!G39:G40),IF(Total_Units=0,0,SUMIF('Units, Set-Asides, Bldgs'!I20:I28,"&lt;="&amp;IFERROR(VLOOKUP(County,DS_CountyData,14),0),'Units, Set-Asides, Bldgs'!G20:G28))),2),"0%")&amp;" ELI Set-Asides)"</f>
        <v>(% based on 0% ELI Set-Asides)</v>
      </c>
      <c r="J37" s="499"/>
      <c r="K37" s="1592"/>
      <c r="L37" s="42"/>
      <c r="O37" s="569">
        <v>0</v>
      </c>
      <c r="Q37" s="14" t="str">
        <f>IF(O37="","",IF(O37=0,"Not ","")&amp;"Applicable to this RFA")</f>
        <v>Not Applicable to this RFA</v>
      </c>
    </row>
    <row r="38" spans="1:30" ht="45" hidden="1" customHeight="1">
      <c r="A38" s="4"/>
      <c r="B38" s="4"/>
      <c r="C38" s="170"/>
      <c r="D38" s="1843"/>
      <c r="E38" s="2361" t="str">
        <f>"**"&amp;IF(DS_SAIL_ELI_Inclusive&lt;&gt;"Yes","NA","("&amp;IF(N(H37)=0,"The Applicant's Eligible ELI Request Amount will be deducted from the gross SAIL Percentage of TDC Request Limit of "&amp;TEXT(ROUNDDOWN(LEFT(RIGHT(E37,4),3)*N(TDC_total),0),"$#,##0")&amp;" to obtain a net SAIL Percentage of TDC Request Limit, once an ELI Request Amount has been entered.","The gross "&amp;TEXT(ROUNDDOWN(LEFT(RIGHT(E37,4),3)*N(TDC_total),0),"$#,##0")&amp;" Per Unit Limit, less the Applicant's Eligible ELI Request Amount of "&amp;TEXT(Eligible_ELI_Request_Amount,"$#,##0")&amp;" yields a net SAIL Percentage of TDC Request Amount of "&amp;TEXT(ROUNDDOWN(LEFT(RIGHT(E37,4),3)*N(TDC_total),0)-IF(DS_SAIL_ELI_Inclusive="Yes",MIN(Max_ELI,Eligible_ELI_Request_Amount),0),"$#,##0")&amp;".)"))</f>
        <v>**NA</v>
      </c>
      <c r="F38" s="2361"/>
      <c r="G38" s="2361"/>
      <c r="H38" s="2361"/>
      <c r="I38" s="633"/>
      <c r="J38" s="1669"/>
      <c r="K38" s="1669"/>
      <c r="L38" s="42"/>
      <c r="O38" s="1951">
        <f>IF(AND(O37=1,DS_SAIL_ELI_Inclusive="Yes"),1,0)</f>
        <v>0</v>
      </c>
      <c r="P38"/>
      <c r="Q38" s="108" t="str">
        <f t="shared" ref="Q38" si="4">IF(O38="","",IF(O38=0,"Not ","")&amp;"Applicable to this RFA")</f>
        <v>Not Applicable to this RFA</v>
      </c>
    </row>
    <row r="39" spans="1:30" ht="10.4" customHeight="1">
      <c r="A39" s="4"/>
      <c r="B39" s="4"/>
      <c r="C39" s="170"/>
      <c r="D39" s="466"/>
      <c r="E39" s="495"/>
      <c r="F39" s="494"/>
      <c r="G39" s="494"/>
      <c r="H39" s="1847"/>
      <c r="I39" s="634"/>
      <c r="J39" s="465"/>
      <c r="K39" s="1592"/>
      <c r="P39" s="55"/>
      <c r="T39" s="2101" t="s">
        <v>2115</v>
      </c>
      <c r="U39" s="2101"/>
      <c r="V39" s="2101"/>
      <c r="W39" s="2101"/>
      <c r="X39" s="2101"/>
      <c r="Y39" s="2101"/>
      <c r="Z39" s="2101"/>
      <c r="AA39" s="2101"/>
      <c r="AB39" s="2101"/>
      <c r="AC39" s="2101"/>
      <c r="AD39" s="2101"/>
    </row>
    <row r="40" spans="1:30" ht="45" customHeight="1">
      <c r="A40" s="4"/>
      <c r="B40" s="4"/>
      <c r="C40" s="170"/>
      <c r="D40" s="466"/>
      <c r="E40" s="2157" t="s">
        <v>1051</v>
      </c>
      <c r="F40" s="2157"/>
      <c r="G40" s="2157"/>
      <c r="H40" s="1115">
        <f>MIN(IF(AND(IFERROR(VLOOKUP(County,DS_County_Sizes,8,FALSE),"")="Large",O22=1,N(H22)&gt;0),H22,IF(AND(OR(IFERROR(VLOOKUP(County,DS_County_Sizes,8,FALSE),"")="Small",IFERROR(VLOOKUP(County,DS_County_Sizes,8,FALSE),"")="Medium"),O24=1,N(H24)&gt;0),H24,IF(AND(OR(Development_Category="Preservation",Development_Category="Acquisition and Preservation",Development_Category="Rehabilitation",Development_Category="Acquisition and Rehabilitation"),O26=1,N(H26)),H26,IF(O28=1,H28,0)))),IF(O31=1,H31,DS_Request_Maximum),IF(O32=1,ROUNDDOWN(N(SUM('Proposed Development Info'!H61:H69))*IF(N(H32)&gt;0,H32,DS_Request_Maximum),0),DS_Request_Maximum),IF(OR(O33=1,O34=1,O36=1),ROUNDDOWN(N(Total_Units)*IF(AND(O33=1,N(H33)&gt;0),H33,IF(AND(O34=1,N(H34)&gt;0,Self_Sourced_Applicant="Yes"),H34,IF(AND(O36=1,N(H36)&gt;0,Self_Sourced_Applicant="No"),H36,DS_Request_Maximum))),0),DS_Request_Maximum),IF(O37=0,DS_Request_Maximum,N(H37)))</f>
        <v>2077942</v>
      </c>
      <c r="I40" s="1114" t="s">
        <v>1276</v>
      </c>
      <c r="J40" s="465"/>
      <c r="K40" s="1592"/>
      <c r="P40" s="55"/>
      <c r="T40" s="2101"/>
      <c r="U40" s="2101"/>
      <c r="V40" s="2101"/>
      <c r="W40" s="2101"/>
      <c r="X40" s="2101"/>
      <c r="Y40" s="2101"/>
      <c r="Z40" s="2101"/>
      <c r="AA40" s="2101"/>
      <c r="AB40" s="2101"/>
      <c r="AC40" s="2101"/>
      <c r="AD40" s="2101"/>
    </row>
    <row r="41" spans="1:30" ht="10.4" customHeight="1">
      <c r="A41" s="4"/>
      <c r="B41" s="4"/>
      <c r="C41" s="170"/>
      <c r="D41" s="466"/>
      <c r="E41" s="466"/>
      <c r="F41" s="466"/>
      <c r="G41" s="466"/>
      <c r="H41" s="466"/>
      <c r="I41" s="634"/>
      <c r="J41" s="465"/>
      <c r="K41" s="1592"/>
      <c r="P41" s="55"/>
      <c r="T41" s="2101"/>
      <c r="U41" s="2101"/>
      <c r="V41" s="2101"/>
      <c r="W41" s="2101"/>
      <c r="X41" s="2101"/>
      <c r="Y41" s="2101"/>
      <c r="Z41" s="2101"/>
      <c r="AA41" s="2101"/>
      <c r="AB41" s="2101"/>
      <c r="AC41" s="2101"/>
      <c r="AD41" s="2101"/>
    </row>
    <row r="42" spans="1:30" ht="17.5" customHeight="1">
      <c r="A42" s="4"/>
      <c r="B42" s="4"/>
      <c r="C42" s="543" t="str">
        <f>IF($L42=0,"(-)","(a)")</f>
        <v>(a)</v>
      </c>
      <c r="D42" s="2357" t="s">
        <v>2134</v>
      </c>
      <c r="E42" s="2357"/>
      <c r="F42" s="2357"/>
      <c r="G42" s="2357"/>
      <c r="H42" s="2357"/>
      <c r="I42" s="1678"/>
      <c r="J42" s="465"/>
      <c r="K42" s="1592"/>
      <c r="L42" s="1949">
        <f>N19</f>
        <v>1</v>
      </c>
      <c r="M42" s="550">
        <f>IF(AND(L42&lt;&gt;0,I42&lt;&gt;""),L42,0)</f>
        <v>0</v>
      </c>
      <c r="N42" s="552" t="str">
        <f>CHOOSE(L42+1,"Not to be included in this RFA","A REQUIRED input field for this RFA","An OPTIONAL input field for this RFA")</f>
        <v>A REQUIRED input field for this RFA</v>
      </c>
      <c r="P42" s="55"/>
      <c r="T42" s="2101"/>
      <c r="U42" s="2101"/>
      <c r="V42" s="2101"/>
      <c r="W42" s="2101"/>
      <c r="X42" s="2101"/>
      <c r="Y42" s="2101"/>
      <c r="Z42" s="2101"/>
      <c r="AA42" s="2101"/>
      <c r="AB42" s="2101"/>
      <c r="AC42" s="2101"/>
      <c r="AD42" s="2101"/>
    </row>
    <row r="43" spans="1:30" ht="5.15" customHeight="1">
      <c r="A43" s="4"/>
      <c r="B43" s="4"/>
      <c r="C43" s="170"/>
      <c r="D43" s="6"/>
      <c r="E43" s="6"/>
      <c r="F43" s="190"/>
      <c r="G43" s="6"/>
      <c r="H43" s="6"/>
      <c r="I43" s="4"/>
      <c r="J43" s="413"/>
      <c r="K43" s="1592"/>
      <c r="P43" s="55"/>
      <c r="T43" s="2101"/>
      <c r="U43" s="2101"/>
      <c r="V43" s="2101"/>
      <c r="W43" s="2101"/>
      <c r="X43" s="2101"/>
      <c r="Y43" s="2101"/>
      <c r="Z43" s="2101"/>
      <c r="AA43" s="2101"/>
      <c r="AB43" s="2101"/>
      <c r="AC43" s="2101"/>
      <c r="AD43" s="2101"/>
    </row>
    <row r="44" spans="1:30" ht="17.5" customHeight="1">
      <c r="A44" s="4"/>
      <c r="B44" s="4"/>
      <c r="C44" s="170"/>
      <c r="D44" s="1667"/>
      <c r="E44" s="476" t="s">
        <v>1844</v>
      </c>
      <c r="F44" s="476"/>
      <c r="G44" s="476"/>
      <c r="H44" s="476"/>
      <c r="I44" s="1672">
        <f>MIN(N(Max_SAIL),N(SAIL_Request_Amount))</f>
        <v>0</v>
      </c>
      <c r="J44" s="1663"/>
      <c r="K44" s="1663"/>
      <c r="P44" s="55"/>
      <c r="T44" s="2101"/>
      <c r="U44" s="2101"/>
      <c r="V44" s="2101"/>
      <c r="W44" s="2101"/>
      <c r="X44" s="2101"/>
      <c r="Y44" s="2101"/>
      <c r="Z44" s="2101"/>
      <c r="AA44" s="2101"/>
      <c r="AB44" s="2101"/>
      <c r="AC44" s="2101"/>
      <c r="AD44" s="2101"/>
    </row>
    <row r="45" spans="1:30" ht="14.5" customHeight="1">
      <c r="A45" s="4"/>
      <c r="B45" s="4"/>
      <c r="C45" s="170"/>
      <c r="D45" s="1667"/>
      <c r="E45" s="1667"/>
      <c r="F45" s="1667"/>
      <c r="G45" s="1667"/>
      <c r="H45" s="1667"/>
      <c r="I45" s="4"/>
      <c r="J45" s="1663"/>
      <c r="K45" s="1663"/>
      <c r="P45" s="55"/>
      <c r="T45" s="2101"/>
      <c r="U45" s="2101"/>
      <c r="V45" s="2101"/>
      <c r="W45" s="2101"/>
      <c r="X45" s="2101"/>
      <c r="Y45" s="2101"/>
      <c r="Z45" s="2101"/>
      <c r="AA45" s="2101"/>
      <c r="AB45" s="2101"/>
      <c r="AC45" s="2101"/>
      <c r="AD45" s="2101"/>
    </row>
    <row r="46" spans="1:30" ht="17.5" hidden="1" customHeight="1">
      <c r="A46" s="4"/>
      <c r="B46" s="4"/>
      <c r="C46" s="170"/>
      <c r="D46" s="2130" t="s">
        <v>820</v>
      </c>
      <c r="E46" s="2130"/>
      <c r="F46" s="2130"/>
      <c r="G46" s="2130"/>
      <c r="H46" s="1697"/>
      <c r="I46" s="1863" t="str">
        <f>IF(DS_SAIL_ELI_Inclusive="Yes","(Per Development &amp; % of TDC Limits include ELI Funding**)","")</f>
        <v/>
      </c>
      <c r="J46" s="465"/>
      <c r="K46" s="1592"/>
      <c r="N46" s="1767">
        <v>0</v>
      </c>
      <c r="O46" s="62"/>
      <c r="P46" s="55"/>
    </row>
    <row r="47" spans="1:30" ht="17.5" hidden="1" customHeight="1">
      <c r="A47" s="4"/>
      <c r="B47" s="4"/>
      <c r="C47" s="170"/>
      <c r="D47" s="466"/>
      <c r="E47" s="488" t="s">
        <v>776</v>
      </c>
      <c r="F47" s="488"/>
      <c r="G47" s="488"/>
      <c r="H47" s="481">
        <f>DS_ELI_PD</f>
        <v>750000</v>
      </c>
      <c r="I47" s="4"/>
      <c r="J47" s="465"/>
      <c r="K47" s="1592"/>
      <c r="N47" s="1566" t="s">
        <v>1809</v>
      </c>
      <c r="O47" s="62"/>
      <c r="P47" s="55"/>
    </row>
    <row r="48" spans="1:30" ht="17.5" hidden="1" customHeight="1">
      <c r="A48" s="4"/>
      <c r="B48" s="4"/>
      <c r="C48" s="170"/>
      <c r="D48" s="504"/>
      <c r="E48" s="489" t="s">
        <v>833</v>
      </c>
      <c r="F48" s="489"/>
      <c r="G48" s="489"/>
      <c r="H48" s="490">
        <f>'Units, Set-Asides, Bldgs'!K130</f>
        <v>0</v>
      </c>
      <c r="I48" s="4"/>
      <c r="J48" s="499"/>
      <c r="K48" s="1592"/>
      <c r="N48" s="1566" t="s">
        <v>1857</v>
      </c>
      <c r="O48" s="62"/>
      <c r="P48" s="55"/>
    </row>
    <row r="49" spans="1:16" ht="10.4" hidden="1" customHeight="1">
      <c r="A49" s="4"/>
      <c r="B49" s="4"/>
      <c r="C49" s="170"/>
      <c r="D49" s="466"/>
      <c r="E49" s="466"/>
      <c r="F49" s="466"/>
      <c r="G49" s="466"/>
      <c r="H49" s="466"/>
      <c r="I49" s="4"/>
      <c r="J49" s="465"/>
      <c r="K49" s="1592"/>
      <c r="P49" s="55"/>
    </row>
    <row r="50" spans="1:16" ht="30" hidden="1" customHeight="1">
      <c r="A50" s="4"/>
      <c r="B50" s="4"/>
      <c r="C50" s="170"/>
      <c r="D50" s="466"/>
      <c r="E50" s="2157" t="s">
        <v>1051</v>
      </c>
      <c r="F50" s="2157"/>
      <c r="G50" s="2157"/>
      <c r="H50" s="1115">
        <f>MIN(H47,H48)</f>
        <v>0</v>
      </c>
      <c r="I50" s="1114" t="s">
        <v>1277</v>
      </c>
      <c r="J50" s="465"/>
      <c r="K50" s="1592"/>
      <c r="P50" s="55"/>
    </row>
    <row r="51" spans="1:16" ht="10.4" hidden="1" customHeight="1">
      <c r="A51" s="4"/>
      <c r="B51" s="4"/>
      <c r="C51" s="170"/>
      <c r="D51" s="466"/>
      <c r="E51" s="466"/>
      <c r="F51" s="466"/>
      <c r="G51" s="466"/>
      <c r="H51" s="466"/>
      <c r="I51" s="4"/>
      <c r="J51" s="465"/>
      <c r="K51" s="1592"/>
      <c r="P51" s="55"/>
    </row>
    <row r="52" spans="1:16" ht="17.5" hidden="1" customHeight="1">
      <c r="A52" s="4"/>
      <c r="B52" s="4"/>
      <c r="C52" s="543" t="str">
        <f>IF(AND($L42=0,$L52=1),"(a)",IF(AND($L42=1,$L52=1),"(b)","(-)"))</f>
        <v>(-)</v>
      </c>
      <c r="D52" s="2360" t="s">
        <v>807</v>
      </c>
      <c r="E52" s="2360"/>
      <c r="F52" s="2360"/>
      <c r="G52" s="2360"/>
      <c r="H52" s="2360"/>
      <c r="I52" s="1678"/>
      <c r="J52" s="413"/>
      <c r="K52" s="1592"/>
      <c r="L52" s="1768">
        <f>N46</f>
        <v>0</v>
      </c>
      <c r="M52" s="550">
        <f>IF(AND(L52&lt;&gt;0,I52&lt;&gt;""),L52,0)</f>
        <v>0</v>
      </c>
      <c r="N52" s="552" t="str">
        <f>CHOOSE(L52+1,"Not to be included in this RFA","A REQUIRED input field for this RFA","An OPTIONAL input field for this RFA")</f>
        <v>Not to be included in this RFA</v>
      </c>
      <c r="P52" s="55"/>
    </row>
    <row r="53" spans="1:16" ht="5.15" hidden="1" customHeight="1">
      <c r="A53" s="4"/>
      <c r="B53" s="4"/>
      <c r="C53" s="4"/>
      <c r="D53" s="4"/>
      <c r="E53" s="4"/>
      <c r="F53" s="4"/>
      <c r="G53" s="4"/>
      <c r="H53" s="4"/>
      <c r="I53" s="4"/>
      <c r="J53" s="413"/>
      <c r="K53" s="1592"/>
      <c r="P53" s="55"/>
    </row>
    <row r="54" spans="1:16" ht="17.5" hidden="1" customHeight="1">
      <c r="A54" s="4"/>
      <c r="B54" s="4"/>
      <c r="C54" s="4"/>
      <c r="D54" s="4"/>
      <c r="E54" s="476" t="s">
        <v>1845</v>
      </c>
      <c r="F54" s="476"/>
      <c r="G54" s="476"/>
      <c r="H54" s="476"/>
      <c r="I54" s="1672">
        <f>MIN(N(Max_ELI),N(ELI_Request_Amount))</f>
        <v>0</v>
      </c>
      <c r="J54" s="1663"/>
      <c r="K54" s="1663"/>
      <c r="P54" s="55"/>
    </row>
    <row r="55" spans="1:16" ht="14.5" hidden="1" customHeight="1">
      <c r="A55" s="4"/>
      <c r="B55" s="4"/>
      <c r="C55" s="4"/>
      <c r="D55" s="4"/>
      <c r="E55" s="4"/>
      <c r="F55" s="4"/>
      <c r="G55" s="4"/>
      <c r="H55" s="4"/>
      <c r="I55" s="4"/>
      <c r="J55" s="1663"/>
      <c r="K55" s="1663"/>
      <c r="P55" s="55"/>
    </row>
    <row r="56" spans="1:16" ht="14.5" hidden="1" customHeight="1">
      <c r="A56" s="4"/>
      <c r="B56" s="175" t="str">
        <f>IF($L$73=0,"",MAX(B$4:B53)+1)</f>
        <v/>
      </c>
      <c r="C56" s="4" t="str">
        <f>Data3!A99</f>
        <v>HOME</v>
      </c>
      <c r="D56" s="4"/>
      <c r="E56" s="4"/>
      <c r="F56" s="4"/>
      <c r="G56" s="4"/>
      <c r="H56" s="4"/>
      <c r="I56" s="4"/>
      <c r="J56" s="413"/>
      <c r="K56" s="1592"/>
      <c r="N56" s="1767">
        <v>0</v>
      </c>
      <c r="P56" s="55"/>
    </row>
    <row r="57" spans="1:16" ht="10.4" hidden="1" customHeight="1">
      <c r="A57" s="4"/>
      <c r="B57" s="4"/>
      <c r="C57" s="4"/>
      <c r="D57" s="4"/>
      <c r="E57" s="4"/>
      <c r="F57" s="4"/>
      <c r="G57" s="4"/>
      <c r="H57" s="4"/>
      <c r="I57" s="4"/>
      <c r="J57" s="413"/>
      <c r="K57" s="1592"/>
      <c r="P57" s="55"/>
    </row>
    <row r="58" spans="1:16" ht="14.5" hidden="1" customHeight="1">
      <c r="A58" s="4"/>
      <c r="B58" s="4"/>
      <c r="C58" s="4"/>
      <c r="D58" s="4"/>
      <c r="E58" s="2359" t="str">
        <f>"Maximum "&amp;C56&amp;" Request Amount Per Development:"</f>
        <v>Maximum HOME Request Amount Per Development:</v>
      </c>
      <c r="F58" s="2359"/>
      <c r="G58" s="2359"/>
      <c r="H58" s="480">
        <f>DS_HOME_PD</f>
        <v>6000000</v>
      </c>
      <c r="I58" s="4"/>
      <c r="J58" s="465"/>
      <c r="K58" s="1592"/>
      <c r="P58" s="55"/>
    </row>
    <row r="59" spans="1:16" ht="10.4" hidden="1" customHeight="1">
      <c r="A59" s="4"/>
      <c r="B59" s="4"/>
      <c r="C59" s="4"/>
      <c r="D59" s="4"/>
      <c r="E59" s="4"/>
      <c r="F59" s="4"/>
      <c r="G59" s="4"/>
      <c r="H59" s="4"/>
      <c r="I59" s="4"/>
      <c r="J59" s="413"/>
      <c r="K59" s="1592"/>
      <c r="P59" s="55"/>
    </row>
    <row r="60" spans="1:16" ht="45" hidden="1" customHeight="1">
      <c r="A60" s="4"/>
      <c r="B60" s="4"/>
      <c r="C60" s="4"/>
      <c r="D60" s="4"/>
      <c r="E60" s="96" t="s">
        <v>480</v>
      </c>
      <c r="F60" s="96" t="str">
        <f>"# of "&amp;C56&amp;" Set-Aside Units"</f>
        <v># of HOME Set-Aside Units</v>
      </c>
      <c r="G60" s="96" t="str">
        <f>"Maximum "&amp;C56&amp;" Subsidy Per "&amp;C56&amp;" Set-Aside Unit"</f>
        <v>Maximum HOME Subsidy Per HOME Set-Aside Unit</v>
      </c>
      <c r="H60" s="96" t="str">
        <f>C56&amp;" Subsidy Allowed"</f>
        <v>HOME Subsidy Allowed</v>
      </c>
      <c r="I60" s="2356" t="str">
        <f>IF(C56&lt;&gt;"HOME","",IF(OR(Eligible_HOME_Request_Amount=0,N(TDC_total)=0,N(Total_Units)=0),"",IF(Eligible_HOME_Request_Amount&gt;N(TDC_total),"The Eligible HOME Request Amount exceeds Total Development Costs.","Based in an Eligible HOME Loan Request Amount of "&amp;TEXT(Eligible_HOME_Request_Amount,"$#,##0")&amp;" and Total Development Costs of "&amp;TEXT(TDC_total,"$#,##0")&amp;", HOME funding covers "&amp;TEXT(ROUNDUP(Eligible_HOME_Request_Amount/TDC_total,2),"0%")&amp;" of the costs which requires a minimum number of HOME-Assisted Units of "&amp;TEXT(MIN(Total_Units,ROUNDUP(ROUNDUP(Eligible_HOME_Request_Amount/TDC_total,2)*Total_Units,0)),"0")&amp;" units out of the total "&amp;TEXT(Total_Units,"0")&amp;" units.")))</f>
        <v/>
      </c>
      <c r="J60" s="1741"/>
      <c r="K60" s="1596"/>
      <c r="L60" s="1962"/>
      <c r="P60" s="55"/>
    </row>
    <row r="61" spans="1:16" ht="17.5" hidden="1" customHeight="1">
      <c r="A61" s="4"/>
      <c r="B61" s="4"/>
      <c r="C61" s="4"/>
      <c r="D61" s="4"/>
      <c r="E61" s="193">
        <v>0</v>
      </c>
      <c r="F61" s="1241"/>
      <c r="G61" s="194" cm="1">
        <f t="array" ref="G61">DS_HOME_PU_0Bd</f>
        <v>137983</v>
      </c>
      <c r="H61" s="198">
        <f>N(F61)*N(G61)</f>
        <v>0</v>
      </c>
      <c r="I61" s="2356"/>
      <c r="J61" s="1742"/>
      <c r="K61" s="1597"/>
      <c r="L61" s="1955">
        <f>IF($N$56=0,0,IF($O61=0,0,IF(AND(COUNTIF($F$61:$F$65,"&gt;0")=0,$E61=0),1,IF(AND(SUM($F$61:$F$65)&gt;0,SUM($F$61:$F$65)=$F61),1,IF(AND(SUM($F$60:$F60)=0,$F61&gt;0),1,2)))))</f>
        <v>0</v>
      </c>
      <c r="M61" s="550">
        <f>IF(AND(L61&lt;&gt;0,F61&lt;&gt;""),L61,0)</f>
        <v>0</v>
      </c>
      <c r="N61" s="552" t="str">
        <f>CHOOSE(L61+1,"Not to be included in this RFA","A REQUIRED input field for this RFA","An OPTIONAL input field for this RFA")</f>
        <v>Not to be included in this RFA</v>
      </c>
      <c r="O61" s="635">
        <v>1</v>
      </c>
      <c r="P61" s="55"/>
    </row>
    <row r="62" spans="1:16" ht="17.5" hidden="1" customHeight="1">
      <c r="A62" s="4"/>
      <c r="B62" s="4"/>
      <c r="C62" s="4"/>
      <c r="D62" s="4"/>
      <c r="E62" s="195">
        <v>1</v>
      </c>
      <c r="F62" s="1242"/>
      <c r="G62" s="196">
        <f>DS_HOME_PU_1Bd</f>
        <v>158177</v>
      </c>
      <c r="H62" s="199">
        <f>N(F62)*N(G62)</f>
        <v>0</v>
      </c>
      <c r="I62" s="2356"/>
      <c r="J62" s="1742"/>
      <c r="K62" s="1597"/>
      <c r="L62" s="1955">
        <f>IF($N$56=0,0,IF($O62=0,0,IF(AND(COUNTIF($F$61:$F$65,"&gt;0")=0,$E62=0),1,IF(AND(SUM($F$61:$F$65)&gt;0,SUM($F$61:$F$65)=$F62),1,IF(AND(SUM($F$60:$F61)=0,$F62&gt;0),1,2)))))</f>
        <v>0</v>
      </c>
      <c r="M62" s="550">
        <f>IF(AND(L62&lt;&gt;0,F62&lt;&gt;""),L62,0)</f>
        <v>0</v>
      </c>
      <c r="N62" s="552" t="str">
        <f>CHOOSE(L62+1,"Not to be included in this RFA","A REQUIRED input field for this RFA","An OPTIONAL input field for this RFA")</f>
        <v>Not to be included in this RFA</v>
      </c>
      <c r="O62" s="635">
        <v>1</v>
      </c>
      <c r="P62" s="55"/>
    </row>
    <row r="63" spans="1:16" ht="17.5" hidden="1" customHeight="1">
      <c r="A63" s="4"/>
      <c r="B63" s="4"/>
      <c r="C63" s="4"/>
      <c r="D63" s="4"/>
      <c r="E63" s="195">
        <v>2</v>
      </c>
      <c r="F63" s="1242"/>
      <c r="G63" s="196">
        <f>DS_HOME_PU_2Bd</f>
        <v>192346</v>
      </c>
      <c r="H63" s="199">
        <f>N(F63)*N(G63)</f>
        <v>0</v>
      </c>
      <c r="I63" s="2356"/>
      <c r="J63" s="1742"/>
      <c r="K63" s="1597"/>
      <c r="L63" s="1955">
        <f>IF($N$56=0,0,IF($O63=0,0,IF(AND(COUNTIF($F$61:$F$65,"&gt;0")=0,$E63=0),1,IF(AND(SUM($F$61:$F$65)&gt;0,SUM($F$61:$F$65)=$F63),1,IF(AND(SUM($F$60:$F62)=0,$F63&gt;0),1,2)))))</f>
        <v>0</v>
      </c>
      <c r="M63" s="550">
        <f>IF(AND(L63&lt;&gt;0,F63&lt;&gt;""),L63,0)</f>
        <v>0</v>
      </c>
      <c r="N63" s="552" t="str">
        <f>CHOOSE(L63+1,"Not to be included in this RFA","A REQUIRED input field for this RFA","An OPTIONAL input field for this RFA")</f>
        <v>Not to be included in this RFA</v>
      </c>
      <c r="O63" s="635">
        <v>1</v>
      </c>
      <c r="P63" s="55"/>
    </row>
    <row r="64" spans="1:16" ht="17.5" hidden="1" customHeight="1">
      <c r="A64" s="4"/>
      <c r="B64" s="4"/>
      <c r="C64" s="4"/>
      <c r="D64" s="4"/>
      <c r="E64" s="197">
        <v>3</v>
      </c>
      <c r="F64" s="1242"/>
      <c r="G64" s="196">
        <f>DS_HOME_PU_3Bd</f>
        <v>248834</v>
      </c>
      <c r="H64" s="199">
        <f>N(F64)*N(G64)</f>
        <v>0</v>
      </c>
      <c r="I64" s="2356"/>
      <c r="J64" s="1742"/>
      <c r="K64" s="1597"/>
      <c r="L64" s="1955">
        <f>IF($N$56=0,0,IF($O64=0,0,IF(AND(COUNTIF($F$61:$F$65,"&gt;0")=0,$E64=0),1,IF(AND(SUM($F$61:$F$65)&gt;0,SUM($F$61:$F$65)=$F64),1,IF(AND(SUM($F$60:$F63)=0,$F64&gt;0),1,2)))))</f>
        <v>0</v>
      </c>
      <c r="M64" s="550">
        <f>IF(AND(L64&lt;&gt;0,F64&lt;&gt;""),L64,0)</f>
        <v>0</v>
      </c>
      <c r="N64" s="552" t="str">
        <f>CHOOSE(L64+1,"Not to be included in this RFA","A REQUIRED input field for this RFA","An OPTIONAL input field for this RFA")</f>
        <v>Not to be included in this RFA</v>
      </c>
      <c r="O64" s="635">
        <v>1</v>
      </c>
      <c r="P64" s="55"/>
    </row>
    <row r="65" spans="1:16" ht="17.5" hidden="1" customHeight="1" thickBot="1">
      <c r="A65" s="4"/>
      <c r="B65" s="4"/>
      <c r="C65" s="4"/>
      <c r="D65" s="4"/>
      <c r="E65" s="973">
        <v>4</v>
      </c>
      <c r="F65" s="1243"/>
      <c r="G65" s="974">
        <f>DS_HOME_PU_4Bd</f>
        <v>273141</v>
      </c>
      <c r="H65" s="975">
        <f>N(F65)*N(G65)</f>
        <v>0</v>
      </c>
      <c r="I65" s="2356"/>
      <c r="J65" s="1742"/>
      <c r="K65" s="1597"/>
      <c r="L65" s="1955">
        <f>IF($N$56=0,0,IF($O65=0,0,IF(AND(COUNTIF($F$61:$F$65,"&gt;0")=0,$E65=0),1,IF(AND(SUM($F$61:$F$65)&gt;0,SUM($F$61:$F$65)=$F65),1,IF(AND(SUM($F$60:$F64)=0,$F65&gt;0),1,2)))))</f>
        <v>0</v>
      </c>
      <c r="M65" s="550">
        <f>IF(AND(L65&lt;&gt;0,F65&lt;&gt;""),L65,0)</f>
        <v>0</v>
      </c>
      <c r="N65" s="552" t="str">
        <f>CHOOSE(L65+1,"Not to be included in this RFA","A REQUIRED input field for this RFA","An OPTIONAL input field for this RFA")</f>
        <v>Not to be included in this RFA</v>
      </c>
      <c r="O65" s="635">
        <v>1</v>
      </c>
      <c r="P65" s="55"/>
    </row>
    <row r="66" spans="1:16" ht="17.5" hidden="1" customHeight="1">
      <c r="A66" s="4"/>
      <c r="B66" s="4"/>
      <c r="C66" s="4"/>
      <c r="D66" s="4"/>
      <c r="G66" s="972" t="str">
        <f>"Total "&amp;C56&amp;"-Assisted Units"</f>
        <v>Total HOME-Assisted Units</v>
      </c>
      <c r="H66" s="1244">
        <f>SUM(F61:F65)</f>
        <v>0</v>
      </c>
      <c r="I66" s="2356"/>
      <c r="J66" s="1742"/>
      <c r="K66" s="1597"/>
      <c r="L66" s="942"/>
      <c r="M66" s="941"/>
      <c r="N66" s="943"/>
      <c r="P66" s="55"/>
    </row>
    <row r="67" spans="1:16" ht="17.5" hidden="1" customHeight="1">
      <c r="A67" s="4"/>
      <c r="B67" s="4"/>
      <c r="C67" s="4"/>
      <c r="D67" s="4"/>
      <c r="E67" s="4"/>
      <c r="F67" s="4"/>
      <c r="G67" s="192" t="str">
        <f>"Total Maximum "&amp;C56&amp;" Subsidy Allowed"</f>
        <v>Total Maximum HOME Subsidy Allowed</v>
      </c>
      <c r="H67" s="200">
        <f>SUM(H61:H65)</f>
        <v>0</v>
      </c>
      <c r="I67" s="2356"/>
      <c r="J67" s="1742"/>
      <c r="K67" s="1597"/>
      <c r="P67" s="55"/>
    </row>
    <row r="68" spans="1:16" ht="10.4" hidden="1" customHeight="1">
      <c r="A68" s="4"/>
      <c r="B68" s="4"/>
      <c r="C68" s="4"/>
      <c r="D68" s="4"/>
      <c r="E68" s="4"/>
      <c r="F68" s="4"/>
      <c r="G68" s="4"/>
      <c r="H68" s="4"/>
      <c r="I68" s="4"/>
      <c r="J68" s="413"/>
      <c r="K68" s="1592"/>
      <c r="P68" s="55"/>
    </row>
    <row r="69" spans="1:16" ht="30" hidden="1" customHeight="1">
      <c r="A69" s="4"/>
      <c r="B69" s="4"/>
      <c r="C69" s="4"/>
      <c r="D69" s="4"/>
      <c r="E69" s="2157" t="s">
        <v>1052</v>
      </c>
      <c r="F69" s="2157"/>
      <c r="G69" s="2157"/>
      <c r="H69" s="481">
        <f>MIN(H58,H67)</f>
        <v>0</v>
      </c>
      <c r="I69" s="1113" t="s">
        <v>1276</v>
      </c>
      <c r="J69" s="465"/>
      <c r="K69" s="1592"/>
      <c r="P69" s="55"/>
    </row>
    <row r="70" spans="1:16" ht="10.4" hidden="1" customHeight="1">
      <c r="A70" s="4"/>
      <c r="B70" s="4"/>
      <c r="C70" s="4"/>
      <c r="D70" s="4"/>
      <c r="E70" s="4"/>
      <c r="F70" s="4"/>
      <c r="G70" s="4"/>
      <c r="H70" s="4"/>
      <c r="I70" s="4"/>
      <c r="J70" s="465"/>
      <c r="K70" s="1592"/>
      <c r="P70" s="55"/>
    </row>
    <row r="71" spans="1:16" ht="30" hidden="1" customHeight="1">
      <c r="A71" s="4"/>
      <c r="B71" s="4"/>
      <c r="C71" s="4"/>
      <c r="D71" s="4"/>
      <c r="E71" s="2134" t="str">
        <f>IF(C56&lt;&gt;"HOME","",IF(OR(Eligible_HOME_Request_Amount=0,N(TDC_total)=0,N(Total_Units)=0),"","The "&amp;TEXT(SUM(F61:F65),"0")&amp;" HOME Set-Aside Units entered "&amp;IF(SUM(F61:F65)&lt;MIN(Total_Units,ROUNDUP(ROUNDUP(Eligible_HOME_Request_Amount/TDC_total,2)*Total_Units,0)),"does NOT meet","meets")&amp;" the "&amp;TEXT(MIN(Total_Units,ROUNDUP(ROUNDUP(Eligible_HOME_Request_Amount/TDC_total,2)*Total_Units,0)),"0")&amp;" minimum HOME Assisted Units required by HUD."))</f>
        <v/>
      </c>
      <c r="F71" s="2134"/>
      <c r="G71" s="2134"/>
      <c r="H71" s="2134"/>
      <c r="I71" s="4"/>
      <c r="J71" s="1669"/>
      <c r="K71" s="1669"/>
      <c r="P71" s="55"/>
    </row>
    <row r="72" spans="1:16" ht="10.4" hidden="1" customHeight="1">
      <c r="A72" s="4"/>
      <c r="B72" s="4"/>
      <c r="C72" s="4"/>
      <c r="D72" s="4"/>
      <c r="E72" s="4"/>
      <c r="F72" s="4"/>
      <c r="G72" s="4"/>
      <c r="H72" s="4"/>
      <c r="I72" s="4"/>
      <c r="J72" s="1669"/>
      <c r="K72" s="1669"/>
      <c r="P72" s="55"/>
    </row>
    <row r="73" spans="1:16" ht="17.5" hidden="1" customHeight="1">
      <c r="A73" s="4"/>
      <c r="B73" s="4"/>
      <c r="C73" s="170" t="s">
        <v>217</v>
      </c>
      <c r="D73" s="2357" t="str">
        <f>"Applicant's "&amp;C56&amp;" Request Amount:  "</f>
        <v xml:space="preserve">Applicant's HOME Request Amount:  </v>
      </c>
      <c r="E73" s="2357"/>
      <c r="F73" s="2357"/>
      <c r="G73" s="2357"/>
      <c r="H73" s="2357"/>
      <c r="I73" s="1678"/>
      <c r="J73" s="413"/>
      <c r="K73" s="1592"/>
      <c r="L73" s="1949">
        <f>N56</f>
        <v>0</v>
      </c>
      <c r="M73" s="550">
        <f>IF(AND(L73&lt;&gt;0,I73&lt;&gt;""),L73,0)</f>
        <v>0</v>
      </c>
      <c r="N73" s="552" t="str">
        <f>CHOOSE(L73+1,"Not to be included in this RFA","A REQUIRED input field for this RFA","An OPTIONAL input field for this RFA")</f>
        <v>Not to be included in this RFA</v>
      </c>
      <c r="P73" s="55"/>
    </row>
    <row r="74" spans="1:16" ht="5.15" hidden="1" customHeight="1">
      <c r="A74" s="4"/>
      <c r="B74" s="4"/>
      <c r="C74" s="4"/>
      <c r="D74" s="4"/>
      <c r="E74" s="4"/>
      <c r="F74" s="4"/>
      <c r="G74" s="4"/>
      <c r="H74" s="4"/>
      <c r="I74" s="4"/>
      <c r="J74" s="413"/>
      <c r="K74" s="1592"/>
      <c r="P74" s="55"/>
    </row>
    <row r="75" spans="1:16" ht="17.5" hidden="1" customHeight="1">
      <c r="A75" s="4"/>
      <c r="B75" s="4"/>
      <c r="C75" s="4"/>
      <c r="D75" s="4"/>
      <c r="E75" s="476" t="s">
        <v>1846</v>
      </c>
      <c r="F75" s="476"/>
      <c r="G75" s="476"/>
      <c r="H75" s="476"/>
      <c r="I75" s="1672">
        <f>MIN(N(Max_HOME),N(HOME_Request_Amount))</f>
        <v>0</v>
      </c>
      <c r="J75" s="1663"/>
      <c r="K75" s="1663"/>
      <c r="P75" s="55"/>
    </row>
    <row r="76" spans="1:16" ht="14.5" hidden="1" customHeight="1">
      <c r="A76" s="4"/>
      <c r="B76" s="4"/>
      <c r="C76" s="4"/>
      <c r="D76" s="4"/>
      <c r="E76" s="4"/>
      <c r="F76" s="4"/>
      <c r="G76" s="4"/>
      <c r="H76" s="4"/>
      <c r="I76" s="4"/>
      <c r="J76" s="1663"/>
      <c r="K76" s="1663"/>
      <c r="P76" s="55"/>
    </row>
    <row r="77" spans="1:16" ht="14.5" hidden="1" customHeight="1">
      <c r="A77" s="4"/>
      <c r="B77" s="4"/>
      <c r="C77" s="4"/>
      <c r="D77" s="4"/>
      <c r="E77" s="4"/>
      <c r="F77" s="4"/>
      <c r="G77" s="4"/>
      <c r="H77" s="4"/>
      <c r="I77" s="4"/>
      <c r="J77" s="1669"/>
      <c r="K77" s="1669"/>
      <c r="P77" s="55"/>
    </row>
    <row r="78" spans="1:16" ht="14.5" hidden="1" customHeight="1">
      <c r="A78" s="4"/>
      <c r="B78" s="4"/>
      <c r="C78" s="4"/>
      <c r="D78" s="4"/>
      <c r="E78" s="4"/>
      <c r="F78" s="4"/>
      <c r="G78" s="4"/>
      <c r="H78" s="4"/>
      <c r="I78" s="4"/>
      <c r="J78" s="1669"/>
      <c r="K78" s="1669"/>
      <c r="P78" s="55"/>
    </row>
    <row r="79" spans="1:16" ht="14.5" hidden="1" customHeight="1">
      <c r="A79" s="4"/>
      <c r="B79" s="4"/>
      <c r="C79" s="4"/>
      <c r="D79" s="4"/>
      <c r="E79" s="4"/>
      <c r="F79" s="4"/>
      <c r="G79" s="4"/>
      <c r="H79" s="4"/>
      <c r="I79" s="4"/>
      <c r="J79" s="1669"/>
      <c r="K79" s="1669"/>
      <c r="P79" s="55"/>
    </row>
    <row r="80" spans="1:16" ht="14.5" hidden="1" customHeight="1">
      <c r="A80" s="4"/>
      <c r="B80" s="4"/>
      <c r="C80" s="4"/>
      <c r="D80" s="4"/>
      <c r="E80" s="4"/>
      <c r="F80" s="4"/>
      <c r="G80" s="4"/>
      <c r="H80" s="4"/>
      <c r="I80" s="4"/>
      <c r="J80" s="1669"/>
      <c r="K80" s="1669"/>
      <c r="P80" s="55"/>
    </row>
    <row r="81" spans="1:16" ht="14.5" hidden="1" customHeight="1">
      <c r="A81" s="4"/>
      <c r="B81" s="4"/>
      <c r="C81" s="4"/>
      <c r="D81" s="4"/>
      <c r="E81" s="4"/>
      <c r="F81" s="4"/>
      <c r="G81" s="4"/>
      <c r="H81" s="4"/>
      <c r="I81" s="4"/>
      <c r="J81" s="1669"/>
      <c r="K81" s="1669"/>
      <c r="P81" s="55"/>
    </row>
    <row r="82" spans="1:16" ht="14.5" hidden="1" customHeight="1">
      <c r="A82" s="4"/>
      <c r="B82" s="4"/>
      <c r="C82" s="4"/>
      <c r="D82" s="4"/>
      <c r="E82" s="4"/>
      <c r="F82" s="4"/>
      <c r="G82" s="4"/>
      <c r="H82" s="4"/>
      <c r="I82" s="4"/>
      <c r="J82" s="1669"/>
      <c r="K82" s="1669"/>
      <c r="P82" s="55"/>
    </row>
    <row r="83" spans="1:16" ht="14.5" hidden="1" customHeight="1">
      <c r="A83" s="4"/>
      <c r="B83" s="4"/>
      <c r="C83" s="4"/>
      <c r="D83" s="4"/>
      <c r="E83" s="4"/>
      <c r="F83" s="4"/>
      <c r="G83" s="4"/>
      <c r="H83" s="4"/>
      <c r="I83" s="4"/>
      <c r="J83" s="1669"/>
      <c r="K83" s="1669"/>
      <c r="P83" s="55"/>
    </row>
    <row r="84" spans="1:16" ht="14.5" hidden="1" customHeight="1">
      <c r="A84" s="4"/>
      <c r="B84" s="4"/>
      <c r="C84" s="4"/>
      <c r="D84" s="4"/>
      <c r="E84" s="4"/>
      <c r="F84" s="4"/>
      <c r="G84" s="4"/>
      <c r="H84" s="4"/>
      <c r="I84" s="4"/>
      <c r="J84" s="1669"/>
      <c r="K84" s="1669"/>
      <c r="P84" s="55"/>
    </row>
    <row r="85" spans="1:16" ht="14.5" hidden="1" customHeight="1">
      <c r="A85" s="4"/>
      <c r="B85" s="4"/>
      <c r="C85" s="4"/>
      <c r="D85" s="4"/>
      <c r="E85" s="4"/>
      <c r="F85" s="4"/>
      <c r="G85" s="4"/>
      <c r="H85" s="4"/>
      <c r="I85" s="4"/>
      <c r="J85" s="1669"/>
      <c r="K85" s="1669"/>
      <c r="P85" s="55"/>
    </row>
    <row r="86" spans="1:16" ht="14.5" hidden="1" customHeight="1">
      <c r="A86" s="4"/>
      <c r="B86" s="4"/>
      <c r="C86" s="4"/>
      <c r="D86" s="4"/>
      <c r="E86" s="4"/>
      <c r="F86" s="4"/>
      <c r="G86" s="4"/>
      <c r="H86" s="4"/>
      <c r="I86" s="4"/>
      <c r="J86" s="1669"/>
      <c r="K86" s="1669"/>
      <c r="P86" s="55"/>
    </row>
    <row r="87" spans="1:16" ht="14.5" hidden="1" customHeight="1">
      <c r="A87" s="4"/>
      <c r="B87" s="4"/>
      <c r="C87" s="4"/>
      <c r="D87" s="4"/>
      <c r="E87" s="4"/>
      <c r="F87" s="4"/>
      <c r="G87" s="4"/>
      <c r="H87" s="4"/>
      <c r="I87" s="4"/>
      <c r="J87" s="1669"/>
      <c r="K87" s="1669"/>
      <c r="P87" s="55"/>
    </row>
    <row r="88" spans="1:16" ht="14.5" hidden="1" customHeight="1">
      <c r="A88" s="4"/>
      <c r="B88" s="4"/>
      <c r="C88" s="4"/>
      <c r="D88" s="4"/>
      <c r="E88" s="4"/>
      <c r="F88" s="4"/>
      <c r="G88" s="4"/>
      <c r="H88" s="4"/>
      <c r="I88" s="4"/>
      <c r="J88" s="1669"/>
      <c r="K88" s="1669"/>
      <c r="P88" s="55"/>
    </row>
    <row r="89" spans="1:16" ht="14.5" hidden="1" customHeight="1">
      <c r="A89" s="4"/>
      <c r="B89" s="4"/>
      <c r="C89" s="4"/>
      <c r="D89" s="4"/>
      <c r="E89" s="4"/>
      <c r="F89" s="4"/>
      <c r="G89" s="4"/>
      <c r="H89" s="4"/>
      <c r="I89" s="4"/>
      <c r="J89" s="1669"/>
      <c r="K89" s="1669"/>
      <c r="P89" s="55"/>
    </row>
    <row r="90" spans="1:16" ht="14.5" hidden="1" customHeight="1">
      <c r="A90" s="4"/>
      <c r="B90" s="4"/>
      <c r="C90" s="4"/>
      <c r="D90" s="4"/>
      <c r="E90" s="4"/>
      <c r="F90" s="4"/>
      <c r="G90" s="4"/>
      <c r="H90" s="4"/>
      <c r="I90" s="4"/>
      <c r="J90" s="1669"/>
      <c r="K90" s="1669"/>
      <c r="P90" s="55"/>
    </row>
    <row r="91" spans="1:16" ht="14.5" hidden="1" customHeight="1">
      <c r="A91" s="4"/>
      <c r="B91" s="4"/>
      <c r="C91" s="4"/>
      <c r="D91" s="4"/>
      <c r="E91" s="4"/>
      <c r="F91" s="4"/>
      <c r="G91" s="4"/>
      <c r="H91" s="4"/>
      <c r="I91" s="4"/>
      <c r="J91" s="1669"/>
      <c r="K91" s="1669"/>
      <c r="P91" s="55"/>
    </row>
    <row r="92" spans="1:16" ht="14.5" hidden="1" customHeight="1">
      <c r="A92" s="4"/>
      <c r="B92" s="4"/>
      <c r="C92" s="4"/>
      <c r="D92" s="4"/>
      <c r="E92" s="4"/>
      <c r="F92" s="4"/>
      <c r="G92" s="4"/>
      <c r="H92" s="4"/>
      <c r="I92" s="4"/>
      <c r="J92" s="1669"/>
      <c r="K92" s="1669"/>
      <c r="P92" s="55"/>
    </row>
    <row r="93" spans="1:16" ht="14.5" hidden="1" customHeight="1">
      <c r="A93" s="4"/>
      <c r="B93" s="4"/>
      <c r="C93" s="4"/>
      <c r="D93" s="4"/>
      <c r="E93" s="4"/>
      <c r="F93" s="4"/>
      <c r="G93" s="4"/>
      <c r="H93" s="4"/>
      <c r="I93" s="4"/>
      <c r="J93" s="1669"/>
      <c r="K93" s="1669"/>
      <c r="P93" s="55"/>
    </row>
    <row r="94" spans="1:16" ht="14.5" hidden="1" customHeight="1">
      <c r="A94" s="4"/>
      <c r="B94" s="4"/>
      <c r="C94" s="4"/>
      <c r="D94" s="4"/>
      <c r="E94" s="4"/>
      <c r="F94" s="4"/>
      <c r="G94" s="4"/>
      <c r="H94" s="4"/>
      <c r="I94" s="4"/>
      <c r="J94" s="1669"/>
      <c r="K94" s="1669"/>
      <c r="P94" s="55"/>
    </row>
    <row r="95" spans="1:16" ht="14.5" hidden="1" customHeight="1">
      <c r="A95" s="4"/>
      <c r="B95" s="4"/>
      <c r="C95" s="4"/>
      <c r="D95" s="4"/>
      <c r="E95" s="4"/>
      <c r="F95" s="4"/>
      <c r="G95" s="4"/>
      <c r="H95" s="4"/>
      <c r="I95" s="4"/>
      <c r="J95" s="1669"/>
      <c r="K95" s="1669"/>
      <c r="P95" s="55"/>
    </row>
    <row r="96" spans="1:16" ht="14.5" hidden="1" customHeight="1">
      <c r="A96" s="4"/>
      <c r="B96" s="4"/>
      <c r="C96" s="4"/>
      <c r="D96" s="4"/>
      <c r="E96" s="4"/>
      <c r="F96" s="4"/>
      <c r="G96" s="4"/>
      <c r="H96" s="4"/>
      <c r="I96" s="4"/>
      <c r="J96" s="1669"/>
      <c r="K96" s="1669"/>
      <c r="P96" s="55"/>
    </row>
    <row r="97" spans="1:19" ht="14.5" hidden="1" customHeight="1">
      <c r="A97" s="4"/>
      <c r="B97" s="4"/>
      <c r="C97" s="4"/>
      <c r="D97" s="4"/>
      <c r="E97" s="4"/>
      <c r="F97" s="4"/>
      <c r="G97" s="4"/>
      <c r="H97" s="4"/>
      <c r="I97" s="4"/>
      <c r="J97" s="1669"/>
      <c r="K97" s="1669"/>
      <c r="P97" s="55"/>
    </row>
    <row r="98" spans="1:19" ht="14.5" hidden="1" customHeight="1">
      <c r="A98" s="4"/>
      <c r="B98" s="4"/>
      <c r="C98" s="4"/>
      <c r="D98" s="4"/>
      <c r="E98" s="4"/>
      <c r="F98" s="4"/>
      <c r="G98" s="4"/>
      <c r="H98" s="4"/>
      <c r="I98" s="4"/>
      <c r="J98" s="1669"/>
      <c r="K98" s="1669"/>
      <c r="P98" s="55"/>
    </row>
    <row r="99" spans="1:19" ht="14.5" hidden="1" customHeight="1">
      <c r="A99" s="4"/>
      <c r="B99" s="4"/>
      <c r="C99" s="4"/>
      <c r="D99" s="4"/>
      <c r="E99" s="4"/>
      <c r="F99" s="4"/>
      <c r="G99" s="4"/>
      <c r="H99" s="4"/>
      <c r="I99" s="4"/>
      <c r="J99" s="1669"/>
      <c r="K99" s="1669"/>
      <c r="P99" s="55"/>
    </row>
    <row r="100" spans="1:19" ht="14.5" hidden="1" customHeight="1">
      <c r="A100" s="4"/>
      <c r="B100" s="4"/>
      <c r="C100" s="4"/>
      <c r="D100" s="4"/>
      <c r="E100" s="4"/>
      <c r="F100" s="4"/>
      <c r="G100" s="4"/>
      <c r="H100" s="4"/>
      <c r="I100" s="4"/>
      <c r="J100" s="1669"/>
      <c r="K100" s="1669"/>
      <c r="P100" s="55"/>
    </row>
    <row r="101" spans="1:19" ht="14.5" hidden="1" customHeight="1">
      <c r="A101" s="4"/>
      <c r="B101" s="4"/>
      <c r="C101" s="4"/>
      <c r="D101" s="4"/>
      <c r="E101" s="4"/>
      <c r="F101" s="4"/>
      <c r="G101" s="4"/>
      <c r="H101" s="4"/>
      <c r="I101" s="4"/>
      <c r="J101" s="1669"/>
      <c r="K101" s="1669"/>
      <c r="P101" s="55"/>
    </row>
    <row r="102" spans="1:19" ht="14.5" hidden="1" customHeight="1">
      <c r="A102" s="4"/>
      <c r="B102" s="4"/>
      <c r="C102" s="4"/>
      <c r="D102" s="4"/>
      <c r="E102" s="4"/>
      <c r="F102" s="4"/>
      <c r="G102" s="4"/>
      <c r="H102" s="4"/>
      <c r="I102" s="4"/>
      <c r="J102" s="1669"/>
      <c r="K102" s="1669"/>
      <c r="P102" s="55"/>
    </row>
    <row r="103" spans="1:19" ht="14.5" hidden="1" customHeight="1">
      <c r="A103" s="4"/>
      <c r="B103" s="4"/>
      <c r="C103" s="4"/>
      <c r="D103" s="4"/>
      <c r="E103" s="4"/>
      <c r="F103" s="4"/>
      <c r="G103" s="4"/>
      <c r="H103" s="4"/>
      <c r="I103" s="4"/>
      <c r="J103" s="1669"/>
      <c r="K103" s="1669"/>
      <c r="P103" s="55"/>
    </row>
    <row r="104" spans="1:19" ht="14.5" hidden="1" customHeight="1">
      <c r="A104" s="4"/>
      <c r="B104" s="4"/>
      <c r="C104" s="4"/>
      <c r="D104" s="4"/>
      <c r="E104" s="4"/>
      <c r="F104" s="4"/>
      <c r="G104" s="4"/>
      <c r="H104" s="4"/>
      <c r="I104" s="4"/>
      <c r="J104" s="1669"/>
      <c r="K104" s="1669"/>
      <c r="P104" s="55"/>
    </row>
    <row r="105" spans="1:19" ht="14.5" customHeight="1">
      <c r="A105" s="4"/>
      <c r="B105" s="678">
        <f>IF($L$116=0,"",MAX(B$4:B74)+1)</f>
        <v>2</v>
      </c>
      <c r="C105" s="4" t="s">
        <v>1202</v>
      </c>
      <c r="D105" s="4"/>
      <c r="E105" s="4"/>
      <c r="F105" s="4"/>
      <c r="G105" s="4"/>
      <c r="H105" s="4"/>
      <c r="I105" s="4"/>
      <c r="J105" s="1031"/>
      <c r="K105" s="1592"/>
      <c r="N105" s="1767">
        <v>1</v>
      </c>
      <c r="P105" s="55"/>
    </row>
    <row r="106" spans="1:19" ht="10.4" customHeight="1">
      <c r="A106" s="4"/>
      <c r="B106" s="4"/>
      <c r="C106" s="4"/>
      <c r="D106" s="4"/>
      <c r="E106" s="4"/>
      <c r="F106" s="4"/>
      <c r="G106" s="4"/>
      <c r="H106" s="4"/>
      <c r="I106" s="4"/>
      <c r="J106" s="1031"/>
      <c r="K106" s="1592"/>
      <c r="P106" s="55"/>
    </row>
    <row r="107" spans="1:19" ht="14.5" customHeight="1">
      <c r="A107" s="4"/>
      <c r="B107" s="4"/>
      <c r="C107"/>
      <c r="D107" s="1053" t="s">
        <v>1232</v>
      </c>
      <c r="E107" s="600"/>
      <c r="F107" s="600"/>
      <c r="G107" s="600"/>
      <c r="H107" s="1057">
        <f>DS_ARP_PD</f>
        <v>3822058</v>
      </c>
      <c r="I107" s="2337" t="str" cm="1">
        <f t="array" aca="1" ref="I107" ca="1">IF(Data3!K105=Data3!K112,"(The Per Unit Request Limit is based on the primary Development Type identified in Section 4.A.4."&amp;'Proposed Development Info'!A54&amp;".'s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tab.)",IF(OR(Data3!K105=Data3!K110,Data3!K105=Data3!K111),"(The Per Unit Request Limit is based on the County identified in Section 4.A.5.a. in the '"&amp;MID(CELL("filename",'Development Location'!A1),FIND("]",CELL("filename",'Development Location'!A1))+1,268)&amp;"' tab.)",""))</f>
        <v>(The Per Unit Request Limit is based on the primary Development Type identified in Section 4.A.4.d.'s Unit Characteristics table in the 'Proposed Development Info' tab and the County identified in Section 4.A.5.a. in the 'Development Location' tab.)</v>
      </c>
      <c r="J107" s="1031"/>
      <c r="K107" s="1592"/>
      <c r="O107" s="1948">
        <v>1</v>
      </c>
      <c r="P107"/>
      <c r="Q107" s="108" t="str">
        <f t="shared" ref="Q107:Q112" si="5">IF(O107="","",IF(O107=0,"Not ","")&amp;"Applicable to this RFA")</f>
        <v>Applicable to this RFA</v>
      </c>
    </row>
    <row r="108" spans="1:19" ht="14.5" hidden="1" customHeight="1">
      <c r="A108" s="4"/>
      <c r="B108" s="4"/>
      <c r="C108"/>
      <c r="D108" s="1053" t="s">
        <v>1519</v>
      </c>
      <c r="E108" s="600"/>
      <c r="F108" s="600"/>
      <c r="G108" s="600"/>
      <c r="H108" s="1057" t="str">
        <f>IF(O108&lt;&gt;1,"",MAX(0,ROUND((N(TDC_total)-N(NHTF_Request_Amount))/2,0)))</f>
        <v/>
      </c>
      <c r="I108" s="2337"/>
      <c r="J108" s="1148"/>
      <c r="K108" s="1592"/>
      <c r="O108" s="1948">
        <v>0</v>
      </c>
      <c r="P108"/>
      <c r="Q108" s="108" t="str">
        <f t="shared" si="5"/>
        <v>Not Applicable to this RFA</v>
      </c>
    </row>
    <row r="109" spans="1:19" ht="21" hidden="1" customHeight="1">
      <c r="A109" s="4"/>
      <c r="B109" s="4"/>
      <c r="C109"/>
      <c r="D109" s="1952" t="str">
        <f>"**( "&amp;TEXT(N(TDC_total),"$#,##0")&amp;" TDC, less "&amp;TEXT(N(NHTF_Request_Amount),"$#,##0")&amp;" Eligible NHTF Request Amount ) / 2 = "&amp;TEXT(H108,"$#,##0")</f>
        <v xml:space="preserve">**( $0 TDC, less $0 Eligible NHTF Request Amount ) / 2 = </v>
      </c>
      <c r="E109" s="1953"/>
      <c r="F109" s="683"/>
      <c r="G109" s="683"/>
      <c r="H109" s="683"/>
      <c r="I109" s="2337"/>
      <c r="J109" s="1148"/>
      <c r="K109" s="1592"/>
      <c r="O109" s="1951">
        <f>O108</f>
        <v>0</v>
      </c>
      <c r="P109"/>
      <c r="Q109" s="108" t="str">
        <f t="shared" si="5"/>
        <v>Not Applicable to this RFA</v>
      </c>
    </row>
    <row r="110" spans="1:19" ht="14.5" customHeight="1">
      <c r="A110" s="4"/>
      <c r="B110" s="4"/>
      <c r="C110"/>
      <c r="D110" s="1053" t="s">
        <v>1234</v>
      </c>
      <c r="E110" s="600"/>
      <c r="F110" s="600"/>
      <c r="G110" s="600"/>
      <c r="H110" s="1255">
        <f>DS_ARP_PU</f>
        <v>0</v>
      </c>
      <c r="I110" s="2337"/>
      <c r="J110" s="1031"/>
      <c r="K110" s="1592"/>
      <c r="N110" s="1253"/>
      <c r="O110" s="1948">
        <v>1</v>
      </c>
      <c r="P110"/>
      <c r="Q110" s="108" t="str">
        <f t="shared" si="5"/>
        <v>Applicable to this RFA</v>
      </c>
      <c r="R110" s="1254"/>
      <c r="S110" s="1254"/>
    </row>
    <row r="111" spans="1:19" ht="14.5" customHeight="1">
      <c r="A111" s="4"/>
      <c r="B111" s="4"/>
      <c r="C111"/>
      <c r="D111" s="1053" t="s">
        <v>224</v>
      </c>
      <c r="E111" s="600"/>
      <c r="F111" s="600"/>
      <c r="G111" s="600"/>
      <c r="H111" s="1058">
        <f>Total_Units</f>
        <v>0</v>
      </c>
      <c r="I111" s="2337"/>
      <c r="J111" s="1031"/>
      <c r="K111" s="1592"/>
      <c r="O111" s="1951">
        <f>O110</f>
        <v>1</v>
      </c>
      <c r="P111"/>
      <c r="Q111" s="108" t="str">
        <f t="shared" si="5"/>
        <v>Applicable to this RFA</v>
      </c>
    </row>
    <row r="112" spans="1:19" ht="14.5" customHeight="1">
      <c r="A112" s="4"/>
      <c r="B112" s="4"/>
      <c r="C112"/>
      <c r="D112" s="1053" t="s">
        <v>1233</v>
      </c>
      <c r="E112" s="600"/>
      <c r="F112" s="600"/>
      <c r="G112" s="600"/>
      <c r="H112" s="1057">
        <f>H110*H111</f>
        <v>0</v>
      </c>
      <c r="I112" s="2337"/>
      <c r="J112" s="1031"/>
      <c r="K112" s="1592"/>
      <c r="O112" s="1715">
        <f>O111</f>
        <v>1</v>
      </c>
      <c r="P112"/>
      <c r="Q112" s="108" t="str">
        <f t="shared" si="5"/>
        <v>Applicable to this RFA</v>
      </c>
    </row>
    <row r="113" spans="1:16" ht="10.4" customHeight="1">
      <c r="A113" s="4"/>
      <c r="B113" s="4"/>
      <c r="C113"/>
      <c r="D113" s="1031"/>
      <c r="E113" s="108"/>
      <c r="F113" s="108"/>
      <c r="G113" s="108"/>
      <c r="H113" s="4"/>
      <c r="I113" s="4"/>
      <c r="J113" s="1031"/>
      <c r="K113" s="1592"/>
      <c r="P113" s="55"/>
    </row>
    <row r="114" spans="1:16" ht="14.5" customHeight="1">
      <c r="A114" s="4"/>
      <c r="B114" s="4"/>
      <c r="C114"/>
      <c r="D114" s="1031"/>
      <c r="E114" s="2336" t="s">
        <v>1053</v>
      </c>
      <c r="F114" s="2336"/>
      <c r="G114" s="2336"/>
      <c r="H114" s="1057">
        <f>MIN(H107,H108,H112)</f>
        <v>0</v>
      </c>
      <c r="I114" s="1112" t="s">
        <v>1275</v>
      </c>
      <c r="J114" s="1031"/>
      <c r="K114" s="1592"/>
      <c r="P114" s="55"/>
    </row>
    <row r="115" spans="1:16" ht="10.4" customHeight="1">
      <c r="A115" s="4"/>
      <c r="B115" s="4"/>
      <c r="C115"/>
      <c r="D115"/>
      <c r="E115"/>
      <c r="F115"/>
      <c r="G115"/>
      <c r="H115" s="4"/>
      <c r="I115" s="4"/>
      <c r="J115" s="1031"/>
      <c r="K115" s="1592"/>
      <c r="P115" s="55"/>
    </row>
    <row r="116" spans="1:16" ht="17.5" customHeight="1">
      <c r="A116" s="4"/>
      <c r="B116" s="4"/>
      <c r="C116" s="1056" t="s">
        <v>217</v>
      </c>
      <c r="D116" s="2358" t="s">
        <v>1231</v>
      </c>
      <c r="E116" s="2358"/>
      <c r="F116" s="2358"/>
      <c r="G116" s="2358"/>
      <c r="H116" s="2358"/>
      <c r="I116" s="1679"/>
      <c r="J116" s="1031"/>
      <c r="K116" s="1592"/>
      <c r="L116" s="1950">
        <f>N105</f>
        <v>1</v>
      </c>
      <c r="M116" s="606">
        <f>IF(AND(L116&lt;&gt;0,I116&lt;&gt;""),L116,0)</f>
        <v>0</v>
      </c>
      <c r="N116" s="1031" t="str">
        <f>CHOOSE(L116+1,"Not to be included in this RFA","A REQUIRED input field for this RFA","An OPTIONAL input field for this RFA")</f>
        <v>A REQUIRED input field for this RFA</v>
      </c>
      <c r="P116" s="55"/>
    </row>
    <row r="117" spans="1:16" ht="5.15" customHeight="1">
      <c r="A117" s="4"/>
      <c r="B117" s="4"/>
      <c r="C117" s="4"/>
      <c r="D117" s="4"/>
      <c r="E117" s="4"/>
      <c r="F117" s="4"/>
      <c r="G117" s="4"/>
      <c r="H117" s="4"/>
      <c r="I117" s="4"/>
      <c r="J117" s="1031"/>
      <c r="K117" s="1592"/>
      <c r="P117" s="55"/>
    </row>
    <row r="118" spans="1:16" ht="17.5" customHeight="1">
      <c r="A118" s="4"/>
      <c r="B118" s="4"/>
      <c r="C118" s="4"/>
      <c r="D118" s="4"/>
      <c r="E118" s="476" t="s">
        <v>1847</v>
      </c>
      <c r="F118" s="476"/>
      <c r="G118" s="476"/>
      <c r="H118" s="476"/>
      <c r="I118" s="1672">
        <f>MIN(N(Max_ARP),N(HOME_ARP_Request_Amount))</f>
        <v>0</v>
      </c>
      <c r="J118" s="1663"/>
      <c r="K118" s="1663"/>
      <c r="P118" s="55"/>
    </row>
    <row r="119" spans="1:16" ht="14.5" customHeight="1">
      <c r="A119" s="4"/>
      <c r="B119" s="4"/>
      <c r="C119" s="4"/>
      <c r="D119" s="4"/>
      <c r="E119" s="4"/>
      <c r="F119" s="4"/>
      <c r="G119" s="4"/>
      <c r="H119" s="4"/>
      <c r="I119" s="4"/>
      <c r="J119" s="1663"/>
      <c r="K119" s="1663"/>
      <c r="P119" s="55"/>
    </row>
    <row r="120" spans="1:16" ht="14.5" hidden="1" customHeight="1">
      <c r="A120" s="4"/>
      <c r="B120" s="175" t="str">
        <f>IF($L$124=0,"",MAX(B$4:B117)+1)</f>
        <v/>
      </c>
      <c r="C120" s="4" t="s">
        <v>470</v>
      </c>
      <c r="D120" s="4"/>
      <c r="E120" s="4"/>
      <c r="F120" s="4"/>
      <c r="G120" s="4"/>
      <c r="H120" s="4"/>
      <c r="I120" s="4"/>
      <c r="J120" s="413"/>
      <c r="K120" s="1592"/>
      <c r="N120" s="1767">
        <v>0</v>
      </c>
      <c r="P120" s="55"/>
    </row>
    <row r="121" spans="1:16" ht="10.4" hidden="1" customHeight="1">
      <c r="A121" s="4"/>
      <c r="B121" s="4"/>
      <c r="C121" s="4"/>
      <c r="D121" s="4"/>
      <c r="E121" s="4"/>
      <c r="F121" s="4"/>
      <c r="G121" s="4"/>
      <c r="H121" s="4"/>
      <c r="I121" s="4"/>
      <c r="J121" s="413"/>
      <c r="K121" s="1592"/>
      <c r="P121" s="55"/>
    </row>
    <row r="122" spans="1:16" ht="17.5" hidden="1" customHeight="1">
      <c r="A122" s="4"/>
      <c r="B122" s="4"/>
      <c r="D122" s="2360" t="s">
        <v>805</v>
      </c>
      <c r="E122" s="2360"/>
      <c r="F122" s="2360"/>
      <c r="G122" s="2360"/>
      <c r="H122" s="481">
        <f>DS_Grant_PD</f>
        <v>4600000</v>
      </c>
      <c r="I122" s="1112" t="s">
        <v>1275</v>
      </c>
      <c r="J122" s="413"/>
      <c r="K122" s="1592"/>
      <c r="P122" s="55"/>
    </row>
    <row r="123" spans="1:16" ht="10.4" hidden="1" customHeight="1">
      <c r="A123" s="4"/>
      <c r="B123" s="4"/>
      <c r="C123" s="170"/>
      <c r="D123" s="466"/>
      <c r="E123" s="466"/>
      <c r="F123" s="466"/>
      <c r="G123" s="466"/>
      <c r="H123" s="466"/>
      <c r="J123" s="465"/>
      <c r="K123" s="1592"/>
      <c r="P123" s="55"/>
    </row>
    <row r="124" spans="1:16" ht="17.5" hidden="1" customHeight="1">
      <c r="A124" s="4"/>
      <c r="B124" s="4"/>
      <c r="C124" s="170" t="s">
        <v>217</v>
      </c>
      <c r="D124" s="2357" t="s">
        <v>806</v>
      </c>
      <c r="E124" s="2357"/>
      <c r="F124" s="2357"/>
      <c r="G124" s="2357"/>
      <c r="H124" s="2357"/>
      <c r="I124" s="1678"/>
      <c r="J124" s="465"/>
      <c r="K124" s="1592"/>
      <c r="L124" s="1949">
        <f>N120</f>
        <v>0</v>
      </c>
      <c r="M124" s="550">
        <f>IF(AND(L124&lt;&gt;0,I124&lt;&gt;""),L124,0)</f>
        <v>0</v>
      </c>
      <c r="N124" s="552" t="str">
        <f>CHOOSE(L124+1,"Not to be included in this RFA","A REQUIRED input field for this RFA","An OPTIONAL input field for this RFA")</f>
        <v>Not to be included in this RFA</v>
      </c>
      <c r="P124" s="55"/>
    </row>
    <row r="125" spans="1:16" ht="5.15" hidden="1" customHeight="1">
      <c r="A125" s="4"/>
      <c r="B125" s="4"/>
      <c r="C125" s="4"/>
      <c r="D125" s="16"/>
      <c r="E125" s="4"/>
      <c r="F125" s="4"/>
      <c r="G125" s="4"/>
      <c r="H125" s="4"/>
      <c r="I125" s="4"/>
      <c r="J125" s="413"/>
      <c r="K125" s="1592"/>
      <c r="P125" s="55"/>
    </row>
    <row r="126" spans="1:16" ht="17.5" hidden="1" customHeight="1">
      <c r="A126" s="4"/>
      <c r="B126" s="4"/>
      <c r="C126" s="4"/>
      <c r="D126" s="1666"/>
      <c r="E126" s="476" t="s">
        <v>1848</v>
      </c>
      <c r="F126" s="476"/>
      <c r="G126" s="476"/>
      <c r="H126" s="476"/>
      <c r="I126" s="1672">
        <f>MIN(N(Max_Grant),N(Grant_Request_Amount))</f>
        <v>0</v>
      </c>
      <c r="J126" s="1663"/>
      <c r="K126" s="1663"/>
      <c r="P126" s="55"/>
    </row>
    <row r="127" spans="1:16" ht="14.5" hidden="1" customHeight="1">
      <c r="A127" s="4"/>
      <c r="B127" s="4"/>
      <c r="C127" s="4"/>
      <c r="D127" s="1666"/>
      <c r="E127" s="4"/>
      <c r="F127" s="4"/>
      <c r="G127" s="4"/>
      <c r="H127" s="4"/>
      <c r="I127" s="4"/>
      <c r="J127" s="1663"/>
      <c r="K127" s="1663"/>
      <c r="P127" s="55"/>
    </row>
    <row r="128" spans="1:16" ht="17.5" hidden="1" customHeight="1">
      <c r="A128" s="4"/>
      <c r="B128" s="175" t="str">
        <f>IF($L128=0,"",MAX(B$4:B125)+1)</f>
        <v/>
      </c>
      <c r="C128" s="6" t="s">
        <v>1098</v>
      </c>
      <c r="D128" s="4"/>
      <c r="E128" s="57"/>
      <c r="F128" s="57"/>
      <c r="G128" s="4"/>
      <c r="H128" s="4"/>
      <c r="I128" s="1098" t="s">
        <v>190</v>
      </c>
      <c r="J128" s="413"/>
      <c r="K128" s="1592"/>
      <c r="L128" s="569">
        <v>0</v>
      </c>
      <c r="M128" s="467">
        <f>IF(AND(L128&lt;&gt;0,AND(I128&lt;&gt;"&lt;select from menu&gt;",I128&lt;&gt;"")),L128,0)</f>
        <v>0</v>
      </c>
      <c r="N128" s="468" t="str">
        <f>CHOOSE(L128+1,"Not to be included in this RFA","A REQUIRED input field for this RFA","An OPTIONAL input field for this RFA")</f>
        <v>Not to be included in this RFA</v>
      </c>
    </row>
    <row r="129" spans="1:24" ht="17.5" hidden="1" customHeight="1">
      <c r="A129"/>
      <c r="B129" s="678" t="str">
        <f>IF($L129=0,"",MAX(B$4:B126)+1)</f>
        <v/>
      </c>
      <c r="C129" s="1700" t="s">
        <v>1905</v>
      </c>
      <c r="D129" s="476"/>
      <c r="E129" s="1721"/>
      <c r="F129" s="1721"/>
      <c r="G129" s="476"/>
      <c r="H129" s="476"/>
      <c r="I129" s="1722"/>
      <c r="J129" s="1669"/>
      <c r="K129" s="1669"/>
      <c r="L129" s="1701">
        <v>0</v>
      </c>
      <c r="M129" s="606">
        <f>IF(AND(L129&lt;&gt;0,AND(I129&lt;&gt;"&lt;select from menu&gt;",I129&lt;&gt;"")),L129,0)</f>
        <v>0</v>
      </c>
      <c r="N129" s="1669" t="str">
        <f>CHOOSE(L129+1,"Not to be included in this RFA","A REQUIRED input field for this RFA","An OPTIONAL input field for this RFA")</f>
        <v>Not to be included in this RFA</v>
      </c>
    </row>
    <row r="130" spans="1:24" ht="60" hidden="1" customHeight="1">
      <c r="A130"/>
      <c r="B130" s="678"/>
      <c r="C130" s="923"/>
      <c r="D130" s="2373" t="str">
        <f>IF(AND($I$129="",County_Size&lt;&gt;"Medium",County_Size&lt;&gt;"Large"),"",IF(AND($I$129="",County_Size&lt;&gt;"Medium",County_Size&lt;&gt;"Large"),"Select a County",IF(Total_Units=0,"Enter Total Units","The maximum Optional 22% units that can be considered is calculated by deducting the required 22% units of "&amp;TEXT(IF(County_Size="Medium",Data3!C112,Data3!C111),"0")&amp;" units from the maximum total number of 22% units. The maximum total number of 22% units is determined by taking the lesser of either (a) "&amp;TEXT(Data3!C113,"0%")&amp;" of Total Units ("&amp;TEXT(ROUNDUP(Data3!C113*N(Total_Units),0),"0")&amp;" units), or (b) "&amp;TEXT(Data3!C114,"0")&amp;" total 22% units. "&amp;IF(OR(AND(County_Size="Large",Data3!H111="Yes"),AND(County_Size="Medium",Data3!H112="Yes"))," The maximum Optional 22% units is "&amp;TEXT(MIN(ROUNDUP(Data3!C113*N(Total_Units),0),Data3!C114)-IF(County_Size="Medium",Data3!C112,Data3!C111),"0")&amp;" units."," The maximum Optional 22% units is "&amp;TEXT(MIN(ROUNDUP(Data3!C113*N(Total_Units),0),Data3!C114),"0")&amp;" units."))))</f>
        <v/>
      </c>
      <c r="E130" s="2374"/>
      <c r="F130" s="2374"/>
      <c r="G130" s="2374"/>
      <c r="H130" s="2374"/>
      <c r="I130" s="1723" t="s">
        <v>1906</v>
      </c>
      <c r="J130" s="1669"/>
      <c r="K130" s="1669"/>
      <c r="M130" s="606"/>
      <c r="N130" s="1814" t="s">
        <v>2014</v>
      </c>
    </row>
    <row r="131" spans="1:24" ht="30" hidden="1" customHeight="1">
      <c r="A131"/>
      <c r="B131" s="678"/>
      <c r="C131" s="1724"/>
      <c r="D131" s="2375" t="str">
        <f>IF(AND(County_Size&lt;&gt;"Medium",County_Size&lt;&gt;"Large"),"Please select a County",IF(Total_Units=0,"Enter Total Units",IF(OR(AND(County_Size="Large",Data3!H111="Yes"),AND(County_Size="Medium",Data3!H112="Yes")),"With the "&amp;TEXT(IF(County_Size="Medium",Data3!C112,Data3!C111),"0")&amp;" required 22% units and the "&amp;IF(N(Funding!I129)&gt;MIN(ROUNDUP(Data3!C113*N(Total_Units),0),Data3!C114)-IF(County_Size="Medium",Data3!C112,Data3!C111),"maximum ","")&amp;TEXT(MIN(N(Funding!I129),MIN(ROUNDUP(Data3!C113*N(Total_Units),0),Data3!C114)-IF(County_Size="Medium",Data3!C112,Data3!C111)),"0")&amp;" optional 22% units, the","The")&amp;" maximum total amount of 22% units being committed to is "&amp;TEXT(IF(OR(AND(County_Size="Large",Data3!H111="Yes"),AND(County_Size="Medium",Data3!H112="Yes")),IF(County_Size="Medium",Data3!C112,Data3!C111),0)+MIN(N(Funding!I129),MIN(ROUNDUP(Data3!C113*N(Total_Units),0),Data3!C114)-IF(OR(AND(County_Size="Large",Data3!H111="Yes"),AND(County_Size="Medium",Data3!H112="Yes")),IF(County_Size="Medium",Data3!C112,Data3!C111),0)),"0")&amp;"."))</f>
        <v>Please select a County</v>
      </c>
      <c r="E131" s="2375"/>
      <c r="F131" s="2375"/>
      <c r="G131" s="2375"/>
      <c r="H131" s="2375"/>
      <c r="I131" s="2375"/>
      <c r="J131" s="1669"/>
      <c r="K131" s="1669"/>
      <c r="M131" s="606"/>
      <c r="N131" s="1669"/>
    </row>
    <row r="132" spans="1:24" ht="10.4" hidden="1" customHeight="1">
      <c r="A132" s="222"/>
      <c r="B132" s="1725"/>
      <c r="C132" s="1726"/>
      <c r="D132" s="222"/>
      <c r="E132" s="1727"/>
      <c r="F132" s="1727"/>
      <c r="G132" s="222"/>
      <c r="H132" s="222"/>
      <c r="I132" s="1728"/>
      <c r="J132" s="740"/>
      <c r="K132" s="1669"/>
      <c r="M132" s="606"/>
      <c r="N132" s="1669"/>
    </row>
    <row r="133" spans="1:24" ht="30" hidden="1" customHeight="1">
      <c r="A133" s="222"/>
      <c r="B133" s="1725"/>
      <c r="C133"/>
      <c r="D133" s="2376" t="s">
        <v>1907</v>
      </c>
      <c r="E133" s="2376"/>
      <c r="F133" s="2376"/>
      <c r="G133" s="2376"/>
      <c r="H133" s="2376"/>
      <c r="I133" s="2376"/>
      <c r="J133" s="740"/>
      <c r="K133" s="1669"/>
      <c r="M133" s="606"/>
      <c r="N133" s="1669"/>
    </row>
    <row r="134" spans="1:24" ht="17.5" hidden="1" customHeight="1">
      <c r="A134" s="222"/>
      <c r="B134" s="1725"/>
      <c r="C134" s="1726"/>
      <c r="D134" s="222"/>
      <c r="E134" s="1729" t="s">
        <v>1908</v>
      </c>
      <c r="F134" s="1729" t="s">
        <v>1909</v>
      </c>
      <c r="G134" s="1729" t="s">
        <v>1910</v>
      </c>
      <c r="H134" s="1730"/>
      <c r="I134" s="1728"/>
      <c r="J134" s="740"/>
      <c r="K134" s="1669"/>
      <c r="M134" s="606"/>
      <c r="N134" s="1812"/>
    </row>
    <row r="135" spans="1:24" ht="17.5" hidden="1" customHeight="1">
      <c r="A135" s="222"/>
      <c r="B135" s="1725"/>
      <c r="C135" s="1726"/>
      <c r="D135" s="222"/>
      <c r="E135" s="1729">
        <f>IF(OR(AND(County_Size="Large",Data3!H111="Yes"),AND(County_Size="Medium",Data3!H112="Yes")),IF(County_Size="Medium",Data3!C112,Data3!C111),0)+MIN(N(Funding!I129),MIN(ROUNDUP(Data3!C113*N(Total_Units),0),Data3!C114)-IF(OR(AND(County_Size="Large",Data3!H111="Yes"),AND(County_Size="Medium",Data3!H112="Yes")),IF(County_Size="Medium",Data3!C112,Data3!C111),0))</f>
        <v>0</v>
      </c>
      <c r="F135" s="1731">
        <f>DS_NHTF_PU</f>
        <v>0</v>
      </c>
      <c r="G135" s="1731">
        <f>N(E135)*N(F135)</f>
        <v>0</v>
      </c>
      <c r="H135" s="1730"/>
      <c r="I135" s="1728"/>
      <c r="J135" s="740"/>
      <c r="K135" s="1669"/>
      <c r="M135" s="606"/>
      <c r="N135" s="1669"/>
    </row>
    <row r="136" spans="1:24" ht="10.4" hidden="1" customHeight="1">
      <c r="A136" s="222"/>
      <c r="B136" s="222"/>
      <c r="C136" s="222"/>
      <c r="D136" s="222"/>
      <c r="E136" s="1728"/>
      <c r="F136" s="1728"/>
      <c r="G136" s="1728"/>
      <c r="H136" s="222"/>
      <c r="I136" s="222"/>
      <c r="J136" s="740"/>
      <c r="K136" s="1669"/>
      <c r="M136"/>
      <c r="N136"/>
    </row>
    <row r="137" spans="1:24" ht="30" hidden="1" customHeight="1">
      <c r="A137"/>
      <c r="B137"/>
      <c r="C137" s="2111" t="s">
        <v>469</v>
      </c>
      <c r="D137" s="2111"/>
      <c r="E137" s="2111"/>
      <c r="F137" s="2111"/>
      <c r="G137" s="2111"/>
      <c r="H137" s="2111"/>
      <c r="I137" s="2111"/>
      <c r="J137" s="1669"/>
      <c r="K137" s="1669"/>
      <c r="M137"/>
      <c r="N137"/>
    </row>
    <row r="138" spans="1:24" ht="10.4" hidden="1" customHeight="1">
      <c r="A138"/>
      <c r="B138"/>
      <c r="C138"/>
      <c r="D138"/>
      <c r="E138" s="1732"/>
      <c r="F138" s="1732"/>
      <c r="G138"/>
      <c r="H138"/>
      <c r="I138"/>
      <c r="J138" s="1669"/>
      <c r="K138" s="1669"/>
      <c r="M138"/>
      <c r="N138"/>
    </row>
    <row r="139" spans="1:24" ht="14.5" customHeight="1">
      <c r="A139" s="4"/>
      <c r="B139" s="175">
        <f>IF($L$148=0,"",MAX(B$4:B138)+1)</f>
        <v>3</v>
      </c>
      <c r="C139" s="875" t="s">
        <v>1223</v>
      </c>
      <c r="D139" s="875"/>
      <c r="E139" s="875"/>
      <c r="F139"/>
      <c r="G139" s="4"/>
      <c r="H139" s="4"/>
      <c r="I139" s="4"/>
      <c r="J139" s="1669"/>
      <c r="K139" s="1669"/>
      <c r="N139" s="1767">
        <v>1</v>
      </c>
      <c r="P139" s="55"/>
    </row>
    <row r="140" spans="1:24" ht="17.5" customHeight="1">
      <c r="A140" s="4"/>
      <c r="B140" s="4"/>
      <c r="C140" s="4"/>
      <c r="D140" s="4"/>
      <c r="E140" s="4"/>
      <c r="F140" s="4"/>
      <c r="G140" s="4"/>
      <c r="H140" s="4"/>
      <c r="I140" s="2337" t="str" cm="1">
        <f t="array" aca="1" ref="I140" ca="1">IF(Data3!K105=Data3!K112,"(The Per Unit Request Limit is based on the primary Development Type identified in Section 4.A.4."&amp;'Proposed Development Info'!A54&amp;".'s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tab.)",IF(OR(Data3!K105=Data3!K110,Data3!K105=Data3!K111),"(The Per Unit Request Limit is based on the County identified in Section 4.A.5.a. in the '"&amp;MID(CELL("filename",'Development Location'!A1),FIND("]",CELL("filename",'Development Location'!A1))+1,268)&amp;"' tab.)",""))</f>
        <v>(The Per Unit Request Limit is based on the primary Development Type identified in Section 4.A.4.d.'s Unit Characteristics table in the 'Proposed Development Info' tab and the County identified in Section 4.A.5.a. in the 'Development Location' tab.)</v>
      </c>
      <c r="J140" s="1031"/>
      <c r="K140" s="1592"/>
      <c r="P140" s="55"/>
    </row>
    <row r="141" spans="1:24" ht="17.5" customHeight="1">
      <c r="A141" s="4"/>
      <c r="B141" s="4"/>
      <c r="C141" s="4"/>
      <c r="D141" s="1035" t="s">
        <v>1224</v>
      </c>
      <c r="E141" s="488"/>
      <c r="F141" s="488"/>
      <c r="G141" s="488"/>
      <c r="H141" s="558">
        <f>DS_NHTF_PD</f>
        <v>2240000</v>
      </c>
      <c r="I141" s="2337"/>
      <c r="J141" s="1031"/>
      <c r="K141" s="1592"/>
      <c r="O141" s="403">
        <v>1</v>
      </c>
      <c r="P141"/>
      <c r="Q141" s="108" t="str">
        <f>IF(O141="","",IF(O141=0,"Not ","")&amp;"Applicable to this RFA")</f>
        <v>Applicable to this RFA</v>
      </c>
    </row>
    <row r="142" spans="1:24" ht="17.5" customHeight="1">
      <c r="A142" s="4"/>
      <c r="B142" s="4"/>
      <c r="C142" s="4"/>
      <c r="D142" s="1035" t="s">
        <v>1236</v>
      </c>
      <c r="E142" s="488"/>
      <c r="F142" s="488"/>
      <c r="G142" s="488"/>
      <c r="H142" s="558">
        <f>DS_NHTF_PU</f>
        <v>0</v>
      </c>
      <c r="I142" s="2337"/>
      <c r="J142" s="1031"/>
      <c r="K142" s="1592"/>
      <c r="O142" s="403">
        <v>1</v>
      </c>
      <c r="P142"/>
      <c r="Q142" s="108" t="str">
        <f>IF(O142="","",IF(O142=0,"Not ","")&amp;"Applicable to this RFA")</f>
        <v>Applicable to this RFA</v>
      </c>
      <c r="U142"/>
      <c r="V142"/>
      <c r="W142"/>
      <c r="X142"/>
    </row>
    <row r="143" spans="1:24" ht="17.5" customHeight="1">
      <c r="A143" s="4"/>
      <c r="B143" s="4"/>
      <c r="C143" s="4"/>
      <c r="D143" s="1053" t="str">
        <f>"Number of NHTF Set-Aside Units: (Max: "&amp;IF(Data3!H113="Yes",TEXT(Data3!C113,"0%")&amp;", or "&amp;ROUNDUP(Data3!C113*Total_Units,0)&amp;" units)",IF(Data3!H114="Yes",TEXT(Data3!C114,"0")&amp;" Units)",IF(Data3!H113="Both",TEXT(MIN(ROUNDUP(Data3!C113*Total_Units,0),Data3!C114),"0")&amp;" Units)","")))</f>
        <v>Number of NHTF Set-Aside Units: (Max: 0 Units)</v>
      </c>
      <c r="E143" s="600"/>
      <c r="F143" s="600"/>
      <c r="G143" s="600"/>
      <c r="H143" s="1054">
        <f>IF(Data3!H113="Yes",ROUNDUP(Data3!C113*Total_Units,0),IF(Data3!H114="Yes",Data3!C114,IF(Data3!H113="Both",MIN(ROUNDUP(Data3!C113*Total_Units,0),Data3!C114),0)))</f>
        <v>0</v>
      </c>
      <c r="I143" s="2337"/>
      <c r="J143" s="4"/>
      <c r="K143" s="4"/>
      <c r="O143" s="403">
        <v>1</v>
      </c>
      <c r="P143"/>
      <c r="Q143" s="108" t="str">
        <f>IF(O143="","",IF(O143=0,"Not ","")&amp;"Applicable to this RFA")</f>
        <v>Applicable to this RFA</v>
      </c>
      <c r="U143"/>
      <c r="V143"/>
      <c r="W143"/>
      <c r="X143"/>
    </row>
    <row r="144" spans="1:24" ht="17.5" customHeight="1">
      <c r="A144" s="4"/>
      <c r="B144" s="4"/>
      <c r="C144" s="4"/>
      <c r="D144" s="1053" t="s">
        <v>1235</v>
      </c>
      <c r="E144" s="600"/>
      <c r="F144" s="600"/>
      <c r="G144" s="600"/>
      <c r="H144" s="1057">
        <f>H142*H143</f>
        <v>0</v>
      </c>
      <c r="I144" s="2337"/>
      <c r="J144" s="1031"/>
      <c r="K144" s="1592"/>
      <c r="O144" s="403">
        <v>1</v>
      </c>
      <c r="P144"/>
      <c r="Q144" s="108" t="str">
        <f>IF(O144="","",IF(O144=0,"Not ","")&amp;"Applicable to this RFA")</f>
        <v>Applicable to this RFA</v>
      </c>
      <c r="U144"/>
      <c r="V144"/>
      <c r="W144"/>
      <c r="X144"/>
    </row>
    <row r="145" spans="1:24" ht="17.5" customHeight="1">
      <c r="A145" s="4"/>
      <c r="B145" s="4"/>
      <c r="C145" s="4"/>
      <c r="D145" s="1032"/>
      <c r="E145" s="1034"/>
      <c r="F145" s="1034"/>
      <c r="G145" s="1034"/>
      <c r="H145" s="559"/>
      <c r="I145" s="2337"/>
      <c r="J145" s="1031"/>
      <c r="K145" s="1592"/>
      <c r="P145" s="55"/>
      <c r="U145"/>
      <c r="V145"/>
      <c r="W145"/>
      <c r="X145"/>
    </row>
    <row r="146" spans="1:24" ht="14.5" customHeight="1">
      <c r="A146" s="4"/>
      <c r="B146" s="4"/>
      <c r="C146" s="4"/>
      <c r="D146" s="1032"/>
      <c r="E146" s="2157" t="s">
        <v>1053</v>
      </c>
      <c r="F146" s="2157"/>
      <c r="G146" s="2157"/>
      <c r="H146" s="558">
        <f>MIN(H141,H142*H143)</f>
        <v>0</v>
      </c>
      <c r="I146" s="1112" t="s">
        <v>1277</v>
      </c>
      <c r="J146" s="1031"/>
      <c r="K146" s="1592"/>
      <c r="P146" s="55"/>
      <c r="U146"/>
      <c r="V146"/>
      <c r="W146"/>
      <c r="X146"/>
    </row>
    <row r="147" spans="1:24" ht="10.4" customHeight="1">
      <c r="A147" s="4"/>
      <c r="B147" s="4"/>
      <c r="C147" s="4"/>
      <c r="D147" s="4"/>
      <c r="E147" s="4"/>
      <c r="F147" s="4"/>
      <c r="G147" s="4"/>
      <c r="H147" s="4"/>
      <c r="I147" s="4"/>
      <c r="J147" s="1031"/>
      <c r="K147" s="1592"/>
      <c r="P147" s="55"/>
      <c r="U147"/>
      <c r="V147"/>
      <c r="W147"/>
      <c r="X147"/>
    </row>
    <row r="148" spans="1:24" ht="17.5" customHeight="1">
      <c r="A148" s="4"/>
      <c r="B148" s="4"/>
      <c r="C148" s="170" t="s">
        <v>217</v>
      </c>
      <c r="D148" s="2358" t="s">
        <v>1633</v>
      </c>
      <c r="E148" s="2358"/>
      <c r="F148" s="2358"/>
      <c r="G148" s="2358"/>
      <c r="H148" s="2358"/>
      <c r="I148" s="1680" t="str">
        <f>IF(OR(L148=0,Max_NHTF=0),"",Max_NHTF)</f>
        <v/>
      </c>
      <c r="J148" s="458"/>
      <c r="K148" s="458"/>
      <c r="L148" s="1949">
        <f>N139</f>
        <v>1</v>
      </c>
      <c r="M148" s="1033">
        <f>IF(AND(L148&lt;&gt;0,I148&lt;&gt;""),L148,0)</f>
        <v>0</v>
      </c>
      <c r="N148" s="1032" t="str">
        <f>CHOOSE(L148+1,"Not to be included in this RFA","A REQUIRED input field for this RFA","An OPTIONAL input field for this RFA")</f>
        <v>A REQUIRED input field for this RFA</v>
      </c>
      <c r="O148"/>
      <c r="P148" s="1055"/>
      <c r="Q148"/>
      <c r="U148"/>
      <c r="V148"/>
      <c r="W148"/>
      <c r="X148"/>
    </row>
    <row r="149" spans="1:24" ht="5.15" customHeight="1">
      <c r="A149" s="4"/>
      <c r="B149" s="4"/>
      <c r="C149" s="170"/>
      <c r="D149" s="4"/>
      <c r="E149" s="4"/>
      <c r="F149" s="4"/>
      <c r="G149" s="4"/>
      <c r="H149" s="4"/>
      <c r="I149" s="4"/>
      <c r="J149" s="458"/>
      <c r="K149" s="458"/>
      <c r="M149" s="1033"/>
      <c r="N149" s="1032"/>
      <c r="P149" s="55"/>
    </row>
    <row r="150" spans="1:24" ht="17.5" customHeight="1">
      <c r="A150" s="4"/>
      <c r="B150" s="4"/>
      <c r="C150" s="170"/>
      <c r="D150" s="4"/>
      <c r="E150" s="476" t="s">
        <v>1849</v>
      </c>
      <c r="F150" s="476"/>
      <c r="G150" s="476"/>
      <c r="H150" s="476"/>
      <c r="I150" s="1672">
        <f>MIN(N(Max_NHTF),N(NHTF_Request_Amount))</f>
        <v>0</v>
      </c>
      <c r="J150" s="458"/>
      <c r="K150" s="458"/>
      <c r="M150" s="1665"/>
      <c r="N150" s="1664"/>
      <c r="P150" s="55"/>
    </row>
    <row r="151" spans="1:24" ht="14.5" customHeight="1">
      <c r="A151" s="4"/>
      <c r="B151" s="4"/>
      <c r="C151" s="170"/>
      <c r="D151" s="4"/>
      <c r="E151" s="4"/>
      <c r="F151" s="4"/>
      <c r="G151" s="4"/>
      <c r="H151" s="4"/>
      <c r="I151" s="4"/>
      <c r="J151" s="458"/>
      <c r="K151" s="458"/>
      <c r="M151" s="1665"/>
      <c r="N151" s="1664"/>
      <c r="P151" s="55"/>
    </row>
    <row r="152" spans="1:24" ht="14.5" hidden="1" customHeight="1">
      <c r="A152" s="4"/>
      <c r="B152" s="175" t="str">
        <f>IF($L$161=0,"",MAX(B$4:B149)+1)</f>
        <v/>
      </c>
      <c r="C152" s="3" t="s">
        <v>471</v>
      </c>
      <c r="D152" s="3"/>
      <c r="E152" s="3"/>
      <c r="F152" s="1347" t="s">
        <v>848</v>
      </c>
      <c r="G152" s="4"/>
      <c r="H152" s="4"/>
      <c r="I152" s="4"/>
      <c r="J152" s="413"/>
      <c r="K152" s="1592"/>
      <c r="N152" s="1767">
        <v>0</v>
      </c>
      <c r="P152" s="55"/>
      <c r="Q152" s="1735" t="s">
        <v>1943</v>
      </c>
    </row>
    <row r="153" spans="1:24" ht="10.4" hidden="1" customHeight="1">
      <c r="A153" s="4"/>
      <c r="B153" s="4"/>
      <c r="C153" s="4"/>
      <c r="D153" s="4"/>
      <c r="E153" s="4"/>
      <c r="F153" s="4"/>
      <c r="G153" s="4"/>
      <c r="H153" s="4"/>
      <c r="I153" s="4"/>
      <c r="J153" s="413"/>
      <c r="K153" s="1592"/>
      <c r="P153" s="55"/>
    </row>
    <row r="154" spans="1:24" ht="17.5" hidden="1" customHeight="1">
      <c r="A154" s="4"/>
      <c r="B154" s="4"/>
      <c r="C154" s="4"/>
      <c r="D154" s="551" t="s">
        <v>846</v>
      </c>
      <c r="E154" s="488"/>
      <c r="F154" s="488"/>
      <c r="G154" s="488"/>
      <c r="H154" s="558"/>
      <c r="I154" s="4"/>
      <c r="J154" s="548"/>
      <c r="K154" s="1592"/>
      <c r="P154" s="55"/>
    </row>
    <row r="155" spans="1:24" ht="17.5" hidden="1" customHeight="1">
      <c r="A155" s="4"/>
      <c r="B155" s="4"/>
      <c r="C155" s="4"/>
      <c r="D155" s="1032" t="s">
        <v>847</v>
      </c>
      <c r="E155" s="1034"/>
      <c r="F155" s="1034"/>
      <c r="G155" s="1034"/>
      <c r="H155" s="559"/>
      <c r="I155" s="4"/>
      <c r="J155" s="548"/>
      <c r="K155" s="1592"/>
      <c r="P155" s="55"/>
    </row>
    <row r="156" spans="1:24" ht="17.5" hidden="1" customHeight="1">
      <c r="A156" s="4"/>
      <c r="B156" s="4"/>
      <c r="C156" s="4"/>
      <c r="D156" s="1061" t="s">
        <v>1237</v>
      </c>
      <c r="E156" s="1062"/>
      <c r="F156" s="1062"/>
      <c r="G156" s="1062"/>
      <c r="H156" s="1063"/>
      <c r="I156" s="4"/>
      <c r="J156" s="1031"/>
      <c r="K156" s="1592"/>
      <c r="P156" s="55"/>
    </row>
    <row r="157" spans="1:24" ht="17.5" hidden="1" customHeight="1">
      <c r="A157" s="4"/>
      <c r="B157" s="4"/>
      <c r="C157" s="4"/>
      <c r="D157" s="1060" t="s">
        <v>1238</v>
      </c>
      <c r="E157" s="489"/>
      <c r="F157" s="489"/>
      <c r="G157" s="489"/>
      <c r="H157" s="586"/>
      <c r="I157" s="4"/>
      <c r="J157" s="1031"/>
      <c r="K157" s="1592"/>
      <c r="P157" s="55"/>
    </row>
    <row r="158" spans="1:24" ht="10.4" hidden="1" customHeight="1">
      <c r="A158" s="4"/>
      <c r="B158" s="4"/>
      <c r="C158" s="4"/>
      <c r="D158" s="552"/>
      <c r="E158" s="549"/>
      <c r="F158" s="549"/>
      <c r="G158" s="549"/>
      <c r="H158" s="559"/>
      <c r="I158" s="4"/>
      <c r="J158" s="548"/>
      <c r="K158" s="1592"/>
      <c r="P158" s="55"/>
    </row>
    <row r="159" spans="1:24" ht="30" hidden="1" customHeight="1">
      <c r="A159" s="4"/>
      <c r="B159" s="4"/>
      <c r="C159" s="4"/>
      <c r="D159" s="552"/>
      <c r="E159" s="2157" t="s">
        <v>1053</v>
      </c>
      <c r="F159" s="2157"/>
      <c r="G159" s="2157"/>
      <c r="H159" s="558">
        <f>MIN(H154,H157)</f>
        <v>0</v>
      </c>
      <c r="I159" s="1114" t="s">
        <v>1277</v>
      </c>
      <c r="J159" s="548"/>
      <c r="K159" s="1592"/>
      <c r="P159" s="55"/>
    </row>
    <row r="160" spans="1:24" ht="10.4" hidden="1" customHeight="1">
      <c r="A160" s="4"/>
      <c r="B160" s="4"/>
      <c r="C160" s="4"/>
      <c r="D160" s="4"/>
      <c r="E160" s="4"/>
      <c r="F160" s="4"/>
      <c r="G160" s="4"/>
      <c r="H160" s="4"/>
      <c r="I160" s="4"/>
      <c r="J160" s="548"/>
      <c r="K160" s="1592"/>
      <c r="P160" s="55"/>
    </row>
    <row r="161" spans="1:17" ht="17.5" hidden="1" customHeight="1">
      <c r="A161" s="4"/>
      <c r="B161" s="4"/>
      <c r="C161" s="170" t="s">
        <v>217</v>
      </c>
      <c r="D161" s="4" t="s">
        <v>472</v>
      </c>
      <c r="E161" s="4"/>
      <c r="F161" s="4"/>
      <c r="G161" s="4"/>
      <c r="H161" s="4"/>
      <c r="I161" s="1678"/>
      <c r="J161" s="458"/>
      <c r="K161" s="458"/>
      <c r="L161" s="1949">
        <f>N152</f>
        <v>0</v>
      </c>
      <c r="M161" s="550">
        <f>IF(AND(L161&lt;&gt;0,I161&lt;&gt;""),L161,0)</f>
        <v>0</v>
      </c>
      <c r="N161" s="552" t="str">
        <f>CHOOSE(L161+1,"Not to be included in this RFA","A REQUIRED input field for this RFA","An OPTIONAL input field for this RFA")</f>
        <v>Not to be included in this RFA</v>
      </c>
      <c r="P161" s="55"/>
    </row>
    <row r="162" spans="1:17" ht="5.15" hidden="1" customHeight="1">
      <c r="A162" s="4"/>
      <c r="B162" s="4"/>
      <c r="C162" s="4"/>
      <c r="D162" s="4"/>
      <c r="E162" s="4"/>
      <c r="F162" s="4"/>
      <c r="G162" s="4"/>
      <c r="H162" s="4"/>
      <c r="I162" s="4"/>
      <c r="J162" s="413"/>
      <c r="K162" s="1592"/>
      <c r="P162" s="55"/>
    </row>
    <row r="163" spans="1:17" ht="17.5" hidden="1" customHeight="1">
      <c r="A163" s="4"/>
      <c r="B163" s="4"/>
      <c r="C163" s="4"/>
      <c r="D163" s="4"/>
      <c r="E163" s="483" t="s">
        <v>1850</v>
      </c>
      <c r="F163" s="483"/>
      <c r="G163" s="483"/>
      <c r="H163" s="483"/>
      <c r="I163" s="1671">
        <v>0</v>
      </c>
      <c r="J163" s="1669"/>
      <c r="K163" s="1669"/>
      <c r="P163" s="55"/>
    </row>
    <row r="164" spans="1:17" ht="14.5" hidden="1" customHeight="1">
      <c r="A164" s="4"/>
      <c r="B164" s="4"/>
      <c r="C164" s="4"/>
      <c r="D164" s="4"/>
      <c r="E164" s="4"/>
      <c r="F164" s="4"/>
      <c r="G164" s="4"/>
      <c r="H164" s="4"/>
      <c r="I164" s="4"/>
      <c r="J164" s="1669"/>
      <c r="K164" s="1669"/>
      <c r="P164" s="55"/>
    </row>
    <row r="165" spans="1:17" ht="14.5" hidden="1" customHeight="1">
      <c r="A165" s="4"/>
      <c r="B165" s="175" t="str">
        <f>IF(AND($L$184=0,$L$188=0),"",MAX(B$4:B162)+1)</f>
        <v/>
      </c>
      <c r="C165" s="2123" t="s">
        <v>730</v>
      </c>
      <c r="D165" s="2123"/>
      <c r="E165" s="2123"/>
      <c r="F165" s="2123"/>
      <c r="G165" s="2123"/>
      <c r="H165" s="2123"/>
      <c r="I165" s="2123"/>
      <c r="J165" s="413"/>
      <c r="K165" s="1592"/>
    </row>
    <row r="166" spans="1:17" ht="10.4" hidden="1" customHeight="1">
      <c r="A166" s="4"/>
      <c r="B166" s="4"/>
      <c r="C166" s="4"/>
      <c r="D166" s="4"/>
      <c r="E166" s="4"/>
      <c r="F166" s="4"/>
      <c r="G166" s="4"/>
      <c r="H166" s="4"/>
      <c r="I166" s="4"/>
      <c r="J166" s="413"/>
      <c r="K166" s="1592"/>
    </row>
    <row r="167" spans="1:17" ht="14.5" hidden="1" customHeight="1">
      <c r="A167" s="4"/>
      <c r="B167" s="7"/>
      <c r="C167" s="42" t="s">
        <v>834</v>
      </c>
      <c r="J167" s="506"/>
      <c r="K167" s="1592"/>
      <c r="L167" s="42"/>
    </row>
    <row r="168" spans="1:17" ht="10.4" hidden="1" customHeight="1">
      <c r="A168" s="4"/>
      <c r="B168" s="7"/>
      <c r="C168" s="176"/>
      <c r="D168" s="508"/>
      <c r="E168" s="508"/>
      <c r="F168" s="508"/>
      <c r="G168" s="508"/>
      <c r="H168" s="508"/>
      <c r="I168" s="4"/>
      <c r="J168" s="506"/>
      <c r="K168" s="1592"/>
      <c r="M168" s="509"/>
      <c r="N168" s="510"/>
    </row>
    <row r="169" spans="1:17" hidden="1">
      <c r="A169" s="4"/>
      <c r="B169" s="7"/>
      <c r="C169" s="176"/>
      <c r="D169" s="2354" t="s">
        <v>835</v>
      </c>
      <c r="E169" s="2354"/>
      <c r="F169" s="2354"/>
      <c r="G169" s="2354"/>
      <c r="H169" s="2354"/>
      <c r="I169" s="4"/>
      <c r="J169" s="506"/>
      <c r="K169" s="1592"/>
      <c r="M169" s="509"/>
      <c r="N169" s="510"/>
    </row>
    <row r="170" spans="1:17" hidden="1">
      <c r="A170" s="4"/>
      <c r="B170" s="7"/>
      <c r="C170" s="176"/>
      <c r="D170" s="507"/>
      <c r="E170" s="488" t="str">
        <f>Data3!D116</f>
        <v>Per Development - Broward, Miami-Dade</v>
      </c>
      <c r="F170" s="488"/>
      <c r="G170" s="488"/>
      <c r="H170" s="546" t="str">
        <f>IF(O170=0,"",IF(County="&lt;select one&gt;","Select a County",IF(OR(County="Broward",County="Miami-Dade"),Data3!C116,"NA")))</f>
        <v/>
      </c>
      <c r="I170" s="4"/>
      <c r="J170" s="506"/>
      <c r="K170" s="1592"/>
      <c r="M170" s="509"/>
      <c r="N170" s="510"/>
      <c r="O170" s="569">
        <v>0</v>
      </c>
      <c r="Q170" s="14" t="str">
        <f t="shared" ref="Q170:Q180" si="6">IF(O170="","",IF(O170=0,"Not ","")&amp;"Applicable to this RFA")</f>
        <v>Not Applicable to this RFA</v>
      </c>
    </row>
    <row r="171" spans="1:17" hidden="1">
      <c r="A171" s="4"/>
      <c r="B171" s="7"/>
      <c r="C171" s="176"/>
      <c r="D171" s="507"/>
      <c r="E171" s="488" t="str">
        <f>Data3!D117</f>
        <v>Per Development - Hillsborough, Orange, Palm Beach</v>
      </c>
      <c r="F171" s="488"/>
      <c r="G171" s="488"/>
      <c r="H171" s="546" t="str">
        <f>IF(O171=0,"",IF(County="&lt;select one&gt;","Select a County",IF(OR(County="Hillsborough",County="Orange",County="Palm Beach"),Data3!C117,"NA")))</f>
        <v/>
      </c>
      <c r="I171" s="4"/>
      <c r="J171" s="506"/>
      <c r="K171" s="1592"/>
      <c r="M171" s="509"/>
      <c r="N171" s="510"/>
      <c r="O171" s="569">
        <v>0</v>
      </c>
      <c r="Q171" s="14" t="str">
        <f t="shared" si="6"/>
        <v>Not Applicable to this RFA</v>
      </c>
    </row>
    <row r="172" spans="1:17" hidden="1">
      <c r="A172" s="4"/>
      <c r="B172" s="7"/>
      <c r="C172" s="176"/>
      <c r="D172" s="507"/>
      <c r="E172" s="488" t="str">
        <f>Data3!D118</f>
        <v>Per Development - Duval, Pinellas</v>
      </c>
      <c r="F172" s="488"/>
      <c r="G172" s="488"/>
      <c r="H172" s="546" t="str">
        <f>IF(O172=0,"",IF(County="&lt;select one&gt;","Select a County",IF(OR(County="Duval","Pinellas"),Data3!C118,"NA")))</f>
        <v/>
      </c>
      <c r="I172" s="4"/>
      <c r="J172" s="506"/>
      <c r="K172" s="1592"/>
      <c r="M172" s="509"/>
      <c r="N172" s="510"/>
      <c r="O172" s="569">
        <v>0</v>
      </c>
      <c r="Q172" s="14" t="str">
        <f t="shared" si="6"/>
        <v>Not Applicable to this RFA</v>
      </c>
    </row>
    <row r="173" spans="1:17" hidden="1">
      <c r="A173" s="4"/>
      <c r="B173" s="7"/>
      <c r="C173" s="176"/>
      <c r="D173" s="507"/>
      <c r="E173" s="488" t="str">
        <f>Data3!D119</f>
        <v>Per Development - Small Counties</v>
      </c>
      <c r="F173" s="488"/>
      <c r="G173" s="488"/>
      <c r="H173" s="546" t="str">
        <f>IF(O173=0,"",IF(County="&lt;select one&gt;","Select a County",IF(AND(VLOOKUP(County,DS_County_Sizes,8,FALSE)="Small",County&lt;&gt;"Monroe"),Data3!C119,"NA")))</f>
        <v/>
      </c>
      <c r="I173" s="4"/>
      <c r="J173" s="506"/>
      <c r="K173" s="1592"/>
      <c r="M173" s="509"/>
      <c r="N173" s="510"/>
      <c r="O173" s="569">
        <v>0</v>
      </c>
      <c r="Q173" s="14" t="str">
        <f t="shared" si="6"/>
        <v>Not Applicable to this RFA</v>
      </c>
    </row>
    <row r="174" spans="1:17" hidden="1">
      <c r="A174" s="4"/>
      <c r="B174" s="7"/>
      <c r="C174" s="176"/>
      <c r="D174" s="507"/>
      <c r="E174" s="488" t="str">
        <f>Data3!D120</f>
        <v>Per Development - Medium Counties</v>
      </c>
      <c r="F174" s="488"/>
      <c r="G174" s="488"/>
      <c r="H174" s="546" t="str">
        <f>IF(O174=0,"",IF(County="&lt;select one&gt;","Select a County",IF(VLOOKUP(County,DS_County_Sizes,8,FALSE)="Medium",Data3!C120,"NA")))</f>
        <v>Select a County</v>
      </c>
      <c r="I174" s="4"/>
      <c r="J174" s="506"/>
      <c r="K174" s="1592"/>
      <c r="M174" s="509"/>
      <c r="N174" s="510"/>
      <c r="O174" s="569">
        <v>1</v>
      </c>
      <c r="Q174" s="14" t="str">
        <f t="shared" si="6"/>
        <v>Applicable to this RFA</v>
      </c>
    </row>
    <row r="175" spans="1:17" hidden="1">
      <c r="A175" s="4"/>
      <c r="B175" s="7"/>
      <c r="C175" s="176"/>
      <c r="D175" s="507"/>
      <c r="E175" s="488" t="str">
        <f>Data3!D121</f>
        <v>Per Development - Large Counties</v>
      </c>
      <c r="F175" s="488"/>
      <c r="G175" s="488"/>
      <c r="H175" s="547" t="str">
        <f>IF(O175=0,"",IF(County="&lt;select one&gt;","Select a County",IF(AND(VLOOKUP(County,DS_County_Sizes,8,FALSE)="Large",OR(Development_Category="Preservation",Development_Category="Acquisition and Preservation")),Data3!C121,"NA")))</f>
        <v/>
      </c>
      <c r="I175" s="4"/>
      <c r="J175" s="506"/>
      <c r="K175" s="1592"/>
      <c r="M175" s="509"/>
      <c r="N175" s="510"/>
      <c r="O175" s="569">
        <v>0</v>
      </c>
      <c r="Q175" s="14" t="str">
        <f t="shared" si="6"/>
        <v>Not Applicable to this RFA</v>
      </c>
    </row>
    <row r="176" spans="1:17" hidden="1">
      <c r="A176" s="4"/>
      <c r="B176" s="7"/>
      <c r="C176" s="176"/>
      <c r="D176" s="507"/>
      <c r="E176" s="488" t="str">
        <f>Data3!D122</f>
        <v>Per Development - Edit for Specific Demographic</v>
      </c>
      <c r="F176" s="488"/>
      <c r="G176" s="488"/>
      <c r="H176" s="546" t="str">
        <f>IF(O176=0,"",IF(County="&lt;select one&gt;","Select a County",IF(AND(VLOOKUP(County,DS_County_Sizes,8,FALSE)="Small",OR(Demographic="Persons with a Disabiling Condition",Demographic="Persons with Developmental Disabilities")),Data3!C122,"NA")))</f>
        <v/>
      </c>
      <c r="I176" s="4"/>
      <c r="J176" s="506"/>
      <c r="K176" s="1592"/>
      <c r="M176" s="509"/>
      <c r="N176" s="510"/>
      <c r="O176" s="569">
        <v>0</v>
      </c>
      <c r="Q176" s="14" t="str">
        <f t="shared" si="6"/>
        <v>Not Applicable to this RFA</v>
      </c>
    </row>
    <row r="177" spans="1:17" hidden="1">
      <c r="A177" s="4"/>
      <c r="B177" s="7"/>
      <c r="C177" s="176"/>
      <c r="D177" s="507"/>
      <c r="E177" s="488" t="str">
        <f>Data3!D123</f>
        <v>Per Development - Keys Workforce (&lt;61 units)</v>
      </c>
      <c r="F177" s="488"/>
      <c r="G177" s="488"/>
      <c r="H177" s="546" t="str">
        <f>IF(O177=0,"",IF(County="&lt;select one&gt;","Select a County",IF(County="Monroe",Data3!C123,"NA")))</f>
        <v/>
      </c>
      <c r="I177" s="4"/>
      <c r="J177" s="506"/>
      <c r="K177" s="1592"/>
      <c r="M177" s="509"/>
      <c r="N177" s="1748" t="s">
        <v>1923</v>
      </c>
      <c r="O177" s="569">
        <v>0</v>
      </c>
      <c r="Q177" s="14" t="str">
        <f t="shared" si="6"/>
        <v>Not Applicable to this RFA</v>
      </c>
    </row>
    <row r="178" spans="1:17" hidden="1">
      <c r="A178" s="4"/>
      <c r="B178" s="7"/>
      <c r="C178" s="176"/>
      <c r="D178" s="507"/>
      <c r="E178" s="488" t="s">
        <v>840</v>
      </c>
      <c r="F178" s="488"/>
      <c r="G178" s="488"/>
      <c r="H178" s="546" t="str">
        <f>IF(O178=0,"",IF(County="&lt;select one&gt;","Select a County",IF(AND(County="Monroe",Total_Units&gt;60),Data3!C124,"NA")))</f>
        <v/>
      </c>
      <c r="I178" s="4"/>
      <c r="J178" s="506"/>
      <c r="K178" s="1592"/>
      <c r="M178" s="509"/>
      <c r="N178" s="1748" t="s">
        <v>1923</v>
      </c>
      <c r="O178" s="569">
        <v>0</v>
      </c>
      <c r="Q178" s="14" t="str">
        <f t="shared" si="6"/>
        <v>Not Applicable to this RFA</v>
      </c>
    </row>
    <row r="179" spans="1:17" hidden="1">
      <c r="A179" s="4"/>
      <c r="B179" s="7"/>
      <c r="C179" s="176"/>
      <c r="D179" s="507"/>
      <c r="E179" s="488" t="s">
        <v>842</v>
      </c>
      <c r="F179" s="488"/>
      <c r="G179" s="488"/>
      <c r="H179" s="546" t="str">
        <f>IF(O179=0,"",IF(County="&lt;select one&gt;","Select a County",IF(County="Monroe",Data3!C125,"NA")))</f>
        <v/>
      </c>
      <c r="I179" s="4"/>
      <c r="J179" s="506"/>
      <c r="K179" s="1592"/>
      <c r="M179" s="509"/>
      <c r="N179" s="1748" t="s">
        <v>1923</v>
      </c>
      <c r="O179" s="569">
        <v>0</v>
      </c>
      <c r="Q179" s="14" t="str">
        <f t="shared" si="6"/>
        <v>Not Applicable to this RFA</v>
      </c>
    </row>
    <row r="180" spans="1:17" hidden="1">
      <c r="A180" s="4"/>
      <c r="B180" s="7"/>
      <c r="C180" s="176"/>
      <c r="D180" s="507"/>
      <c r="E180" s="488" t="s">
        <v>843</v>
      </c>
      <c r="F180" s="488"/>
      <c r="G180" s="488"/>
      <c r="H180" s="546" t="str">
        <f>IF(O180=0,"",IF(County="&lt;select one&gt;","Select a County",IF(AND(County="Monroe",Total_Units&gt;60),Data3!C126,"NA")))</f>
        <v/>
      </c>
      <c r="I180" s="4"/>
      <c r="J180" s="506"/>
      <c r="K180" s="1592"/>
      <c r="M180" s="509"/>
      <c r="N180" s="1748" t="s">
        <v>1923</v>
      </c>
      <c r="O180" s="569">
        <v>0</v>
      </c>
      <c r="Q180" s="14" t="str">
        <f t="shared" si="6"/>
        <v>Not Applicable to this RFA</v>
      </c>
    </row>
    <row r="181" spans="1:17" ht="10.4" hidden="1" customHeight="1">
      <c r="A181" s="4"/>
      <c r="B181" s="7"/>
      <c r="C181" s="176"/>
      <c r="D181" s="507"/>
      <c r="E181" s="507"/>
      <c r="F181" s="507"/>
      <c r="G181" s="507"/>
      <c r="H181" s="507"/>
      <c r="I181" s="4"/>
      <c r="J181" s="506"/>
      <c r="K181" s="1592"/>
      <c r="M181" s="509"/>
      <c r="N181" s="510"/>
    </row>
    <row r="182" spans="1:17" ht="30" hidden="1" customHeight="1">
      <c r="A182" s="4"/>
      <c r="B182" s="7"/>
      <c r="C182" s="176"/>
      <c r="D182" s="507"/>
      <c r="E182" s="2157" t="s">
        <v>1051</v>
      </c>
      <c r="F182" s="2157"/>
      <c r="G182" s="2157"/>
      <c r="H182" s="491" t="str">
        <f>IF(AND(O170=1,H170&lt;&gt;"NA"),H170,IF(AND(O171=1,H171&lt;&gt;"NA"),H171,IF(AND(O172=1,H172&lt;&gt;"NA"),H172,IF(AND(O173=1,H173&lt;&gt;"NA"),H173,IF(AND(O174=1,H174&lt;&gt;"NA"),H174,IF(AND(O175=1,H175&lt;&gt;"NA"),H175,IF(AND(O176=1,H176&lt;&gt;"NA"),H176,IF(AND(O178=1,H178&lt;&gt;"NA"),MIN(MIN(H177+IF(Total_Units&gt;60,(Total_Units-60)*H180,0),IF(Total_Units&lt;61,Total_Units*H179,H178)),IF(Total_Units&gt;60,H178,H177)),0))))))))</f>
        <v>Select a County</v>
      </c>
      <c r="I182" s="1114" t="s">
        <v>1277</v>
      </c>
      <c r="J182" s="506"/>
      <c r="K182" s="1592"/>
      <c r="M182" s="509"/>
      <c r="N182" s="510"/>
    </row>
    <row r="183" spans="1:17" ht="10.4" hidden="1" customHeight="1">
      <c r="A183" s="4"/>
      <c r="B183" s="7"/>
      <c r="C183" s="176"/>
      <c r="D183" s="508"/>
      <c r="E183" s="508"/>
      <c r="F183" s="508"/>
      <c r="G183" s="508"/>
      <c r="H183" s="508"/>
      <c r="I183" s="4"/>
      <c r="J183" s="506"/>
      <c r="K183" s="1592"/>
      <c r="M183" s="509"/>
      <c r="N183" s="510"/>
    </row>
    <row r="184" spans="1:17" ht="17.5" hidden="1" customHeight="1">
      <c r="A184" s="4"/>
      <c r="B184" s="7"/>
      <c r="C184" s="176" t="str">
        <f>IF($L184=0,"-","a")</f>
        <v>-</v>
      </c>
      <c r="D184" s="2355" t="s">
        <v>731</v>
      </c>
      <c r="E184" s="2355"/>
      <c r="F184" s="2355"/>
      <c r="G184" s="2355"/>
      <c r="H184" s="2355"/>
      <c r="I184" s="1678"/>
      <c r="J184" s="506"/>
      <c r="K184" s="1592"/>
      <c r="L184" s="569">
        <v>0</v>
      </c>
      <c r="M184" s="550">
        <f>IF(AND(L184&lt;&gt;0,I184&lt;&gt;""),L184,0)</f>
        <v>0</v>
      </c>
      <c r="N184" s="552" t="str">
        <f>CHOOSE(L184+1,"Not to be included in this RFA","A REQUIRED input field for this RFA","An OPTIONAL input field for this RFA")</f>
        <v>Not to be included in this RFA</v>
      </c>
    </row>
    <row r="185" spans="1:17" ht="5.15" hidden="1" customHeight="1">
      <c r="A185" s="4"/>
      <c r="B185" s="4"/>
      <c r="C185" s="4"/>
      <c r="D185" s="16"/>
      <c r="E185" s="4"/>
      <c r="F185" s="4"/>
      <c r="G185" s="4"/>
      <c r="H185" s="4"/>
      <c r="I185" s="4"/>
      <c r="J185" s="413"/>
      <c r="K185" s="1592"/>
      <c r="P185" s="55"/>
    </row>
    <row r="186" spans="1:17" ht="17.5" hidden="1" customHeight="1">
      <c r="A186" s="4"/>
      <c r="B186" s="4"/>
      <c r="C186" s="4"/>
      <c r="D186" s="1670"/>
      <c r="E186" s="483" t="s">
        <v>1851</v>
      </c>
      <c r="F186" s="483"/>
      <c r="G186" s="483"/>
      <c r="H186" s="483"/>
      <c r="I186" s="1671">
        <f>MIN(N(Max_Competitive_HC),N(Competitive_HC_Request_Amount))</f>
        <v>0</v>
      </c>
      <c r="J186" s="1669"/>
      <c r="K186" s="1669"/>
      <c r="P186" s="55"/>
    </row>
    <row r="187" spans="1:17" ht="14.5" hidden="1" customHeight="1">
      <c r="A187" s="4"/>
      <c r="B187" s="4"/>
      <c r="C187" s="4"/>
      <c r="D187" s="1670"/>
      <c r="E187" s="4"/>
      <c r="F187" s="4"/>
      <c r="G187" s="4"/>
      <c r="H187" s="4"/>
      <c r="I187" s="4"/>
      <c r="J187" s="1669"/>
      <c r="K187" s="1669"/>
      <c r="P187" s="55"/>
    </row>
    <row r="188" spans="1:17" ht="17.25" hidden="1" customHeight="1">
      <c r="A188" s="4"/>
      <c r="B188" s="4"/>
      <c r="C188" s="379" t="str">
        <f>IF($L188=0,"-","a")</f>
        <v>-</v>
      </c>
      <c r="D188" s="2377" t="s">
        <v>732</v>
      </c>
      <c r="E188" s="2377"/>
      <c r="F188" s="2377"/>
      <c r="G188" s="2377"/>
      <c r="H188" s="2377"/>
      <c r="I188" s="1679"/>
      <c r="J188" s="506"/>
      <c r="K188" s="1592"/>
      <c r="L188" s="569">
        <v>0</v>
      </c>
      <c r="M188" s="550">
        <f>IF(AND(L188&lt;&gt;0,I188&lt;&gt;""),L188,0)</f>
        <v>0</v>
      </c>
      <c r="N188" s="552" t="str">
        <f>CHOOSE(L188+1,"Not to be included in this RFA","A REQUIRED input field for this RFA","An OPTIONAL input field for this RFA")</f>
        <v>Not to be included in this RFA</v>
      </c>
      <c r="P188" s="55"/>
    </row>
    <row r="189" spans="1:17" ht="10.4" hidden="1" customHeight="1">
      <c r="A189" s="4"/>
      <c r="B189" s="4"/>
      <c r="C189" s="4"/>
      <c r="D189" s="4"/>
      <c r="E189" s="4"/>
      <c r="F189" s="4"/>
      <c r="G189" s="4"/>
      <c r="H189" s="4"/>
      <c r="I189" s="4"/>
      <c r="J189" s="413"/>
      <c r="K189" s="1592"/>
      <c r="P189" s="55"/>
    </row>
    <row r="190" spans="1:17" hidden="1">
      <c r="A190" s="4"/>
      <c r="B190" s="4"/>
      <c r="C190" s="176" t="str" cm="1">
        <f t="array" ref="C190">IF($L$191=0,"-",IFERROR(CHAR(CODE(LOOKUP(2,1/(COUNTIF(C$168:C189,"&gt;"&amp;C$168:C189&amp;"*")=0),C$168:C189))+1),"b"))</f>
        <v>-</v>
      </c>
      <c r="D190" s="6" t="s">
        <v>459</v>
      </c>
      <c r="E190" s="4"/>
      <c r="F190" s="4"/>
      <c r="G190" s="4"/>
      <c r="H190" s="4"/>
      <c r="I190" s="4"/>
      <c r="J190" s="413"/>
      <c r="K190" s="1592"/>
      <c r="P190" s="55"/>
    </row>
    <row r="191" spans="1:17" ht="17.5" hidden="1" customHeight="1">
      <c r="A191" s="4"/>
      <c r="B191" s="4"/>
      <c r="C191" s="4"/>
      <c r="D191" s="4"/>
      <c r="E191" s="2152" t="s">
        <v>190</v>
      </c>
      <c r="F191" s="2152"/>
      <c r="G191" s="4"/>
      <c r="H191" s="4"/>
      <c r="I191" s="4"/>
      <c r="J191" s="413"/>
      <c r="K191" s="1592"/>
      <c r="L191" s="569">
        <v>0</v>
      </c>
      <c r="M191" s="550">
        <f>IF(AND(L191&lt;&gt;0,AND(E191&lt;&gt;"&lt;select from menu&gt;",E191&lt;&gt;"")),L191,0)</f>
        <v>0</v>
      </c>
      <c r="N191" s="552" t="str">
        <f>CHOOSE(L191+1,"Not to be included in this RFA","A REQUIRED input field for this RFA","An OPTIONAL input field for this RFA")</f>
        <v>Not to be included in this RFA</v>
      </c>
      <c r="P191" s="55"/>
    </row>
    <row r="192" spans="1:17" ht="10.4" hidden="1" customHeight="1">
      <c r="A192" s="4"/>
      <c r="B192" s="4"/>
      <c r="C192" s="4"/>
      <c r="D192" s="4"/>
      <c r="E192" s="4"/>
      <c r="F192" s="4"/>
      <c r="G192" s="4"/>
      <c r="H192" s="4"/>
      <c r="I192" s="4"/>
      <c r="J192" s="413"/>
      <c r="K192" s="1592"/>
      <c r="P192" s="55"/>
    </row>
    <row r="193" spans="1:16" hidden="1">
      <c r="A193" s="4"/>
      <c r="B193" s="4"/>
      <c r="C193" s="176" t="str" cm="1">
        <f t="array" ref="C193">IF($L$191=0,"-",IFERROR(CHAR(CODE(LOOKUP(2,1/(COUNTIF(C$168:C192,"&gt;"&amp;C$168:C192&amp;"*")=0),C$168:C192))+1),"b"))</f>
        <v>-</v>
      </c>
      <c r="D193" s="6" t="s">
        <v>460</v>
      </c>
      <c r="E193" s="4"/>
      <c r="F193" s="4"/>
      <c r="G193" s="4"/>
      <c r="H193" s="4"/>
      <c r="I193" s="4"/>
      <c r="J193" s="413"/>
      <c r="K193" s="1592"/>
      <c r="P193" s="55"/>
    </row>
    <row r="194" spans="1:16" ht="30" hidden="1" customHeight="1">
      <c r="A194" s="4"/>
      <c r="B194" s="4"/>
      <c r="C194" s="4"/>
      <c r="D194" s="174" t="str">
        <f>IF($L195=0,"",LOWER(ROMAN(1)))</f>
        <v/>
      </c>
      <c r="E194" s="2134" t="s">
        <v>1101</v>
      </c>
      <c r="F194" s="2134"/>
      <c r="G194" s="2134"/>
      <c r="H194" s="2134"/>
      <c r="I194" s="2134"/>
      <c r="J194" s="413"/>
      <c r="K194" s="1592"/>
      <c r="P194" s="55"/>
    </row>
    <row r="195" spans="1:16" ht="17.5" hidden="1" customHeight="1">
      <c r="A195" s="4"/>
      <c r="B195" s="4"/>
      <c r="C195" s="4"/>
      <c r="D195" s="4"/>
      <c r="E195" s="2152" t="s">
        <v>190</v>
      </c>
      <c r="F195" s="2152"/>
      <c r="G195" s="4"/>
      <c r="H195" s="4"/>
      <c r="I195" s="4"/>
      <c r="J195" s="413"/>
      <c r="K195" s="1592"/>
      <c r="L195" s="569">
        <v>0</v>
      </c>
      <c r="M195" s="550">
        <f>IF(AND(L195&lt;&gt;0,AND(E195&lt;&gt;"&lt;select from menu&gt;",E195&lt;&gt;"")),L195,0)</f>
        <v>0</v>
      </c>
      <c r="N195" s="552" t="str">
        <f>CHOOSE(L195+1,"Not to be included in this RFA","A REQUIRED input field for this RFA","An OPTIONAL input field for this RFA")</f>
        <v>Not to be included in this RFA</v>
      </c>
      <c r="P195" s="55"/>
    </row>
    <row r="196" spans="1:16" ht="30" hidden="1" customHeight="1">
      <c r="A196" s="4"/>
      <c r="B196" s="4"/>
      <c r="C196" s="4"/>
      <c r="D196" s="4"/>
      <c r="E196" s="2221" t="s">
        <v>404</v>
      </c>
      <c r="F196" s="2221"/>
      <c r="G196" s="2221"/>
      <c r="H196" s="2221"/>
      <c r="I196" s="2221"/>
      <c r="J196" s="413"/>
      <c r="K196" s="1592"/>
      <c r="P196" s="55"/>
    </row>
    <row r="197" spans="1:16" ht="17.5" hidden="1" customHeight="1">
      <c r="A197" s="4"/>
      <c r="B197" s="4"/>
      <c r="C197" s="4"/>
      <c r="D197" s="4"/>
      <c r="E197" s="2152"/>
      <c r="F197" s="2152"/>
      <c r="G197" s="4"/>
      <c r="H197" s="4"/>
      <c r="I197" s="4"/>
      <c r="J197" s="413"/>
      <c r="K197" s="1592"/>
      <c r="L197" s="1713">
        <f>IF(L195=0,0,IF(E195="Yes",1,2))</f>
        <v>0</v>
      </c>
      <c r="M197" s="550">
        <f>IF(AND(L197&lt;&gt;0,E197&lt;&gt;""),L197,0)</f>
        <v>0</v>
      </c>
      <c r="N197" s="552" t="str">
        <f>CHOOSE(L197+1,"Not to be included in this RFA","A REQUIRED input field for this RFA","An OPTIONAL input field for this RFA")</f>
        <v>Not to be included in this RFA</v>
      </c>
      <c r="P197" s="55"/>
    </row>
    <row r="198" spans="1:16" hidden="1">
      <c r="A198" s="4"/>
      <c r="B198" s="4"/>
      <c r="C198" s="4"/>
      <c r="D198" s="4"/>
      <c r="E198" s="4"/>
      <c r="F198" s="4"/>
      <c r="G198" s="4"/>
      <c r="H198" s="4"/>
      <c r="I198" s="4"/>
      <c r="J198" s="413"/>
      <c r="K198" s="1592"/>
      <c r="L198" s="1712"/>
      <c r="M198" s="14"/>
      <c r="N198" s="14"/>
      <c r="P198" s="55"/>
    </row>
    <row r="199" spans="1:16" hidden="1">
      <c r="A199" s="4"/>
      <c r="B199" s="4"/>
      <c r="C199" s="4"/>
      <c r="D199" s="178" t="str" cm="1">
        <f t="array" ref="D199">IF($L200=0,"",LOWER(ROMAN(MAX(_xlfn.ARABIC(D$194:D198))+1)))</f>
        <v/>
      </c>
      <c r="E199" s="18" t="str">
        <f>"Are any buildings in the proposed Development located in a HUD-designated SADDA"&amp;IF(County="&lt;select one&gt;",""," for "&amp;County&amp;" County")&amp;"?"</f>
        <v>Are any buildings in the proposed Development located in a HUD-designated SADDA?</v>
      </c>
      <c r="F199" s="18"/>
      <c r="G199" s="4"/>
      <c r="H199" s="4"/>
      <c r="I199" s="4"/>
      <c r="J199" s="413"/>
      <c r="K199" s="1592"/>
      <c r="P199" s="55"/>
    </row>
    <row r="200" spans="1:16" ht="17.5" hidden="1" customHeight="1">
      <c r="A200" s="4"/>
      <c r="B200" s="4"/>
      <c r="C200" s="4"/>
      <c r="D200" s="4"/>
      <c r="E200" s="2152" t="s">
        <v>190</v>
      </c>
      <c r="F200" s="2152"/>
      <c r="G200" s="4"/>
      <c r="H200" s="4"/>
      <c r="I200" s="4"/>
      <c r="J200" s="413"/>
      <c r="K200" s="1592"/>
      <c r="L200" s="1701">
        <v>0</v>
      </c>
      <c r="M200" s="550">
        <f>IF(AND(L200&lt;&gt;0,AND(E200&lt;&gt;"&lt;select from menu&gt;",E200&lt;&gt;"")),L200,0)</f>
        <v>0</v>
      </c>
      <c r="N200" s="552" t="str">
        <f>CHOOSE(L200+1,"Not to be included in this RFA","A REQUIRED input field for this RFA","An OPTIONAL input field for this RFA")</f>
        <v>Not to be included in this RFA</v>
      </c>
      <c r="P200" s="55"/>
    </row>
    <row r="201" spans="1:16" hidden="1">
      <c r="A201" s="4"/>
      <c r="B201" s="4"/>
      <c r="C201" s="4"/>
      <c r="D201" s="4"/>
      <c r="E201" s="158" t="str">
        <f>"If “Yes”, provide the SADDA ZCTA Number(s)*"&amp;IF(County="&lt;select one&gt;",""," for "&amp;County&amp;" County")&amp;":"</f>
        <v>If “Yes”, provide the SADDA ZCTA Number(s)*:</v>
      </c>
      <c r="F201" s="188"/>
      <c r="G201" s="4"/>
      <c r="H201" s="4"/>
      <c r="I201" s="4"/>
      <c r="J201" s="413"/>
      <c r="K201" s="1592"/>
      <c r="P201" s="55"/>
    </row>
    <row r="202" spans="1:16" ht="30" hidden="1" customHeight="1">
      <c r="A202" s="4"/>
      <c r="B202" s="4"/>
      <c r="C202" s="4"/>
      <c r="D202" s="4"/>
      <c r="E202" s="2378"/>
      <c r="F202" s="2378"/>
      <c r="G202" s="2333" t="str">
        <f>IF(OR(E202="",County="&lt;select one&gt;"),"",IF(AND(E202&lt;&gt;"",Small_Area_DDA="&lt;select from menu&gt;"),"Please respond to above question.",IF(ISNA(VLOOKUP(E202,DS_2022_ZCTAs_Sorted,1,FALSE)),"Invalid Entry - The ZCTA is not in the HUD "&amp;LEFT(Data2!$A$22,4)&amp;" database",IF(County=IFERROR(VLOOKUP(E202,DS_2022_ZCTAs_Sorted,2,FALSE),""),"The ZCTA is in the HUD "&amp;LEFT(Data2!$A$22,4)&amp;" database for "&amp;IFERROR(VLOOKUP(E202,DS_2022_ZCTAs_Sorted,2,FALSE),"")&amp;" County.","The ZCTA is located in "&amp;IFERROR(VLOOKUP(E202,DS_2022_ZCTAs_Sorted,2,FALSE),"")&amp;" County, not the proposed Development's county of "&amp;County&amp;"."))))</f>
        <v/>
      </c>
      <c r="H202" s="2333"/>
      <c r="I202" s="2333"/>
      <c r="J202" s="413"/>
      <c r="K202" s="1592"/>
      <c r="L202" s="1715">
        <f>IF(L200=0,0,IF(E200="Yes",1,2))</f>
        <v>0</v>
      </c>
      <c r="M202" s="550">
        <f>IF(AND(L202&lt;&gt;0,E202&lt;&gt;""),L202,0)</f>
        <v>0</v>
      </c>
      <c r="N202" s="552" t="str">
        <f>CHOOSE(L202+1,"Not to be included in this RFA","A REQUIRED input field for this RFA","An OPTIONAL input field for this RFA")</f>
        <v>Not to be included in this RFA</v>
      </c>
      <c r="P202" s="55"/>
    </row>
    <row r="203" spans="1:16" ht="30" hidden="1" customHeight="1">
      <c r="A203" s="4"/>
      <c r="B203" s="4"/>
      <c r="C203" s="4"/>
      <c r="D203" s="4"/>
      <c r="E203" s="2209"/>
      <c r="F203" s="2209"/>
      <c r="G203" s="2333" t="str">
        <f>IF(OR(E203="",County="&lt;select one&gt;"),"",IF(AND(E203&lt;&gt;"",Small_Area_DDA="&lt;select from menu&gt;"),"Please respond to above question.",IF(ISNA(VLOOKUP(E203,DS_2022_ZCTAs_Sorted,1,FALSE)),"Invalid Entry - The ZCTA is not in the HUD "&amp;LEFT(Data2!$A$22,4)&amp;" database",IF(County=IFERROR(VLOOKUP(E203,DS_2022_ZCTAs_Sorted,2,FALSE),""),"The ZCTA is in the HUD "&amp;LEFT(Data2!$A$22,4)&amp;" database for "&amp;IFERROR(VLOOKUP(E203,DS_2022_ZCTAs_Sorted,2,FALSE),"")&amp;" County.","The ZCTA is located in "&amp;IFERROR(VLOOKUP(E203,DS_2022_ZCTAs_Sorted,2,FALSE),"")&amp;" County, not the proposed Development's county of "&amp;County&amp;"."))))</f>
        <v/>
      </c>
      <c r="H203" s="2333"/>
      <c r="I203" s="2333"/>
      <c r="J203" s="413"/>
      <c r="K203" s="1592"/>
      <c r="L203" s="1950">
        <f>IF(L$200=0,0,2)</f>
        <v>0</v>
      </c>
      <c r="M203" s="550">
        <f>IF(AND(L203&lt;&gt;0,E203&lt;&gt;""),L203,0)</f>
        <v>0</v>
      </c>
      <c r="N203" s="552" t="str">
        <f>CHOOSE(L203+1,"Not to be included in this RFA","A REQUIRED input field for this RFA","An OPTIONAL input field for this RFA")</f>
        <v>Not to be included in this RFA</v>
      </c>
      <c r="P203" s="55"/>
    </row>
    <row r="204" spans="1:16" ht="30" hidden="1" customHeight="1">
      <c r="A204" s="4"/>
      <c r="B204" s="4"/>
      <c r="C204" s="4"/>
      <c r="D204" s="4"/>
      <c r="E204" s="2209"/>
      <c r="F204" s="2209"/>
      <c r="G204" s="2333" t="str">
        <f>IF(OR(E204="",County="&lt;select one&gt;"),"",IF(AND(E204&lt;&gt;"",Small_Area_DDA="&lt;select from menu&gt;"),"Please respond to above question.",IF(ISNA(VLOOKUP(E204,DS_2022_ZCTAs_Sorted,1,FALSE)),"Invalid Entry - The ZCTA is not in the HUD "&amp;LEFT(Data2!$A$22,4)&amp;" database",IF(County=IFERROR(VLOOKUP(E204,DS_2022_ZCTAs_Sorted,2,FALSE),""),"The ZCTA is in the HUD "&amp;LEFT(Data2!$A$22,4)&amp;" database for "&amp;IFERROR(VLOOKUP(E204,DS_2022_ZCTAs_Sorted,2,FALSE),"")&amp;" County.","The ZCTA is located in "&amp;IFERROR(VLOOKUP(E204,DS_2022_ZCTAs_Sorted,2,FALSE),"")&amp;" County, not the proposed Development's county of "&amp;County&amp;"."))))</f>
        <v/>
      </c>
      <c r="H204" s="2333"/>
      <c r="I204" s="2333"/>
      <c r="J204" s="413"/>
      <c r="K204" s="1592"/>
      <c r="L204" s="1950">
        <f>IF(L$200=0,0,2)</f>
        <v>0</v>
      </c>
      <c r="M204" s="550">
        <f>IF(AND(L204&lt;&gt;0,E204&lt;&gt;""),L204,0)</f>
        <v>0</v>
      </c>
      <c r="N204" s="552" t="str">
        <f>CHOOSE(L204+1,"Not to be included in this RFA","A REQUIRED input field for this RFA","An OPTIONAL input field for this RFA")</f>
        <v>Not to be included in this RFA</v>
      </c>
      <c r="P204" s="55"/>
    </row>
    <row r="205" spans="1:16" hidden="1">
      <c r="A205" s="4"/>
      <c r="B205" s="4"/>
      <c r="C205" s="4"/>
      <c r="D205" s="4"/>
      <c r="E205" s="172" t="s">
        <v>405</v>
      </c>
      <c r="F205" s="172"/>
      <c r="G205" s="4"/>
      <c r="H205" s="4"/>
      <c r="I205" s="4"/>
      <c r="J205" s="413"/>
      <c r="K205" s="1592"/>
      <c r="P205" s="55"/>
    </row>
    <row r="206" spans="1:16" ht="10.4" hidden="1" customHeight="1">
      <c r="A206" s="4"/>
      <c r="B206" s="4"/>
      <c r="C206" s="4"/>
      <c r="D206" s="4"/>
      <c r="E206" s="172"/>
      <c r="F206" s="172"/>
      <c r="G206" s="4"/>
      <c r="H206" s="4"/>
      <c r="I206" s="4"/>
      <c r="J206" s="413"/>
      <c r="K206" s="1592"/>
      <c r="P206" s="55"/>
    </row>
    <row r="207" spans="1:16" hidden="1">
      <c r="A207" s="4"/>
      <c r="B207" s="4"/>
      <c r="C207" s="4"/>
      <c r="D207" s="470" t="str" cm="1">
        <f t="array" ref="D207">IF($L208=0,"",LOWER(ROMAN(MAX(_xlfn.ARABIC(D$194:D206))+1)))</f>
        <v/>
      </c>
      <c r="E207" s="6" t="s">
        <v>1102</v>
      </c>
      <c r="F207" s="190"/>
      <c r="G207" s="4"/>
      <c r="H207" s="4"/>
      <c r="I207" s="4"/>
      <c r="J207" s="413"/>
      <c r="K207" s="1592"/>
      <c r="L207" s="557"/>
      <c r="P207" s="55"/>
    </row>
    <row r="208" spans="1:16" ht="17.5" hidden="1" customHeight="1">
      <c r="A208" s="4"/>
      <c r="B208" s="4"/>
      <c r="C208" s="4"/>
      <c r="D208" s="4"/>
      <c r="E208" s="2334" t="str">
        <f>IF(County="&lt;select one&gt;","Please identify County first.",IF(NOT(ISNA(VLOOKUP(County,DS_NonMetro_DDAs_2022,1,FALSE))),"Yes","No"))</f>
        <v>Please identify County first.</v>
      </c>
      <c r="F208" s="2335"/>
      <c r="G208" s="4"/>
      <c r="H208" s="4"/>
      <c r="I208" s="4"/>
      <c r="J208" s="413"/>
      <c r="K208" s="1592"/>
      <c r="L208" s="1701">
        <v>0</v>
      </c>
      <c r="M208" s="509">
        <f>IF(AND(L208&lt;&gt;0,E208&lt;&gt;"Please identify County first."),L208,0)</f>
        <v>0</v>
      </c>
      <c r="N208" s="510" t="str">
        <f>CHOOSE(L208+1,"Not to be included in this RFA","A REQUIRED input field for this RFA","An OPTIONAL input field for this RFA","In the RFA but not to be tracked as an input field")</f>
        <v>Not to be included in this RFA</v>
      </c>
      <c r="P208" s="55"/>
    </row>
    <row r="209" spans="1:16" hidden="1">
      <c r="A209" s="4"/>
      <c r="B209" s="4"/>
      <c r="C209" s="4"/>
      <c r="D209" s="4"/>
      <c r="E209" s="158" t="s">
        <v>461</v>
      </c>
      <c r="F209" s="188"/>
      <c r="G209" s="4"/>
      <c r="H209" s="4"/>
      <c r="I209" s="4"/>
      <c r="J209" s="413"/>
      <c r="K209" s="1592"/>
      <c r="N209" s="560" t="s">
        <v>1679</v>
      </c>
      <c r="P209" s="55"/>
    </row>
    <row r="210" spans="1:16" ht="17.149999999999999" hidden="1" customHeight="1">
      <c r="A210" s="4"/>
      <c r="B210" s="4"/>
      <c r="C210" s="4"/>
      <c r="D210" s="4"/>
      <c r="E210" s="2335" t="str">
        <f>IF(DDA_nonmetro="Yes",County,"")</f>
        <v/>
      </c>
      <c r="F210" s="2335"/>
      <c r="G210" s="2333"/>
      <c r="H210" s="2333"/>
      <c r="I210" s="2333"/>
      <c r="J210" s="413"/>
      <c r="K210" s="1592"/>
      <c r="L210"/>
      <c r="P210" s="55"/>
    </row>
    <row r="211" spans="1:16" ht="10.4" hidden="1" customHeight="1">
      <c r="A211" s="4"/>
      <c r="B211" s="4"/>
      <c r="C211" s="4"/>
      <c r="D211" s="4"/>
      <c r="E211" s="161"/>
      <c r="F211" s="189"/>
      <c r="G211" s="161"/>
      <c r="H211" s="161"/>
      <c r="I211" s="161"/>
      <c r="J211" s="413"/>
      <c r="K211" s="1592"/>
      <c r="P211" s="55"/>
    </row>
    <row r="212" spans="1:16" hidden="1">
      <c r="A212" s="4"/>
      <c r="B212" s="4"/>
      <c r="C212" s="4"/>
      <c r="D212" s="174" t="str" cm="1">
        <f t="array" ref="D212">IF($L213=0,"",LOWER(ROMAN(MAX(_xlfn.ARABIC(D$194:D211))+1)))</f>
        <v/>
      </c>
      <c r="E212" s="18" t="str">
        <f>"Is the proposed Development located in a HUD-Designated QCT"&amp;IF(County="&lt;select one&gt;",""," for "&amp;County&amp;" County")&amp;"?"</f>
        <v>Is the proposed Development located in a HUD-Designated QCT?</v>
      </c>
      <c r="F212" s="18"/>
      <c r="G212" s="4"/>
      <c r="H212" s="4"/>
      <c r="I212" s="4"/>
      <c r="J212" s="461"/>
      <c r="K212" s="1592"/>
      <c r="P212" s="55"/>
    </row>
    <row r="213" spans="1:16" ht="17.5" hidden="1" customHeight="1">
      <c r="A213" s="4"/>
      <c r="B213" s="4"/>
      <c r="C213" s="4"/>
      <c r="D213" s="4"/>
      <c r="E213" s="2152" t="s">
        <v>190</v>
      </c>
      <c r="F213" s="2152"/>
      <c r="G213" s="1626"/>
      <c r="H213" s="4"/>
      <c r="I213" s="4"/>
      <c r="J213" s="413"/>
      <c r="K213" s="1592"/>
      <c r="L213" s="1701">
        <v>0</v>
      </c>
      <c r="M213" s="467">
        <f>IF(AND(L213&lt;&gt;0,AND(E213&lt;&gt;"&lt;select from menu&gt;",E213&lt;&gt;"")),L213,0)</f>
        <v>0</v>
      </c>
      <c r="N213" s="468" t="str">
        <f>CHOOSE(L213+1,"Not to be included in this RFA","A REQUIRED input field for this RFA","An OPTIONAL input field for this RFA")</f>
        <v>Not to be included in this RFA</v>
      </c>
      <c r="P213" s="55"/>
    </row>
    <row r="214" spans="1:16" hidden="1">
      <c r="A214" s="4"/>
      <c r="B214" s="4"/>
      <c r="C214" s="4"/>
      <c r="D214" s="4"/>
      <c r="E214" s="158" t="s">
        <v>462</v>
      </c>
      <c r="F214" s="188"/>
      <c r="G214" s="4"/>
      <c r="H214" s="4"/>
      <c r="I214" s="4"/>
      <c r="J214" s="413"/>
      <c r="K214" s="1592"/>
      <c r="P214" s="55"/>
    </row>
    <row r="215" spans="1:16" ht="17.5" hidden="1" customHeight="1">
      <c r="A215" s="4"/>
      <c r="B215" s="4"/>
      <c r="C215" s="4"/>
      <c r="D215" s="4"/>
      <c r="E215" s="2366" t="str">
        <f>IF(AND(QCT="Yes",NOT(ISNA(VLOOKUP(County,DS_2022_Metro_QCT_Counties,1,FALSE)))),"Metro",IF(AND(QCT="Yes",NOT(ISNA(VLOOKUP(County,DS_2022_NonMetro_QCT_Counties,1,FALSE)))),"Non-Metro",IF(AND(QCT="Yes",County&lt;&gt;"&lt;select one&gt;",ISNA(VLOOKUP(County,DS_2022_NonMetro_QCT_Counties,1,FALSE)),ISNA(VLOOKUP(County,DS_2022_Metro_QCT_Counties,1,FALSE))),County&amp;" County does not have a QCT in the Metro or Non-Metro areas.","")))</f>
        <v/>
      </c>
      <c r="F215" s="2366"/>
      <c r="G215" s="2366"/>
      <c r="H215" s="2366"/>
      <c r="I215" s="1685"/>
      <c r="J215" s="413"/>
      <c r="K215" s="1592"/>
      <c r="P215" s="55"/>
    </row>
    <row r="216" spans="1:16" hidden="1">
      <c r="A216" s="4"/>
      <c r="B216" s="4"/>
      <c r="C216" s="4"/>
      <c r="D216" s="4"/>
      <c r="E216" s="158" t="str">
        <f>"If “Yes”, indicate the HUD-designated QCT census tract number*"&amp;IF(County="&lt;select one&gt;",""," for "&amp;County&amp;" County")&amp;":"</f>
        <v>If “Yes”, indicate the HUD-designated QCT census tract number*:</v>
      </c>
      <c r="F216" s="188"/>
      <c r="G216" s="4"/>
      <c r="H216" s="4"/>
      <c r="I216" s="4"/>
      <c r="J216" s="413"/>
      <c r="K216" s="1592"/>
      <c r="L216" s="557"/>
      <c r="P216" s="55"/>
    </row>
    <row r="217" spans="1:16" ht="30" hidden="1" customHeight="1">
      <c r="A217" s="4"/>
      <c r="B217" s="4"/>
      <c r="C217" s="4"/>
      <c r="D217" s="4"/>
      <c r="E217" s="2365"/>
      <c r="F217" s="2365"/>
      <c r="G217" s="2367" t="str">
        <f>IF(OR(QCT_metro_or_nonmetro="",QCT_metro_or_nonmetro="Non-Metro",$E217=""),"",IF(AND($E213&lt;&gt;"&lt;select one&gt;",County="&lt;select one&gt;"),"Please select a County",IF(AND(QCT="Yes",QCT_metro_or_nonmetro="Metro",NOT(ISNA(VLOOKUP(QCT_number,DS_2022_Metro_QCTs_Sorted,1,FALSE))),NOT(ISNA(VLOOKUP(County,DS_2022_Metro_QCT_Counties,1,FALSE)))),IF(IFERROR(VLOOKUP(QCT_number,DS_2022_County_QCTs,1),0)=QCT_number,"The QCT is in the "&amp;County&amp;" County HUD "&amp;LEFT(Data2!$F$22,4)&amp;" Metro QCT database.","The QCT and "&amp;County&amp;" County are in the HUD "&amp;LEFT(Data2!$F$22,4)&amp;" Metro QCT database, but the QCT is NOT in "&amp;County&amp;" County."),IF(AND(QCT="Yes",QCT_metro_or_nonmetro="Metro",NOT(ISNA(VLOOKUP(QCT_number,DS_2022_Metro_QCTs_Sorted,1,FALSE))),ISNA(VLOOKUP(County,DS_2022_Metro_QCT_Counties,1,FALSE))),"The QCT is in the HUD "&amp;LEFT(Data2!$F$22,4)&amp;" Metro QCT database, but "&amp;County&amp;" County is NOT.",IF(AND(QCT="Yes",QCT_metro_or_nonmetro="Metro",ISNA(VLOOKUP(QCT_number,DS_2022_Metro_QCTs_Sorted,1,FALSE)),NOT(ISNA(VLOOKUP(County,DS_2022_Metro_QCT_Counties,1,FALSE)))),County&amp;" County is in the HUD "&amp;LEFT(Data2!$F$22,4)&amp;" Metro QCT database, but the QCT is NOT.",IF(AND(QCT="Yes",QCT_number&lt;&gt;""),"Neither the QCT nor "&amp;County&amp;" County are in the HUD "&amp;LEFT(Data2!$F$22,4)&amp;" Metro QCT database.",IF(AND(QCT="&lt;select one&gt;",Data2!O$21="Metro"),"Please respond to above question.","")))))))</f>
        <v/>
      </c>
      <c r="H217" s="2367"/>
      <c r="I217" s="2367"/>
      <c r="J217" s="463"/>
      <c r="K217" s="463"/>
      <c r="L217" s="2364">
        <f>IF(L213=0,0,IF(E213="Yes",1,2))</f>
        <v>0</v>
      </c>
      <c r="M217" s="2203">
        <f>IF(AND(L217&lt;&gt;0,E217&lt;&gt;""),L217,0)</f>
        <v>0</v>
      </c>
      <c r="N217" s="2363" t="str">
        <f>CHOOSE(L217+1,"Not to be included in this RFA","A REQUIRED input field for this RFA","An OPTIONAL input field for this RFA")</f>
        <v>Not to be included in this RFA</v>
      </c>
      <c r="P217" s="55"/>
    </row>
    <row r="218" spans="1:16" ht="30" hidden="1" customHeight="1">
      <c r="A218" s="4"/>
      <c r="B218" s="4"/>
      <c r="C218" s="4"/>
      <c r="D218" s="4"/>
      <c r="E218" s="2152"/>
      <c r="F218" s="2152"/>
      <c r="G218" s="2367" t="str">
        <f>IF(OR(QCT_metro_or_nonmetro="",QCT_metro_or_nonmetro="Metro",$E217=""),"",IF(AND($E213&lt;&gt;"&lt;select one&gt;",County="&lt;select one&gt;"),"",IF(AND(QCT="Yes",QCT_metro_or_nonmetro="Non-Metro",NOT(ISNA(VLOOKUP(QCT_number,DS_2022_NonMetro_QCTs_Sorted,1,FALSE))),NOT(ISNA(VLOOKUP(County,DS_2022_NonMetro_QCT_Counties,1,FALSE)))),IF(IFERROR(VLOOKUP(QCT_number,DS_2022_County_QCTs,1),0)=QCT_number,"The QCT is in the "&amp;County&amp;" County HUD "&amp;LEFT(Data2!$F$22,4)&amp;" Non-Metro QCT database.","The QCT and "&amp;County&amp;" County are in the HUD "&amp;LEFT(Data2!$F$22,4)&amp;" Non-Metro QCT database, but the QCT is NOT in "&amp;County&amp;" County."),IF(AND(QCT="Yes",QCT_metro_or_nonmetro="Non-Metro",NOT(ISNA(VLOOKUP(QCT_number,DS_2022_NonMetro_QCTs_Sorted,1,FALSE))),ISNA(VLOOKUP(County,DS_2022_NonMetro_QCT_Counties,1,FALSE))),"The QCT is in the HUD "&amp;LEFT(Data2!$F$22,4)&amp;" Non-Metro QCT database, but "&amp;County&amp;" County is NOT.",IF(AND(QCT="Yes",QCT_metro_or_nonmetro="Non-Metro",ISNA(VLOOKUP(QCT_number,DS_2022_NonMetro_QCTs_Sorted,1,FALSE)),NOT(ISNA(VLOOKUP(County,DS_2022_NonMetro_QCT_Counties,1,FALSE)))),County&amp;" County is in the HUD "&amp;LEFT(Data2!$F$22,4)&amp;" NonMetro QCT database, but the QCT is NOT.",IF(AND(QCT="Yes",QCT_number&lt;&gt;""),"Neither the QCT nor "&amp;County&amp;" County are in the HUD "&amp;LEFT(Data2!$F$22,4)&amp;" Non-Metro QCT database.",IF(AND(QCT="&lt;select one&gt;",Data2!O$21="Non-Metro"),"Please respond to above question.","")))))))</f>
        <v/>
      </c>
      <c r="H218" s="2368"/>
      <c r="I218" s="2368"/>
      <c r="J218" s="463"/>
      <c r="K218" s="463"/>
      <c r="L218" s="2364"/>
      <c r="M218" s="2203"/>
      <c r="N218" s="2363"/>
      <c r="P218" s="55"/>
    </row>
    <row r="219" spans="1:16" ht="14.5" hidden="1" customHeight="1">
      <c r="A219" s="4"/>
      <c r="B219" s="4"/>
      <c r="C219" s="4"/>
      <c r="D219" s="4"/>
      <c r="E219" s="172" t="s">
        <v>407</v>
      </c>
      <c r="F219" s="189"/>
      <c r="G219" s="161"/>
      <c r="H219" s="161"/>
      <c r="I219" s="161"/>
      <c r="J219" s="413"/>
      <c r="K219" s="1592"/>
      <c r="N219" s="1126"/>
      <c r="P219" s="55"/>
    </row>
    <row r="220" spans="1:16" ht="10.4" hidden="1" customHeight="1">
      <c r="A220" s="4"/>
      <c r="B220" s="4"/>
      <c r="C220" s="4"/>
      <c r="D220" s="4"/>
      <c r="E220" s="1449"/>
      <c r="F220" s="1449"/>
      <c r="G220" s="1449"/>
      <c r="H220" s="1449"/>
      <c r="I220" s="1449"/>
      <c r="J220" s="1448"/>
      <c r="K220" s="1592"/>
      <c r="P220" s="55"/>
    </row>
    <row r="221" spans="1:16" hidden="1">
      <c r="A221" s="4"/>
      <c r="B221" s="4"/>
      <c r="C221" s="4"/>
      <c r="D221" s="174" t="str" cm="1">
        <f t="array" ref="D221">IF($L222=0,"",LOWER(ROMAN(MAX(_xlfn.ARABIC(D$194:D220))+1)))</f>
        <v/>
      </c>
      <c r="E221" s="18" t="s">
        <v>463</v>
      </c>
      <c r="F221" s="18"/>
      <c r="G221" s="463"/>
      <c r="H221" s="4"/>
      <c r="I221" s="463"/>
      <c r="J221" s="463"/>
      <c r="K221" s="463"/>
      <c r="N221" s="1126"/>
      <c r="P221" s="55"/>
    </row>
    <row r="222" spans="1:16" ht="17.5" hidden="1" customHeight="1">
      <c r="A222" s="4"/>
      <c r="B222" s="4"/>
      <c r="C222" s="4"/>
      <c r="D222" s="4"/>
      <c r="E222" s="2152" t="s">
        <v>190</v>
      </c>
      <c r="F222" s="2152"/>
      <c r="G222" s="461"/>
      <c r="H222" s="4"/>
      <c r="I222" s="4"/>
      <c r="J222" s="413"/>
      <c r="K222" s="1592"/>
      <c r="L222" s="569">
        <v>0</v>
      </c>
      <c r="M222" s="550">
        <f>IF(AND(L222&lt;&gt;0,AND(E222&lt;&gt;"&lt;select from menu&gt;",E222&lt;&gt;"")),L222,0)</f>
        <v>0</v>
      </c>
      <c r="N222" s="510" t="str">
        <f>CHOOSE(L222+1,"Not to be included in this RFA","A REQUIRED input field for this RFA","An OPTIONAL input field for this RFA")</f>
        <v>Not to be included in this RFA</v>
      </c>
      <c r="P222" s="55"/>
    </row>
    <row r="223" spans="1:16" hidden="1">
      <c r="A223" s="4"/>
      <c r="B223" s="4"/>
      <c r="C223" s="4"/>
      <c r="D223" s="4"/>
      <c r="E223" s="158" t="s">
        <v>464</v>
      </c>
      <c r="F223" s="188"/>
      <c r="G223" s="4"/>
      <c r="H223" s="4"/>
      <c r="I223" s="4"/>
      <c r="J223" s="413"/>
      <c r="K223" s="1592"/>
      <c r="P223" s="55"/>
    </row>
    <row r="224" spans="1:16" ht="30" hidden="1" customHeight="1">
      <c r="A224" s="4"/>
      <c r="B224" s="4"/>
      <c r="C224" s="4"/>
      <c r="D224" s="4"/>
      <c r="E224" s="2152"/>
      <c r="F224" s="2152"/>
      <c r="G224" s="2348" t="str">
        <f>IF(AND($E$222&lt;&gt;"&lt;select one&gt;",$E224&lt;&gt;"",County="&lt;select one&gt;"),"Please select a County",IF(AND(Geo_Area_of_Opp_boost="Yes",NOT(ISNA(VLOOKUP(E224,DS_2022_GAO_QCTs_Sorted,1,FALSE))),NOT(ISNA(VLOOKUP(County,DS_2022_GAO_Counties,1,FALSE)))),IF(IFERROR(VLOOKUP(E224,DS_2022_County_GAOs,1),0)=E224,"The given Census Tract Number is a GAO Census Tract in "&amp;County&amp;" County.","The given Census Tract Number and "&amp;County&amp;" County are in the GAO listing, but the given Census Tract Number is not a GAO tract in "&amp;County&amp;" County."),IF(AND(Geo_Area_of_Opp_boost="Yes",NOT(ISNA(VLOOKUP(E224,DS_2022_GAO_QCTs_Sorted,1,FALSE))),ISNA(VLOOKUP(County,DS_2022_GAO_Counties,1,FALSE))),"The given QCT is in the GAO listing, but "&amp;County&amp;" County is NOT.",IF(AND(Geo_Area_of_Opp_boost="Yes",ISNA(VLOOKUP(E224,DS_2022_GAO_QCTs_Sorted,1,FALSE)),NOT(ISNA(VLOOKUP(County,DS_2022_GAO_Counties,1,FALSE)))),County&amp;" County is in the GAO Listing, but the given QCT is NOT.",IF(Geo_Area_of_Opp_boost="Yes","Neither the given QCT nor "&amp;County&amp;" County are in the GAO listing.","Please respond to above question.")))))</f>
        <v>Please respond to above question.</v>
      </c>
      <c r="H224" s="2349"/>
      <c r="I224" s="2349"/>
      <c r="J224" s="924"/>
      <c r="K224" s="1592"/>
      <c r="L224" s="1713">
        <f>IF($E222="No",0,IF($E222="Yes",1,$L222))</f>
        <v>0</v>
      </c>
      <c r="M224" s="467">
        <f>IF(AND(L224&lt;&gt;0,E224&lt;&gt;""),L224,0)</f>
        <v>0</v>
      </c>
      <c r="N224" s="468" t="str">
        <f>CHOOSE(L224+1,"Not to be included in this RFA","A REQUIRED input field for this RFA","An OPTIONAL input field for this RFA")</f>
        <v>Not to be included in this RFA</v>
      </c>
      <c r="P224" s="55"/>
    </row>
    <row r="225" spans="1:17" ht="30" hidden="1" customHeight="1">
      <c r="A225" s="4"/>
      <c r="B225" s="4"/>
      <c r="C225" s="4"/>
      <c r="D225" s="4"/>
      <c r="E225" s="2209"/>
      <c r="F225" s="2209"/>
      <c r="G225" s="2348" t="str">
        <f>IF(AND($E$222&lt;&gt;"&lt;select one&gt;",$E224&lt;&gt;"",County="&lt;select one&gt;"),"Please select a County",IF(AND(Geo_Area_of_Opp_boost="Yes",NOT(ISNA(VLOOKUP(E225,DS_2022_GAO_QCTs_Sorted,1,FALSE))),NOT(ISNA(VLOOKUP(County,DS_2022_GAO_Counties,1,FALSE)))),IF(IFERROR(VLOOKUP(E225,DS_2022_County_GAOs,1),0)=E225,"The given Census Tract Number is a GAO Census Tract in "&amp;County&amp;" County.","The given Census Tract Number and "&amp;County&amp;" County are in the GAO listing, but the given Census Tract Number is not a GAO tract in "&amp;County&amp;" County."),IF(AND(Geo_Area_of_Opp_boost="Yes",NOT(ISNA(VLOOKUP(E225,DS_2022_GAO_QCTs_Sorted,1,FALSE))),ISNA(VLOOKUP(County,DS_2022_GAO_Counties,1,FALSE))),"The given QCT is in the GAO listing, but "&amp;County&amp;" County is NOT.",IF(AND(Geo_Area_of_Opp_boost="Yes",ISNA(VLOOKUP(E225,DS_2022_GAO_QCTs_Sorted,1,FALSE)),NOT(ISNA(VLOOKUP(County,DS_2022_GAO_Counties,1,FALSE)))),County&amp;" County is in the GAO Listing, but the given QCT is NOT.",IF(Geo_Area_of_Opp_boost="Yes","Neither the given QCT nor "&amp;County&amp;" County are in the GAO listing.","Please respond to above question.")))))</f>
        <v>Please respond to above question.</v>
      </c>
      <c r="H225" s="2349"/>
      <c r="I225" s="2349"/>
      <c r="J225" s="924"/>
      <c r="K225" s="1592"/>
      <c r="L225" s="1713">
        <f>IF($E222="No",0,IF(AND($E222="Yes",$E224&lt;&gt;""),2,$L222))</f>
        <v>0</v>
      </c>
      <c r="M225" s="467">
        <f>IF(AND(L225&lt;&gt;0,E225&lt;&gt;""),L225,0)</f>
        <v>0</v>
      </c>
      <c r="N225" s="468" t="str">
        <f>CHOOSE(L225+1,"Not to be included in this RFA","A REQUIRED input field for this RFA","An OPTIONAL input field for this RFA")</f>
        <v>Not to be included in this RFA</v>
      </c>
      <c r="P225" s="55"/>
    </row>
    <row r="226" spans="1:17" ht="30" hidden="1" customHeight="1">
      <c r="A226" s="4"/>
      <c r="B226" s="4"/>
      <c r="C226" s="4"/>
      <c r="D226" s="56"/>
      <c r="E226" s="2209"/>
      <c r="F226" s="2209"/>
      <c r="G226" s="2348" t="str">
        <f>IF(AND($E$222&lt;&gt;"&lt;select one&gt;",$E224&lt;&gt;"",County="&lt;select one&gt;"),"Please select a County",IF(AND(Geo_Area_of_Opp_boost="Yes",NOT(ISNA(VLOOKUP(E226,DS_2022_GAO_QCTs_Sorted,1,FALSE))),NOT(ISNA(VLOOKUP(County,DS_2022_GAO_Counties,1,FALSE)))),IF(IFERROR(VLOOKUP(E226,DS_2022_County_GAOs,1),0)=E226,"The given Census Tract Number is a GAO Census Tract in "&amp;County&amp;" County.","The given Census Tract Number and "&amp;County&amp;" County are in the GAO listing, but the given Census Tract Number is not a GAO tract in "&amp;County&amp;" County."),IF(AND(Geo_Area_of_Opp_boost="Yes",NOT(ISNA(VLOOKUP(E226,DS_2022_GAO_QCTs_Sorted,1,FALSE))),ISNA(VLOOKUP(County,DS_2022_GAO_Counties,1,FALSE))),"The given QCT is in the GAO listing, but "&amp;County&amp;" County is NOT.",IF(AND(Geo_Area_of_Opp_boost="Yes",ISNA(VLOOKUP(E226,DS_2022_GAO_QCTs_Sorted,1,FALSE)),NOT(ISNA(VLOOKUP(County,DS_2022_GAO_Counties,1,FALSE)))),County&amp;" County is in the GAO Listing, but the given QCT is NOT.",IF(Geo_Area_of_Opp_boost="Yes","Neither the given QCT nor "&amp;County&amp;" County are in the GAO listing.","Please respond to above question.")))))</f>
        <v>Please respond to above question.</v>
      </c>
      <c r="H226" s="2349"/>
      <c r="I226" s="2349"/>
      <c r="J226" s="924"/>
      <c r="K226" s="1592"/>
      <c r="L226" s="1713">
        <f>IF($E222="No",0,IF(AND($E222="Yes",$E224&lt;&gt;""),2,$L222))</f>
        <v>0</v>
      </c>
      <c r="M226" s="467">
        <f>IF(AND(L226&lt;&gt;0,E226&lt;&gt;""),L226,0)</f>
        <v>0</v>
      </c>
      <c r="N226" s="468" t="str">
        <f>CHOOSE(L226+1,"Not to be included in this RFA","A REQUIRED input field for this RFA","An OPTIONAL input field for this RFA")</f>
        <v>Not to be included in this RFA</v>
      </c>
      <c r="P226" s="55"/>
    </row>
    <row r="227" spans="1:17" ht="14.5" hidden="1" customHeight="1">
      <c r="A227" s="4"/>
      <c r="B227" s="4"/>
      <c r="C227" s="4"/>
      <c r="D227" s="4"/>
      <c r="E227" s="81" t="s">
        <v>406</v>
      </c>
      <c r="F227" s="81"/>
      <c r="G227" s="4"/>
      <c r="H227" s="4"/>
      <c r="I227" s="4"/>
      <c r="J227" s="413"/>
      <c r="K227" s="1592"/>
      <c r="P227" s="55"/>
    </row>
    <row r="228" spans="1:17" ht="14.5" hidden="1" customHeight="1">
      <c r="A228" s="4"/>
      <c r="B228" s="4"/>
      <c r="C228" s="4"/>
      <c r="D228" s="4"/>
      <c r="E228" s="81" t="s">
        <v>407</v>
      </c>
      <c r="F228" s="81"/>
      <c r="G228" s="4"/>
      <c r="H228" s="4"/>
      <c r="I228" s="4"/>
      <c r="J228" s="413"/>
      <c r="K228" s="1592"/>
      <c r="P228" s="55"/>
    </row>
    <row r="229" spans="1:17" ht="10.4" hidden="1" customHeight="1">
      <c r="A229" s="4"/>
      <c r="B229" s="4"/>
      <c r="C229" s="4"/>
      <c r="D229" s="56"/>
      <c r="E229" s="4"/>
      <c r="F229" s="4"/>
      <c r="G229" s="4"/>
      <c r="H229" s="4"/>
      <c r="I229" s="4"/>
      <c r="J229" s="413"/>
      <c r="K229" s="1592"/>
      <c r="P229" s="55"/>
    </row>
    <row r="230" spans="1:17" ht="14.5" hidden="1" customHeight="1">
      <c r="A230" s="4"/>
      <c r="B230" s="4"/>
      <c r="C230" s="4"/>
      <c r="D230" s="174" t="str" cm="1">
        <f t="array" ref="D230">IF($L231=0,"",LOWER(ROMAN(MAX(_xlfn.ARABIC(D$194:D229))+1)))</f>
        <v/>
      </c>
      <c r="E230" s="1788" t="s">
        <v>1996</v>
      </c>
      <c r="F230" s="4"/>
      <c r="G230" s="4"/>
      <c r="H230" s="4"/>
      <c r="I230" s="4"/>
      <c r="J230" s="1669"/>
      <c r="K230" s="1669"/>
      <c r="P230" s="55"/>
    </row>
    <row r="231" spans="1:17" ht="17.5" hidden="1" customHeight="1">
      <c r="A231" s="4"/>
      <c r="B231" s="4"/>
      <c r="C231" s="4"/>
      <c r="D231" s="56"/>
      <c r="E231" s="2352" t="str">
        <f>IF(UrbanCenter="&lt;select one&gt;","",IF(UrbanCenter="Yes","A response of ""Yes"" was provided.","A response of ""No"" was provided."))</f>
        <v/>
      </c>
      <c r="F231" s="2352"/>
      <c r="G231" s="2352"/>
      <c r="H231" s="4"/>
      <c r="I231" s="4"/>
      <c r="J231" s="1669"/>
      <c r="K231" s="1669"/>
      <c r="L231" s="569">
        <v>0</v>
      </c>
      <c r="M231" s="1786">
        <f>IF(AND(L231&lt;&gt;0,AND(E231&lt;&gt;"&lt;select from menu&gt;",E231&lt;&gt;"")),L231,0)</f>
        <v>0</v>
      </c>
      <c r="N231" s="1787" t="str">
        <f>CHOOSE(L231+1,"Not to be included in this RFA","A REQUIRED input field for this RFA","An OPTIONAL input field for this RFA")</f>
        <v>Not to be included in this RFA</v>
      </c>
      <c r="P231" s="55"/>
    </row>
    <row r="232" spans="1:17" ht="17.5" hidden="1" customHeight="1">
      <c r="A232" s="4"/>
      <c r="B232" s="4"/>
      <c r="C232" s="4"/>
      <c r="D232" s="56"/>
      <c r="E232" s="108" t="s">
        <v>1997</v>
      </c>
      <c r="F232" s="4"/>
      <c r="G232" s="4"/>
      <c r="H232" s="4"/>
      <c r="I232" s="4"/>
      <c r="J232" s="1669"/>
      <c r="K232" s="1669"/>
      <c r="P232" s="55"/>
    </row>
    <row r="233" spans="1:17" ht="17.5" hidden="1" customHeight="1">
      <c r="A233" s="4"/>
      <c r="B233" s="4"/>
      <c r="C233" s="4"/>
      <c r="D233" s="56"/>
      <c r="E233" s="2352" t="str">
        <f>IF(UrbanCenter="No","NA",IF(UrbanCenter="Yes","The "&amp;UrbanCenter_Tier&amp;" Urban Center of "&amp;UrbanCenter_Name&amp;" was identifed.",""))</f>
        <v/>
      </c>
      <c r="F233" s="2352"/>
      <c r="G233" s="2352"/>
      <c r="H233" s="2352"/>
      <c r="I233" s="2352"/>
      <c r="J233" s="1669"/>
      <c r="K233" s="1669"/>
      <c r="P233" s="55"/>
    </row>
    <row r="234" spans="1:17" ht="10.4" hidden="1" customHeight="1">
      <c r="A234" s="4"/>
      <c r="B234" s="4"/>
      <c r="C234" s="4"/>
      <c r="D234" s="56"/>
      <c r="E234" s="4"/>
      <c r="F234" s="4"/>
      <c r="G234" s="4"/>
      <c r="H234" s="4"/>
      <c r="I234" s="4"/>
      <c r="J234" s="1669"/>
      <c r="K234" s="1669"/>
      <c r="P234" s="55"/>
    </row>
    <row r="235" spans="1:17" ht="14.5" hidden="1" customHeight="1">
      <c r="A235" s="4"/>
      <c r="B235" s="4"/>
      <c r="C235" s="4"/>
      <c r="D235" s="227" t="str" cm="1">
        <f t="array" ref="D235">IF($L236=0,"",LOWER(ROMAN(MAX(_xlfn.ARABIC(D$194:D228))+1)))</f>
        <v/>
      </c>
      <c r="E235" s="6" t="s">
        <v>473</v>
      </c>
      <c r="F235" s="190"/>
      <c r="G235" s="4"/>
      <c r="H235" s="4"/>
      <c r="I235" s="4"/>
      <c r="J235" s="413"/>
      <c r="K235" s="1592"/>
      <c r="O235" s="226"/>
      <c r="P235" s="220"/>
      <c r="Q235" s="219"/>
    </row>
    <row r="236" spans="1:17" ht="17.5" hidden="1" customHeight="1">
      <c r="A236" s="4"/>
      <c r="B236" s="4"/>
      <c r="C236" s="4"/>
      <c r="D236" s="56"/>
      <c r="E236" s="2152" t="s">
        <v>190</v>
      </c>
      <c r="F236" s="2152"/>
      <c r="G236" s="4"/>
      <c r="H236" s="4"/>
      <c r="I236" s="4"/>
      <c r="J236" s="413"/>
      <c r="K236" s="1592"/>
      <c r="L236" s="569">
        <v>0</v>
      </c>
      <c r="M236" s="467">
        <f>IF(AND(L236&lt;&gt;0,AND(E236&lt;&gt;"&lt;select from menu&gt;",E236&lt;&gt;"")),L236,0)</f>
        <v>0</v>
      </c>
      <c r="N236" s="468" t="str">
        <f>CHOOSE(L236+1,"Not to be included in this RFA","A REQUIRED input field for this RFA","An OPTIONAL input field for this RFA")</f>
        <v>Not to be included in this RFA</v>
      </c>
      <c r="O236" s="219"/>
      <c r="P236" s="220"/>
      <c r="Q236" s="219"/>
    </row>
    <row r="237" spans="1:17" ht="10.4" hidden="1" customHeight="1">
      <c r="A237" s="4"/>
      <c r="B237" s="4"/>
      <c r="C237" s="4"/>
      <c r="D237" s="56"/>
      <c r="E237" s="4"/>
      <c r="F237" s="4"/>
      <c r="G237" s="4"/>
      <c r="H237" s="4"/>
      <c r="I237" s="4"/>
      <c r="J237" s="413"/>
      <c r="K237" s="1592"/>
      <c r="O237" s="219"/>
      <c r="P237" s="220"/>
      <c r="Q237" s="219"/>
    </row>
    <row r="238" spans="1:17" ht="14.5" hidden="1" customHeight="1">
      <c r="A238" s="4"/>
      <c r="B238" s="4"/>
      <c r="C238" s="4"/>
      <c r="D238" s="227" t="str" cm="1">
        <f t="array" ref="D238">IF($L239=0,"",LOWER(ROMAN(MAX(_xlfn.ARABIC(D$194:D236))+1)))</f>
        <v/>
      </c>
      <c r="E238" s="223" t="s">
        <v>649</v>
      </c>
      <c r="F238" s="223"/>
      <c r="G238" s="4"/>
      <c r="H238" s="4"/>
      <c r="I238" s="4"/>
      <c r="J238" s="413"/>
      <c r="K238" s="1592"/>
      <c r="O238" s="226"/>
      <c r="P238" s="220"/>
      <c r="Q238" s="219"/>
    </row>
    <row r="239" spans="1:17" ht="17.5" hidden="1" customHeight="1">
      <c r="A239" s="4"/>
      <c r="B239" s="4"/>
      <c r="C239" s="4"/>
      <c r="D239" s="56"/>
      <c r="E239" s="2152" t="s">
        <v>190</v>
      </c>
      <c r="F239" s="2152"/>
      <c r="G239" s="4"/>
      <c r="H239" s="4"/>
      <c r="I239" s="4"/>
      <c r="J239" s="413"/>
      <c r="K239" s="1592"/>
      <c r="L239" s="569">
        <v>0</v>
      </c>
      <c r="M239" s="467">
        <f>IF(AND(L239&lt;&gt;0,AND(E239&lt;&gt;"&lt;select from menu&gt;",E239&lt;&gt;"")),L239,0)</f>
        <v>0</v>
      </c>
      <c r="N239" s="468" t="str">
        <f>CHOOSE(L239+1,"Not to be included in this RFA","A REQUIRED input field for this RFA","An OPTIONAL input field for this RFA")</f>
        <v>Not to be included in this RFA</v>
      </c>
      <c r="O239" s="219"/>
      <c r="P239" s="220"/>
      <c r="Q239" s="219"/>
    </row>
    <row r="240" spans="1:17" ht="10.4" hidden="1" customHeight="1">
      <c r="A240" s="4"/>
      <c r="B240" s="4"/>
      <c r="C240" s="4"/>
      <c r="D240" s="56"/>
      <c r="E240" s="4"/>
      <c r="F240" s="4"/>
      <c r="G240" s="4"/>
      <c r="H240" s="4"/>
      <c r="I240" s="4"/>
      <c r="J240" s="413"/>
      <c r="K240" s="1592"/>
      <c r="P240" s="55"/>
    </row>
    <row r="241" spans="1:16" ht="14.5" hidden="1" customHeight="1">
      <c r="A241" s="4"/>
      <c r="B241" s="4"/>
      <c r="C241" s="4"/>
      <c r="D241" s="227" t="str" cm="1">
        <f t="array" ref="D241">IF($L242=0,"",LOWER(ROMAN(MAX(_xlfn.ARABIC(D$194:D239))+1)))</f>
        <v/>
      </c>
      <c r="E241" s="867" t="s">
        <v>1097</v>
      </c>
      <c r="F241" s="744"/>
      <c r="G241" s="4"/>
      <c r="H241" s="4"/>
      <c r="I241" s="4"/>
      <c r="J241" s="742"/>
      <c r="K241" s="1592"/>
      <c r="P241" s="55"/>
    </row>
    <row r="242" spans="1:16" ht="17.5" hidden="1" customHeight="1">
      <c r="A242" s="4"/>
      <c r="B242" s="4"/>
      <c r="C242" s="4"/>
      <c r="D242" s="56"/>
      <c r="E242" s="2334" t="str" cm="1">
        <f t="array" aca="1" ref="E242" ca="1">IF(L242=0,"",IF(AND(OR(Demographic=Data1!A17,Demographic=Data1!A18,Demographic=Data1!A19,Demographic=Data1!A20),AND(OR(QCT="No",QCT="&lt;select from menu&gt;",AND(QCT="Yes",CELL("type",E217)&lt;&gt;"b",OR(IFERROR(FIND("NOT",G217),0)&gt;0,IFERROR(FIND("NOT",G218),0)&gt;0))),DDA_nonmetro="No",OR(Small_Area_DDA="No",Small_Area_DDA="&lt;select from menu&gt;",AND(Small_Area_DDA="Yes",OR(AND(CELL("type",E202)&lt;&gt;"b",IFERROR(FIND("NOT",G202),0)&gt;0),AND(CELL("type",E203)&lt;&gt;"b",IFERROR(FIND("NOT",G203),0)&gt;0),AND(CELL("type",E204)&lt;&gt;"b",IFERROR(FIND("NOT",G204),0)&gt;0)))))),"Yes","No"))</f>
        <v/>
      </c>
      <c r="F242" s="2335"/>
      <c r="G242" s="2335"/>
      <c r="H242" s="2353" t="s">
        <v>2085</v>
      </c>
      <c r="I242" s="2353"/>
      <c r="J242" s="742"/>
      <c r="K242" s="1592"/>
      <c r="L242" s="569">
        <v>0</v>
      </c>
      <c r="M242" s="745">
        <f ca="1">IF(AND(L242&lt;&gt;0,AND(E242&lt;&gt;"&lt;select from menu&gt;",E242&lt;&gt;"")),L242,0)</f>
        <v>0</v>
      </c>
      <c r="N242" s="747" t="str">
        <f>CHOOSE(L242+1,"Not to be included in this RFA","A REQUIRED input field for this RFA","An OPTIONAL input field for this RFA")</f>
        <v>Not to be included in this RFA</v>
      </c>
      <c r="P242" s="55"/>
    </row>
    <row r="243" spans="1:16" ht="10.4" hidden="1" customHeight="1">
      <c r="A243" s="4"/>
      <c r="B243" s="4"/>
      <c r="C243" s="4"/>
      <c r="D243" s="56"/>
      <c r="E243" s="4"/>
      <c r="F243" s="4"/>
      <c r="G243" s="4"/>
      <c r="H243" s="4"/>
      <c r="I243" s="4"/>
      <c r="J243" s="742"/>
      <c r="K243" s="1592"/>
      <c r="P243" s="55"/>
    </row>
    <row r="244" spans="1:16" hidden="1">
      <c r="A244" s="4"/>
      <c r="B244" s="4"/>
      <c r="C244" s="176" t="str" cm="1">
        <f t="array" ref="C244">IF($L$191=0,"-",IFERROR(CHAR(CODE(LOOKUP(2,1/(COUNTIF(C$168:C243,"&gt;"&amp;C$168:C243&amp;"*")=0),C$168:C243))+1),"b"))</f>
        <v>-</v>
      </c>
      <c r="D244" s="6" t="s">
        <v>465</v>
      </c>
      <c r="E244" s="4"/>
      <c r="F244" s="4"/>
      <c r="G244" s="4"/>
      <c r="H244" s="4"/>
      <c r="I244" s="4"/>
      <c r="J244" s="413"/>
      <c r="K244" s="1592"/>
      <c r="P244" s="55"/>
    </row>
    <row r="245" spans="1:16" ht="30" hidden="1" customHeight="1">
      <c r="A245" s="4"/>
      <c r="B245" s="4"/>
      <c r="C245" s="4"/>
      <c r="D245" s="4"/>
      <c r="E245" s="2134" t="s">
        <v>408</v>
      </c>
      <c r="F245" s="2134"/>
      <c r="G245" s="2134"/>
      <c r="H245" s="2134"/>
      <c r="I245" s="2134"/>
      <c r="J245" s="413"/>
      <c r="K245" s="1592"/>
      <c r="P245" s="55"/>
    </row>
    <row r="246" spans="1:16" ht="17.5" hidden="1" customHeight="1">
      <c r="A246" s="4"/>
      <c r="B246" s="4"/>
      <c r="C246" s="4"/>
      <c r="D246" s="4"/>
      <c r="E246" s="2152" t="s">
        <v>190</v>
      </c>
      <c r="F246" s="2152"/>
      <c r="G246" s="2333" t="str">
        <f>IF(AND(E246="Yes",'General Information'!F10="Family"),"","Invalid Entry - only applicants who select the Family demographic are eligible for this funding goal")</f>
        <v>Invalid Entry - only applicants who select the Family demographic are eligible for this funding goal</v>
      </c>
      <c r="H246" s="2333"/>
      <c r="I246" s="2333"/>
      <c r="J246" s="413"/>
      <c r="K246" s="1592"/>
      <c r="L246" s="569">
        <v>0</v>
      </c>
      <c r="M246" s="467">
        <f>IF(AND(L246&lt;&gt;0,AND(E246&lt;&gt;"&lt;select from menu&gt;",E246&lt;&gt;"")),L246,0)</f>
        <v>0</v>
      </c>
      <c r="N246" s="468" t="str">
        <f>CHOOSE(L246+1,"Not to be included in this RFA","A REQUIRED input field for this RFA","An OPTIONAL input field for this RFA")</f>
        <v>Not to be included in this RFA</v>
      </c>
      <c r="P246" s="55"/>
    </row>
    <row r="247" spans="1:16" ht="30" hidden="1" customHeight="1">
      <c r="A247" s="4"/>
      <c r="B247" s="4"/>
      <c r="C247" s="4"/>
      <c r="D247" s="4"/>
      <c r="E247" s="2134" t="s">
        <v>409</v>
      </c>
      <c r="F247" s="2134"/>
      <c r="G247" s="2134"/>
      <c r="H247" s="2134"/>
      <c r="I247" s="2134"/>
      <c r="J247" s="412"/>
      <c r="K247" s="1591"/>
      <c r="P247" s="55"/>
    </row>
    <row r="248" spans="1:16" ht="17.5" hidden="1" customHeight="1">
      <c r="A248" s="4"/>
      <c r="B248" s="4"/>
      <c r="C248" s="4"/>
      <c r="D248" s="4"/>
      <c r="E248" s="2152" t="s">
        <v>190</v>
      </c>
      <c r="F248" s="2152"/>
      <c r="G248" s="2333" t="str">
        <f>IF(AND(E246="yes",E248="&lt;select from menu&gt;"),"Please indicate which of the criteria has been met","")</f>
        <v/>
      </c>
      <c r="H248" s="2333"/>
      <c r="I248" s="2333"/>
      <c r="J248" s="413"/>
      <c r="K248" s="1592"/>
      <c r="L248" s="1713">
        <f>IF(L246=0,0,IF(E246="Yes",1,2))</f>
        <v>0</v>
      </c>
      <c r="M248" s="467">
        <f>IF(AND(L248&lt;&gt;0,AND(E248&lt;&gt;"&lt;select from menu&gt;",E248&lt;&gt;"")),L248,0)</f>
        <v>0</v>
      </c>
      <c r="N248" s="468" t="str">
        <f>CHOOSE(L248+1,"Not to be included in this RFA","A REQUIRED input field for this RFA","An OPTIONAL input field for this RFA")</f>
        <v>Not to be included in this RFA</v>
      </c>
    </row>
    <row r="249" spans="1:16" ht="10.4" hidden="1" customHeight="1">
      <c r="A249" s="4"/>
      <c r="B249" s="4"/>
      <c r="C249" s="4"/>
      <c r="D249" s="4"/>
      <c r="E249" s="57"/>
      <c r="F249" s="57"/>
      <c r="G249" s="4"/>
      <c r="H249" s="4"/>
      <c r="I249" s="4"/>
      <c r="J249" s="413"/>
      <c r="K249" s="1592"/>
      <c r="L249" s="1712"/>
    </row>
    <row r="250" spans="1:16" hidden="1">
      <c r="A250" s="4"/>
      <c r="B250" s="4"/>
      <c r="C250" s="176" t="str" cm="1">
        <f t="array" ref="C250">IF($L$191=0,"-",IFERROR(CHAR(CODE(LOOKUP(2,1/(COUNTIF(C$168:C249,"&gt;"&amp;C$168:C249&amp;"*")=0),C$168:C249))+1),"b"))</f>
        <v>-</v>
      </c>
      <c r="D250" s="6" t="s">
        <v>2079</v>
      </c>
      <c r="E250" s="57"/>
      <c r="F250" s="57"/>
      <c r="G250" s="4"/>
      <c r="H250" s="4"/>
      <c r="I250" s="4"/>
      <c r="J250" s="413"/>
      <c r="K250" s="1592"/>
    </row>
    <row r="251" spans="1:16" ht="10.4" hidden="1" customHeight="1">
      <c r="A251" s="4"/>
      <c r="B251" s="4"/>
      <c r="C251" s="4"/>
      <c r="D251" s="4"/>
      <c r="E251" s="57"/>
      <c r="F251" s="57"/>
      <c r="G251" s="4"/>
      <c r="H251" s="4"/>
      <c r="I251" s="4"/>
      <c r="J251" s="413"/>
      <c r="K251" s="1592"/>
    </row>
    <row r="252" spans="1:16" ht="17.5" hidden="1" customHeight="1">
      <c r="A252" s="4"/>
      <c r="B252" s="175" t="str">
        <f>IF(OR($L$188=0,$L252=0),"",MAX(B$4:B251)+1)</f>
        <v/>
      </c>
      <c r="C252" s="6" t="s">
        <v>468</v>
      </c>
      <c r="D252" s="4"/>
      <c r="E252" s="57"/>
      <c r="F252" s="57"/>
      <c r="G252" s="4"/>
      <c r="H252" s="4"/>
      <c r="I252" s="1681"/>
      <c r="J252" s="1669"/>
      <c r="K252" s="166"/>
      <c r="L252" s="1701">
        <v>0</v>
      </c>
      <c r="M252" s="467">
        <f>IF(AND(L252&lt;&gt;0,I252&lt;&gt;""),L252,0)</f>
        <v>0</v>
      </c>
      <c r="N252" s="468" t="str">
        <f>CHOOSE(L252+1,"Not to be included in this RFA","A REQUIRED input field for this RFA","An OPTIONAL input field for this RFA")</f>
        <v>Not to be included in this RFA</v>
      </c>
    </row>
    <row r="253" spans="1:16" ht="14.5" hidden="1" customHeight="1">
      <c r="A253" s="4"/>
      <c r="B253" s="175"/>
      <c r="C253" s="969"/>
      <c r="D253" s="4"/>
      <c r="E253" s="2347" t="str">
        <f>IF(AND(L252=1,MMRB_Request_Amount&lt;&gt;ConstrAnalysis__1st_Mtg,ConstrAnalysis__1st_Type="FHFC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match.",IF(AND(L252=1,N(MMRB_Request_Amount)&gt;0,ConstrAnalysis__1st_Type&lt;&gt;"FHFC - MMRB"),"Please ensure FHFC - MMRB is listed as the First Mortgage Financing's Lender/Type of Funding in the Construction Funding Sources section of the Pro Forma. It currently has not been selected.",""))</f>
        <v/>
      </c>
      <c r="F253" s="2347"/>
      <c r="G253" s="2347"/>
      <c r="H253" s="2347"/>
      <c r="I253" s="2347"/>
      <c r="J253" s="968"/>
      <c r="K253" s="1592"/>
      <c r="M253"/>
      <c r="N253"/>
    </row>
    <row r="254" spans="1:16" ht="14.5" hidden="1" customHeight="1">
      <c r="A254" s="4"/>
      <c r="B254" s="175"/>
      <c r="C254" s="969"/>
      <c r="D254" s="4"/>
      <c r="E254" s="2347"/>
      <c r="F254" s="2347"/>
      <c r="G254" s="2347"/>
      <c r="H254" s="2347"/>
      <c r="I254" s="2347"/>
      <c r="J254" s="968"/>
      <c r="K254" s="1592"/>
      <c r="M254"/>
      <c r="N254"/>
    </row>
    <row r="255" spans="1:16" ht="10.4" hidden="1" customHeight="1">
      <c r="A255" s="4"/>
      <c r="B255" s="544"/>
      <c r="C255" s="4"/>
      <c r="D255" s="4"/>
      <c r="E255" s="57"/>
      <c r="F255" s="57"/>
      <c r="G255" s="4"/>
      <c r="H255" s="4"/>
      <c r="I255" s="4"/>
      <c r="J255" s="413"/>
      <c r="K255" s="1592"/>
    </row>
    <row r="256" spans="1:16" ht="14.5" hidden="1" customHeight="1">
      <c r="A256" s="4"/>
      <c r="B256" s="544"/>
      <c r="C256" s="2114" t="s">
        <v>1916</v>
      </c>
      <c r="D256" s="2114"/>
      <c r="E256" s="2114"/>
      <c r="F256" s="2114"/>
      <c r="G256" s="2114"/>
      <c r="H256" s="2114"/>
      <c r="I256" s="2114"/>
      <c r="J256" s="413"/>
      <c r="K256" s="1592"/>
    </row>
    <row r="257" spans="1:14" ht="14.5" hidden="1" customHeight="1">
      <c r="A257" s="4"/>
      <c r="B257" s="544"/>
      <c r="C257" s="2114"/>
      <c r="D257" s="2114"/>
      <c r="E257" s="2114"/>
      <c r="F257" s="2114"/>
      <c r="G257" s="2114"/>
      <c r="H257" s="2114"/>
      <c r="I257" s="2114"/>
      <c r="J257" s="413"/>
      <c r="K257" s="1592"/>
    </row>
    <row r="258" spans="1:14" ht="10.4" hidden="1" customHeight="1">
      <c r="A258" s="4"/>
      <c r="B258" s="544"/>
      <c r="C258" s="4"/>
      <c r="D258" s="4"/>
      <c r="E258" s="57"/>
      <c r="F258" s="57"/>
      <c r="G258" s="4"/>
      <c r="H258" s="4"/>
      <c r="I258" s="4"/>
      <c r="J258" s="413"/>
      <c r="K258" s="1592"/>
    </row>
    <row r="259" spans="1:14">
      <c r="A259" s="4"/>
      <c r="B259" s="175">
        <f>IF($N$259=0,"",MAX(B$4:B258)+1)</f>
        <v>4</v>
      </c>
      <c r="C259" s="2123" t="s">
        <v>410</v>
      </c>
      <c r="D259" s="2123"/>
      <c r="E259" s="2123"/>
      <c r="F259" s="2123"/>
      <c r="G259" s="2123"/>
      <c r="H259" s="2123"/>
      <c r="I259" s="2123"/>
      <c r="J259" s="413"/>
      <c r="K259" s="1592"/>
      <c r="N259" s="1110">
        <v>1</v>
      </c>
    </row>
    <row r="260" spans="1:14" ht="10.4" customHeight="1">
      <c r="A260" s="4"/>
      <c r="B260" s="133"/>
      <c r="C260" s="158"/>
      <c r="D260" s="158"/>
      <c r="E260" s="158"/>
      <c r="F260" s="188"/>
      <c r="G260" s="158"/>
      <c r="H260" s="158"/>
      <c r="I260" s="158"/>
      <c r="J260" s="413"/>
      <c r="K260" s="1592"/>
    </row>
    <row r="261" spans="1:14" ht="14.5" customHeight="1">
      <c r="A261" s="4"/>
      <c r="B261" s="4"/>
      <c r="C261" s="176" t="str">
        <f>IF($N$259=0,"-","a")</f>
        <v>a</v>
      </c>
      <c r="D261" s="2134" t="s">
        <v>411</v>
      </c>
      <c r="E261" s="2134"/>
      <c r="F261" s="2134"/>
      <c r="G261" s="2134"/>
      <c r="H261" s="2134"/>
      <c r="I261" s="2134"/>
      <c r="J261" s="413"/>
      <c r="K261" s="1592"/>
    </row>
    <row r="262" spans="1:14" ht="10.4" customHeight="1">
      <c r="A262" s="4"/>
      <c r="B262" s="4"/>
      <c r="C262" s="4"/>
      <c r="D262" s="4"/>
      <c r="E262" s="57"/>
      <c r="F262" s="57"/>
      <c r="G262" s="4"/>
      <c r="H262" s="4"/>
      <c r="I262" s="4"/>
      <c r="J262" s="413"/>
      <c r="K262" s="1592"/>
    </row>
    <row r="263" spans="1:14" ht="17.5" customHeight="1">
      <c r="A263" s="4"/>
      <c r="B263" s="4"/>
      <c r="C263" s="4"/>
      <c r="E263" s="173" t="s">
        <v>412</v>
      </c>
      <c r="F263" s="173"/>
      <c r="G263" s="145"/>
      <c r="H263" s="59"/>
      <c r="I263" s="4"/>
      <c r="J263" s="459"/>
      <c r="K263" s="459"/>
      <c r="L263" s="1713" cm="1">
        <f t="array" aca="1" ref="L263" ca="1">IF($N$259=0,0,IF(CELL("type",G264)="b",2,1))</f>
        <v>2</v>
      </c>
      <c r="M263" s="467">
        <f ca="1">IF(AND(L263&lt;&gt;0,G263&lt;&gt;""),L263,0)</f>
        <v>0</v>
      </c>
      <c r="N263" s="468" t="str">
        <f ca="1">CHOOSE(L263+1,"Not to be included in this RFA","A REQUIRED input field for this RFA","An OPTIONAL input field for this RFA")</f>
        <v>An OPTIONAL input field for this RFA</v>
      </c>
    </row>
    <row r="264" spans="1:14" ht="17.5" customHeight="1">
      <c r="A264" s="4"/>
      <c r="B264" s="4"/>
      <c r="C264" s="4"/>
      <c r="E264" s="173" t="s">
        <v>413</v>
      </c>
      <c r="F264" s="173"/>
      <c r="G264" s="98"/>
      <c r="H264" s="60"/>
      <c r="I264" s="4"/>
      <c r="J264" s="413"/>
      <c r="K264" s="1592"/>
      <c r="L264" s="1713" cm="1">
        <f t="array" aca="1" ref="L264" ca="1">IF($N$259=0,0,IF(CELL("type",G263)="b",2,1))</f>
        <v>2</v>
      </c>
      <c r="M264" s="467">
        <f ca="1">IF(AND(L264&lt;&gt;0,G264&lt;&gt;""),L264,0)</f>
        <v>0</v>
      </c>
      <c r="N264" s="468" t="str">
        <f ca="1">CHOOSE(L264+1,"Not to be included in this RFA","A REQUIRED input field for this RFA","An OPTIONAL input field for this RFA")</f>
        <v>An OPTIONAL input field for this RFA</v>
      </c>
    </row>
    <row r="265" spans="1:14" ht="10.4" customHeight="1">
      <c r="A265" s="4"/>
      <c r="B265" s="4"/>
      <c r="C265" s="4"/>
      <c r="D265" s="4"/>
      <c r="E265" s="57"/>
      <c r="F265" s="57"/>
      <c r="G265" s="4"/>
      <c r="H265" s="4"/>
      <c r="I265" s="4"/>
      <c r="J265" s="413"/>
      <c r="K265" s="1592"/>
    </row>
    <row r="266" spans="1:14" ht="30" hidden="1" customHeight="1">
      <c r="A266" s="4"/>
      <c r="B266" s="4"/>
      <c r="C266" s="176" t="str" cm="1">
        <f t="array" ref="C266">IFERROR(CHAR(CODE(LOOKUP(2,1/(COUNTIF(C$261:C265,"&gt;"&amp;C$261:C265&amp;"*")=0),C$261:C265))+1),"a")</f>
        <v>b</v>
      </c>
      <c r="D266" s="2134" t="s">
        <v>414</v>
      </c>
      <c r="E266" s="2134"/>
      <c r="F266" s="2134"/>
      <c r="G266" s="2134"/>
      <c r="H266" s="2134"/>
      <c r="I266" s="2134"/>
      <c r="J266" s="412"/>
      <c r="K266" s="1591"/>
      <c r="N266" s="1110">
        <v>0</v>
      </c>
    </row>
    <row r="267" spans="1:14" ht="10.4" hidden="1" customHeight="1">
      <c r="A267" s="4"/>
      <c r="B267" s="4"/>
      <c r="C267" s="4"/>
      <c r="D267" s="4"/>
      <c r="E267" s="57"/>
      <c r="F267" s="57"/>
      <c r="G267" s="4"/>
      <c r="H267" s="4"/>
      <c r="I267" s="4"/>
      <c r="J267" s="413"/>
      <c r="K267" s="1592"/>
    </row>
    <row r="268" spans="1:14" ht="15.65" hidden="1" customHeight="1">
      <c r="A268" s="4"/>
      <c r="B268" s="4"/>
      <c r="C268" s="4"/>
      <c r="D268" s="4"/>
      <c r="E268" s="2350" t="s">
        <v>415</v>
      </c>
      <c r="F268" s="2351"/>
      <c r="G268" s="61" t="s">
        <v>416</v>
      </c>
      <c r="H268" s="61" t="s">
        <v>417</v>
      </c>
      <c r="I268" s="4"/>
      <c r="J268" s="459"/>
      <c r="K268" s="459"/>
      <c r="L268" s="608" t="s">
        <v>908</v>
      </c>
    </row>
    <row r="269" spans="1:14" ht="17.5" hidden="1" customHeight="1">
      <c r="A269" s="4"/>
      <c r="B269" s="4"/>
      <c r="C269" s="4"/>
      <c r="D269" s="4"/>
      <c r="E269" s="2340" t="s">
        <v>418</v>
      </c>
      <c r="F269" s="2341"/>
      <c r="G269" s="80"/>
      <c r="H269" s="99"/>
      <c r="I269" s="4"/>
      <c r="J269" s="413"/>
      <c r="K269" s="1592"/>
      <c r="L269" s="569">
        <f>IF($N$266=0,0,2)</f>
        <v>0</v>
      </c>
      <c r="M269" s="467">
        <f>IF(AND(L269&lt;&gt;0,G269&lt;&gt;""),L269,0)</f>
        <v>0</v>
      </c>
      <c r="N269" s="468" t="str">
        <f>CHOOSE(L269+1,"Not to be included in this RFA","A REQUIRED input field for this RFA","An OPTIONAL input field for this RFA")</f>
        <v>Not to be included in this RFA</v>
      </c>
    </row>
    <row r="270" spans="1:14" ht="17.5" hidden="1" customHeight="1">
      <c r="A270" s="4"/>
      <c r="B270" s="4"/>
      <c r="C270" s="4"/>
      <c r="D270" s="4"/>
      <c r="E270" s="2340" t="s">
        <v>419</v>
      </c>
      <c r="F270" s="2341"/>
      <c r="G270" s="80"/>
      <c r="H270" s="99"/>
      <c r="I270" s="4"/>
      <c r="J270" s="413"/>
      <c r="K270" s="1592"/>
      <c r="L270" s="569">
        <f>IF($N$266=0,0,2)</f>
        <v>0</v>
      </c>
      <c r="M270" s="467">
        <f>IF(AND(L270&lt;&gt;0,G270&lt;&gt;""),L270,0)</f>
        <v>0</v>
      </c>
      <c r="N270" s="468" t="str">
        <f>CHOOSE(L270+1,"Not to be included in this RFA","A REQUIRED input field for this RFA","An OPTIONAL input field for this RFA")</f>
        <v>Not to be included in this RFA</v>
      </c>
    </row>
    <row r="271" spans="1:14" ht="17.5" hidden="1" customHeight="1">
      <c r="A271" s="4"/>
      <c r="B271" s="4"/>
      <c r="C271" s="4"/>
      <c r="D271" s="4"/>
      <c r="E271" s="2340" t="s">
        <v>420</v>
      </c>
      <c r="F271" s="2341"/>
      <c r="G271" s="80"/>
      <c r="H271" s="99"/>
      <c r="I271" s="4"/>
      <c r="J271" s="413"/>
      <c r="K271" s="1592"/>
      <c r="L271" s="569">
        <f>IF($N$266=0,0,2)</f>
        <v>0</v>
      </c>
      <c r="M271" s="467">
        <f>IF(AND(L271&lt;&gt;0,G271&lt;&gt;""),L271,0)</f>
        <v>0</v>
      </c>
      <c r="N271" s="468" t="str">
        <f>CHOOSE(L271+1,"Not to be included in this RFA","A REQUIRED input field for this RFA","An OPTIONAL input field for this RFA")</f>
        <v>Not to be included in this RFA</v>
      </c>
    </row>
    <row r="272" spans="1:14" ht="17.5" hidden="1" customHeight="1">
      <c r="A272" s="4"/>
      <c r="B272" s="4"/>
      <c r="C272" s="4"/>
      <c r="D272" s="4"/>
      <c r="E272" s="2340" t="s">
        <v>421</v>
      </c>
      <c r="F272" s="2341"/>
      <c r="G272" s="80"/>
      <c r="H272" s="99"/>
      <c r="I272" s="4"/>
      <c r="J272" s="413"/>
      <c r="K272" s="1592"/>
      <c r="L272" s="569">
        <f>IF($N$266=0,0,2)</f>
        <v>0</v>
      </c>
      <c r="M272" s="467">
        <f>IF(AND(L272&lt;&gt;0,G272&lt;&gt;""),L272,0)</f>
        <v>0</v>
      </c>
      <c r="N272" s="468" t="str">
        <f>CHOOSE(L272+1,"Not to be included in this RFA","A REQUIRED input field for this RFA","An OPTIONAL input field for this RFA")</f>
        <v>Not to be included in this RFA</v>
      </c>
    </row>
    <row r="273" spans="1:17" ht="10.4" hidden="1" customHeight="1">
      <c r="A273" s="4"/>
      <c r="B273" s="4"/>
      <c r="C273" s="4"/>
      <c r="D273" s="4"/>
      <c r="E273" s="58"/>
      <c r="F273" s="58"/>
      <c r="G273" s="57"/>
      <c r="H273" s="57"/>
      <c r="I273" s="4"/>
      <c r="J273" s="413"/>
      <c r="K273" s="1592"/>
    </row>
    <row r="274" spans="1:17" ht="14.5" customHeight="1">
      <c r="A274" s="177" t="str" cm="1">
        <f t="array" ref="A274">CHAR(CODE(LOOKUP(2,1/(COUNTIF(A$3:A273,"&gt;"&amp;A$3:A273&amp;"*")=0),A$3:A273))+1)</f>
        <v>b</v>
      </c>
      <c r="B274" s="2131" t="s">
        <v>422</v>
      </c>
      <c r="C274" s="2131"/>
      <c r="D274" s="2131"/>
      <c r="E274" s="2131"/>
      <c r="F274" s="2131"/>
      <c r="G274" s="2131"/>
      <c r="H274" s="2131"/>
      <c r="I274" s="2131"/>
      <c r="J274" s="413"/>
      <c r="K274" s="1592"/>
    </row>
    <row r="275" spans="1:17" ht="10.4" hidden="1" customHeight="1">
      <c r="A275" s="177"/>
      <c r="B275" s="1593"/>
      <c r="C275" s="1593"/>
      <c r="D275" s="1593"/>
      <c r="E275" s="1593"/>
      <c r="F275" s="1593"/>
      <c r="G275" s="1593"/>
      <c r="H275" s="1593"/>
      <c r="I275" s="1593"/>
      <c r="J275" s="1592"/>
      <c r="K275" s="1592"/>
    </row>
    <row r="276" spans="1:17" ht="44.15" hidden="1" customHeight="1">
      <c r="A276" s="4"/>
      <c r="B276" s="175" t="str">
        <f>IF($L$277+$L$278=0,"",1)</f>
        <v/>
      </c>
      <c r="C276" s="2134" t="s">
        <v>2078</v>
      </c>
      <c r="D276" s="2134"/>
      <c r="E276" s="2134"/>
      <c r="F276" s="2134"/>
      <c r="G276" s="2134"/>
      <c r="H276" s="2134"/>
      <c r="I276" s="2134"/>
      <c r="J276" s="412"/>
      <c r="K276" s="1591"/>
      <c r="N276" s="637">
        <v>0</v>
      </c>
      <c r="O276" s="556"/>
      <c r="Q276" s="1769" t="s">
        <v>1944</v>
      </c>
    </row>
    <row r="277" spans="1:17" ht="17.5" hidden="1" customHeight="1">
      <c r="A277" s="4"/>
      <c r="B277" s="3"/>
      <c r="C277" s="1683" t="str">
        <f>IF(Data1!$B575=TRUE,"Yes","No")</f>
        <v>No</v>
      </c>
      <c r="D277" s="63"/>
      <c r="E277" s="2330" t="s">
        <v>474</v>
      </c>
      <c r="F277" s="2330"/>
      <c r="G277" s="2330"/>
      <c r="H277" s="57"/>
      <c r="I277" s="4"/>
      <c r="J277" s="1668"/>
      <c r="K277" s="1430"/>
      <c r="L277" s="1713">
        <f>IF(N$276=0,0,IF(Data1!B576=TRUE,2,N$276))</f>
        <v>0</v>
      </c>
      <c r="M277" s="1270">
        <f>IF(AND(L277&lt;&gt;0,Data1!B575=TRUE),L277,0)</f>
        <v>0</v>
      </c>
      <c r="N277" s="1269" t="str">
        <f>CHOOSE(L277+1,"Not to be included in this RFA","A REQUIRED input field for this RFA","An OPTIONAL input field for this RFA")</f>
        <v>Not to be included in this RFA</v>
      </c>
    </row>
    <row r="278" spans="1:17" ht="17.5" hidden="1" customHeight="1">
      <c r="A278" s="4"/>
      <c r="B278" s="3"/>
      <c r="C278" s="1683" t="str">
        <f>IF(Data1!$B576=TRUE,"Yes","No")</f>
        <v>No</v>
      </c>
      <c r="D278" s="63"/>
      <c r="E278" s="2330" t="s">
        <v>475</v>
      </c>
      <c r="F278" s="2330"/>
      <c r="G278" s="2330"/>
      <c r="H278" s="57"/>
      <c r="I278" s="4"/>
      <c r="J278" s="1668"/>
      <c r="K278" s="1430"/>
      <c r="L278" s="1713">
        <f>IF(N$276=0,0,IF(Data1!B575=TRUE,2,N$276))</f>
        <v>0</v>
      </c>
      <c r="M278" s="1270">
        <f>IF(AND(L278&lt;&gt;0,Data1!B576=TRUE),L278,0)</f>
        <v>0</v>
      </c>
      <c r="N278" s="1269" t="str">
        <f>CHOOSE(L278+1,"Not to be included in this RFA","A REQUIRED input field for this RFA","An OPTIONAL input field for this RFA")</f>
        <v>Not to be included in this RFA</v>
      </c>
    </row>
    <row r="279" spans="1:17" ht="10.4" hidden="1" customHeight="1">
      <c r="A279" s="4"/>
      <c r="B279" s="4"/>
      <c r="C279" s="4"/>
      <c r="D279" s="4"/>
      <c r="E279" s="58"/>
      <c r="F279" s="58"/>
      <c r="G279" s="57"/>
      <c r="H279" s="57"/>
      <c r="I279" s="4"/>
      <c r="J279" s="413"/>
      <c r="K279" s="1592"/>
    </row>
    <row r="280" spans="1:17" ht="14.5" customHeight="1">
      <c r="A280" s="4"/>
      <c r="B280" s="175" t="str">
        <f>IF(B276="","",MAX(B$276:B279)+1)</f>
        <v/>
      </c>
      <c r="C280" s="2123" t="s">
        <v>423</v>
      </c>
      <c r="D280" s="2123"/>
      <c r="E280" s="2123"/>
      <c r="F280" s="2123"/>
      <c r="G280" s="2123"/>
      <c r="H280" s="2123"/>
      <c r="I280" s="2123"/>
      <c r="J280" s="413"/>
      <c r="K280" s="1592"/>
    </row>
    <row r="281" spans="1:17" ht="10.4" customHeight="1">
      <c r="A281" s="4"/>
      <c r="B281" s="175"/>
      <c r="C281" s="1594"/>
      <c r="D281" s="1594"/>
      <c r="E281" s="1594"/>
      <c r="F281" s="1594"/>
      <c r="G281" s="1594"/>
      <c r="H281" s="1594"/>
      <c r="I281" s="1594"/>
      <c r="J281" s="1592"/>
      <c r="K281" s="1592"/>
    </row>
    <row r="282" spans="1:17" ht="14.5" customHeight="1">
      <c r="A282" s="4"/>
      <c r="B282" s="4"/>
      <c r="C282" s="2114" t="s">
        <v>424</v>
      </c>
      <c r="D282" s="2114"/>
      <c r="E282" s="2114"/>
      <c r="F282" s="2114"/>
      <c r="G282" s="2114"/>
      <c r="H282" s="2114"/>
      <c r="I282" s="2114"/>
      <c r="J282" s="412"/>
      <c r="K282" s="1591"/>
    </row>
    <row r="283" spans="1:17" ht="10.4" customHeight="1">
      <c r="A283" s="3"/>
      <c r="B283" s="4"/>
      <c r="C283" s="4"/>
      <c r="D283" s="4"/>
      <c r="E283" s="58"/>
      <c r="F283" s="58"/>
      <c r="G283" s="57"/>
      <c r="H283" s="57"/>
      <c r="I283" s="95"/>
      <c r="J283" s="413"/>
      <c r="K283" s="1592"/>
    </row>
    <row r="284" spans="1:17" ht="14.5" hidden="1" customHeight="1">
      <c r="A284" s="3"/>
      <c r="B284" s="4"/>
      <c r="C284" s="4" t="s">
        <v>1798</v>
      </c>
      <c r="E284" s="58"/>
      <c r="F284" s="58"/>
      <c r="G284" s="57"/>
      <c r="H284" s="57"/>
      <c r="I284" s="95"/>
      <c r="J284" s="1592"/>
      <c r="K284" s="1592"/>
      <c r="N284" s="1733">
        <f>'General Information'!K34</f>
        <v>0</v>
      </c>
    </row>
    <row r="285" spans="1:17" ht="10.4" hidden="1" customHeight="1">
      <c r="A285" s="3"/>
      <c r="B285" s="4"/>
      <c r="C285" s="4"/>
      <c r="D285" s="4"/>
      <c r="E285" s="58"/>
      <c r="F285" s="58"/>
      <c r="G285" s="57"/>
      <c r="H285" s="57"/>
      <c r="I285" s="95"/>
      <c r="J285" s="1592"/>
      <c r="K285" s="1592"/>
    </row>
    <row r="286" spans="1:17" ht="14.5" hidden="1" customHeight="1">
      <c r="A286" s="3"/>
      <c r="D286" s="42" t="s">
        <v>1795</v>
      </c>
      <c r="I286" s="1602" t="str">
        <f>IF(Self_Sourced_Applicant="Yes","Yes",IF(Self_Sourced_Applicant="No","No","NA"))</f>
        <v>NA</v>
      </c>
      <c r="J286" s="1592"/>
      <c r="K286" s="1592"/>
    </row>
    <row r="287" spans="1:17" ht="10.4" hidden="1" customHeight="1">
      <c r="A287" s="3"/>
      <c r="B287" s="4"/>
      <c r="C287" s="4"/>
      <c r="D287" s="4"/>
      <c r="E287" s="58"/>
      <c r="F287" s="58"/>
      <c r="G287" s="57"/>
      <c r="H287" s="57"/>
      <c r="I287" s="95"/>
      <c r="J287" s="1592"/>
      <c r="K287" s="1592"/>
    </row>
    <row r="288" spans="1:17" ht="30" hidden="1" customHeight="1">
      <c r="A288" s="3"/>
      <c r="B288" s="4"/>
      <c r="D288" s="2134" t="s">
        <v>1799</v>
      </c>
      <c r="E288" s="2134"/>
      <c r="F288" s="2134"/>
      <c r="G288" s="2134"/>
      <c r="H288" s="2134"/>
      <c r="I288" s="2134"/>
      <c r="J288" s="1592"/>
      <c r="K288" s="1592"/>
    </row>
    <row r="289" spans="1:14" ht="15.65" hidden="1" customHeight="1">
      <c r="A289" s="3"/>
      <c r="B289" s="4"/>
      <c r="E289" s="2134"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289" s="2134"/>
      <c r="G289" s="2134"/>
      <c r="H289" s="2134"/>
      <c r="I289" s="1604" t="str">
        <f>IF(I$286&lt;&gt;"Yes","",ROUNDUP(MAX(1000000,50%*SUMIF('Pro Forma'!K$332:N$338,"FHFC - SAIL",'Pro Forma'!H$332:H$338)),2))</f>
        <v/>
      </c>
      <c r="J289" s="1592"/>
      <c r="K289" s="1592"/>
    </row>
    <row r="290" spans="1:14" ht="15.65" hidden="1" customHeight="1">
      <c r="A290" s="3"/>
      <c r="B290" s="4"/>
      <c r="C290" s="4"/>
      <c r="E290" s="2134" t="str">
        <f>IF(Self_Sourced_Applicant&lt;&gt;"Yes","are no additional points available to be awarded.",CHAR(149)&amp;" What is the minimum contribution required to meet the 75% hurdle? (1 point)")</f>
        <v>are no additional points available to be awarded.</v>
      </c>
      <c r="F290" s="2134"/>
      <c r="G290" s="2134"/>
      <c r="H290" s="2134"/>
      <c r="I290" s="1604" t="str">
        <f>IF(I$286&lt;&gt;"Yes","",ROUNDUP(MAX(1000000,75%*SUMIF('Pro Forma'!K$332:N$338,"FHFC - SAIL",'Pro Forma'!H$332:H$338)),2))</f>
        <v/>
      </c>
      <c r="J290" s="1592"/>
      <c r="K290" s="1592"/>
    </row>
    <row r="291" spans="1:14" ht="15.65" hidden="1" customHeight="1">
      <c r="A291" s="3"/>
      <c r="B291" s="4"/>
      <c r="C291" s="4"/>
      <c r="E291" s="2134" t="str">
        <f>IF(Self_Sourced_Applicant&lt;&gt;"Yes","",CHAR(149)&amp;" What is the minimum contribution required to meet the 100% hurdle? (2 points)")</f>
        <v/>
      </c>
      <c r="F291" s="2134"/>
      <c r="G291" s="2134"/>
      <c r="H291" s="2134"/>
      <c r="I291" s="1604" t="str">
        <f>IF(I$286&lt;&gt;"Yes","",ROUNDUP(MAX(1000000,100%*SUMIF('Pro Forma'!K$332:N$338,"FHFC - SAIL",'Pro Forma'!H$332:H$338)),2))</f>
        <v/>
      </c>
      <c r="J291" s="1592"/>
      <c r="K291" s="1592"/>
    </row>
    <row r="292" spans="1:14" ht="14.5" hidden="1" customHeight="1">
      <c r="A292" s="3"/>
      <c r="B292" s="4"/>
      <c r="D292" s="1600"/>
      <c r="E292" s="2134" t="str">
        <f>IF(Self_Sourced_Applicant&lt;&gt;"Yes","",CHAR(149)&amp;" What is the amount of Self-Sourced funding entered under the Permanent Funding Sources area in the Permanent Analysis section of the Pro Forma?")</f>
        <v/>
      </c>
      <c r="F292" s="2134"/>
      <c r="G292" s="2134"/>
      <c r="H292" s="2134"/>
      <c r="I292" s="2345" t="str">
        <f>IF(I$286&lt;&gt;"Yes","",SUMIF('Pro Forma'!K$320:N$330,"Self-Sourced: Bond-Financing",'Pro Forma'!H$320:H$330)+SUMIF('Pro Forma'!K$342:N$344,"Self-Sourced: Bond-Financing",'Pro Forma'!H$342:H$344)+SUMIF('Pro Forma'!K$320:N$330,"Self-Sourced: Non-Bond-Financing",'Pro Forma'!H$320:H$330)+SUMIF('Pro Forma'!K$342:N$344,"Self-Sourced: Non-Bond-Financing",'Pro Forma'!H$342:H$344))</f>
        <v/>
      </c>
      <c r="J292" s="1592"/>
      <c r="K292" s="1592"/>
    </row>
    <row r="293" spans="1:14" ht="14.5" hidden="1" customHeight="1">
      <c r="A293" s="3"/>
      <c r="B293" s="4"/>
      <c r="D293" s="1600"/>
      <c r="E293" s="2134"/>
      <c r="F293" s="2134"/>
      <c r="G293" s="2134"/>
      <c r="H293" s="2134"/>
      <c r="I293" s="2346"/>
      <c r="J293" s="1592"/>
      <c r="K293" s="1592"/>
    </row>
    <row r="294" spans="1:14" ht="30" hidden="1" customHeight="1">
      <c r="A294" s="3"/>
      <c r="B294" s="4"/>
      <c r="C294" s="4"/>
      <c r="D294" s="4"/>
      <c r="E294" s="1598" t="s">
        <v>1801</v>
      </c>
      <c r="F294" s="58"/>
      <c r="G294" s="57"/>
      <c r="H294" s="57"/>
      <c r="I294" s="1605" t="str">
        <f>IF(I$286&lt;&gt;"Yes","NA",IF(I292&gt;=I291,2,IF(I292&gt;=I290,1,IF(I292&gt;=I289,0,"Does not qualify as a Self-Sourced Application"))))</f>
        <v>NA</v>
      </c>
      <c r="J294" s="1592"/>
      <c r="K294" s="1592"/>
    </row>
    <row r="295" spans="1:14" ht="10.4" hidden="1" customHeight="1">
      <c r="A295" s="3"/>
      <c r="B295" s="4"/>
      <c r="C295" s="4"/>
      <c r="D295" s="4"/>
      <c r="E295" s="58"/>
      <c r="F295" s="58"/>
      <c r="G295" s="57"/>
      <c r="H295" s="57"/>
      <c r="I295" s="95"/>
      <c r="J295" s="1592"/>
      <c r="K295" s="1592"/>
    </row>
    <row r="296" spans="1:14" ht="14.5" customHeight="1">
      <c r="A296" s="177" t="str" cm="1">
        <f t="array" ref="A296">IF(N296=0,"",CHAR(CODE(LOOKUP(2,1/(COUNTIF(A$3:A283,"&gt;"&amp;A$3:A283&amp;"*")=0),A$3:A283))+1))</f>
        <v>c</v>
      </c>
      <c r="B296" s="2131" t="s">
        <v>425</v>
      </c>
      <c r="C296" s="2131"/>
      <c r="D296" s="2131"/>
      <c r="E296" s="2131"/>
      <c r="F296" s="2131"/>
      <c r="G296" s="2131"/>
      <c r="H296" s="2131"/>
      <c r="I296" s="2131"/>
      <c r="J296" s="413"/>
      <c r="K296" s="1592"/>
      <c r="L296"/>
      <c r="M296"/>
      <c r="N296" s="1110">
        <v>1</v>
      </c>
    </row>
    <row r="297" spans="1:14">
      <c r="A297" s="4"/>
      <c r="B297" s="4" t="s">
        <v>458</v>
      </c>
      <c r="C297" s="4"/>
      <c r="D297" s="4"/>
      <c r="E297" s="4"/>
      <c r="F297" s="4"/>
      <c r="G297" s="4"/>
      <c r="H297" s="4"/>
      <c r="I297" s="4"/>
      <c r="J297" s="413"/>
      <c r="K297" s="1592"/>
      <c r="M297"/>
      <c r="N297"/>
    </row>
    <row r="298" spans="1:14" ht="10.4" customHeight="1">
      <c r="A298" s="4"/>
      <c r="B298" s="4"/>
      <c r="C298" s="4"/>
      <c r="D298" s="4"/>
      <c r="E298" s="4"/>
      <c r="F298" s="4"/>
      <c r="G298" s="4"/>
      <c r="H298" s="4"/>
      <c r="I298" s="4"/>
      <c r="J298" s="413"/>
      <c r="K298" s="1592"/>
      <c r="M298"/>
      <c r="N298"/>
    </row>
    <row r="299" spans="1:14" ht="14.5" customHeight="1">
      <c r="A299" s="177" t="str" cm="1">
        <f t="array" ref="A299">IF(N299=0,"",CHAR(CODE(LOOKUP(2,1/(COUNTIF(A$3:A298,"&gt;"&amp;A$3:A298&amp;"*")=0),A$3:A298))+1))</f>
        <v>d</v>
      </c>
      <c r="B299" s="2131" t="s">
        <v>1005</v>
      </c>
      <c r="C299" s="2131"/>
      <c r="D299" s="2131"/>
      <c r="E299" s="2131"/>
      <c r="F299" s="2131"/>
      <c r="G299" s="2131"/>
      <c r="H299" s="2131"/>
      <c r="I299" s="2131"/>
      <c r="J299" s="646"/>
      <c r="K299" s="1592"/>
      <c r="L299"/>
      <c r="M299"/>
      <c r="N299" s="1110">
        <v>1</v>
      </c>
    </row>
    <row r="300" spans="1:14" ht="10.4" customHeight="1">
      <c r="A300" s="674"/>
      <c r="B300" s="649"/>
      <c r="C300" s="649"/>
      <c r="D300" s="649"/>
      <c r="E300" s="649"/>
      <c r="F300" s="649"/>
      <c r="G300" s="649"/>
      <c r="H300" s="649"/>
      <c r="I300" s="649"/>
      <c r="J300" s="646"/>
      <c r="K300" s="1592"/>
      <c r="L300" s="42"/>
      <c r="M300" s="647"/>
      <c r="N300" s="648"/>
    </row>
    <row r="301" spans="1:14" ht="14.5" customHeight="1">
      <c r="A301" s="4"/>
      <c r="B301" s="175">
        <f>IF($N$301=0,"",1)</f>
        <v>1</v>
      </c>
      <c r="C301" s="875"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combined Eligible SAIL and HOME-ARP Request Amounts.</v>
      </c>
      <c r="D301" s="875"/>
      <c r="E301" s="875"/>
      <c r="F301" s="875"/>
      <c r="G301" s="875"/>
      <c r="H301" s="875"/>
      <c r="I301" s="875"/>
      <c r="J301" s="646"/>
      <c r="K301" s="1592"/>
      <c r="L301"/>
      <c r="M301"/>
      <c r="N301" s="1110">
        <v>1</v>
      </c>
    </row>
    <row r="302" spans="1:14" ht="10.4" customHeight="1">
      <c r="A302" s="4"/>
      <c r="B302" s="4"/>
      <c r="C302" s="4"/>
      <c r="D302" s="4"/>
      <c r="E302" s="4"/>
      <c r="F302" s="4"/>
      <c r="G302" s="4"/>
      <c r="H302" s="4"/>
      <c r="I302" s="4"/>
      <c r="J302" s="646"/>
      <c r="K302" s="1592"/>
      <c r="M302" s="4"/>
    </row>
    <row r="303" spans="1:14" ht="106.5" customHeight="1">
      <c r="A303" s="4"/>
      <c r="B303" s="4"/>
      <c r="C303" s="2114"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combined Eligible SAIL and HOME-ARP Request Amounts; and (ii) the qualified funding proposals demonstrate Cash Funding for an amount that is equal to at least 3 percent of the sum of the Applicant’s combined Eligible SAIL and HOME-ARP Request Amounts, the Applicant will receive preference in the funding selection process.</v>
      </c>
      <c r="D303" s="2114"/>
      <c r="E303" s="2114"/>
      <c r="F303" s="2114"/>
      <c r="G303" s="2114"/>
      <c r="H303" s="2114"/>
      <c r="I303" s="2114"/>
      <c r="J303" s="646"/>
      <c r="K303" s="1592"/>
      <c r="M303" s="4"/>
    </row>
    <row r="304" spans="1:14" ht="10.4" customHeight="1">
      <c r="A304" s="4"/>
      <c r="B304" s="4"/>
      <c r="C304" s="4"/>
      <c r="D304" s="4"/>
      <c r="E304" s="4"/>
      <c r="F304" s="4"/>
      <c r="G304" s="4"/>
      <c r="H304" s="4"/>
      <c r="I304" s="4"/>
      <c r="J304" s="646"/>
      <c r="K304" s="1592"/>
      <c r="M304" s="4"/>
    </row>
    <row r="305" spans="1:14" ht="17.5" customHeight="1">
      <c r="A305" s="4"/>
      <c r="B305" s="4"/>
      <c r="C305" s="668" t="s">
        <v>1006</v>
      </c>
      <c r="D305" s="4"/>
      <c r="E305" s="4"/>
      <c r="F305" s="4"/>
      <c r="G305" s="4"/>
      <c r="H305" s="4"/>
      <c r="I305" s="707">
        <f>IF(SUMIF('Pro Forma'!P320:P344,"Yes",'Pro Forma'!H320:H344)&gt;0,SUMIF('Pro Forma'!P320:P344,"Yes",'Pro Forma'!H320:H344),0)</f>
        <v>0</v>
      </c>
      <c r="J305" s="646"/>
      <c r="K305" s="1592"/>
      <c r="M305" s="4"/>
    </row>
    <row r="306" spans="1:14" ht="17.5" customHeight="1">
      <c r="A306" s="4"/>
      <c r="B306" s="4"/>
      <c r="C306" s="668"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combined Eligible SAIL and HOME-ARP Request Amounts:</v>
      </c>
      <c r="D306" s="4"/>
      <c r="E306" s="4"/>
      <c r="F306" s="4"/>
      <c r="G306" s="4"/>
      <c r="H306" s="4"/>
      <c r="I306" s="676">
        <f>DS_Qualifying_FAFP_Percent*CHOOSE(DS_Qualifying_FAFP_Basis_Code+1,0,SAIL_Request_Amount,SAIL_Request_Amount+Grant_Request_Amount,Grant_Request_Amount,HOME_ARP_Request_Amount,SAIL_Request_Amount+HOME_ARP_Request_Amount,Grant_Request_Amount)</f>
        <v>0</v>
      </c>
      <c r="J306" s="646"/>
      <c r="K306" s="1592"/>
      <c r="M306" s="4"/>
    </row>
    <row r="307" spans="1:14" ht="17.5" customHeight="1">
      <c r="A307" s="4"/>
      <c r="B307" s="4"/>
      <c r="C307" s="668" t="s">
        <v>1008</v>
      </c>
      <c r="D307" s="4"/>
      <c r="E307" s="4"/>
      <c r="F307" s="4"/>
      <c r="G307" s="4"/>
      <c r="H307" s="4"/>
      <c r="I307" s="677" t="str">
        <f>IF(VALUE(I306)=0,"TBD",IF(VALUE(I305)&gt;=VALUE(I306),"Yes","No"))</f>
        <v>TBD</v>
      </c>
      <c r="J307" s="1527"/>
      <c r="K307" s="1527"/>
      <c r="M307" s="4"/>
    </row>
    <row r="308" spans="1:14" ht="10.4" customHeight="1">
      <c r="A308" s="4"/>
      <c r="B308" s="4"/>
      <c r="C308" s="4"/>
      <c r="D308" s="4"/>
      <c r="E308" s="4"/>
      <c r="F308" s="4"/>
      <c r="G308" s="4"/>
      <c r="H308" s="4"/>
      <c r="I308" s="4"/>
      <c r="J308" s="646"/>
      <c r="K308" s="1592"/>
      <c r="M308" s="4"/>
    </row>
    <row r="309" spans="1:14" ht="14.5" customHeight="1">
      <c r="A309" s="4"/>
      <c r="B309" s="678">
        <f>IF($L$311=0,"",MAX(B$301:B308)+1)</f>
        <v>2</v>
      </c>
      <c r="C309" s="4" t="s">
        <v>1498</v>
      </c>
      <c r="D309" s="4"/>
      <c r="E309" s="4"/>
      <c r="F309" s="4"/>
      <c r="G309" s="4"/>
      <c r="H309" s="4"/>
      <c r="I309" s="4"/>
      <c r="J309" s="667"/>
      <c r="K309" s="1592"/>
    </row>
    <row r="310" spans="1:14" ht="10.4" customHeight="1">
      <c r="A310" s="4"/>
      <c r="B310" s="4"/>
      <c r="C310" s="4"/>
      <c r="D310" s="4"/>
      <c r="E310" s="4"/>
      <c r="F310" s="4"/>
      <c r="G310" s="4"/>
      <c r="H310" s="4"/>
      <c r="I310" s="4"/>
      <c r="J310" s="667"/>
      <c r="K310" s="1592"/>
      <c r="M310" s="4"/>
    </row>
    <row r="311" spans="1:14" ht="30" customHeight="1">
      <c r="A311" s="4"/>
      <c r="B311" s="4"/>
      <c r="C311" s="2111" t="s">
        <v>1009</v>
      </c>
      <c r="D311" s="2111"/>
      <c r="E311" s="2111"/>
      <c r="F311" s="2111"/>
      <c r="G311" s="2111"/>
      <c r="H311" s="2111"/>
      <c r="I311" s="679" t="s">
        <v>190</v>
      </c>
      <c r="J311" s="667"/>
      <c r="K311" s="1592"/>
      <c r="L311" s="403">
        <v>1</v>
      </c>
      <c r="M311" s="606">
        <f>IF(AND(L311&lt;&gt;0,AND(D309&lt;&gt;"&lt;select from menu&gt;",D309&lt;&gt;"")),L311,0)</f>
        <v>0</v>
      </c>
      <c r="N311" s="667" t="str">
        <f>CHOOSE(L311+1,"Not to be included in this RFA","A REQUIRED RFA item","An OPTIONAL input field for this RFA")</f>
        <v>A REQUIRED RFA item</v>
      </c>
    </row>
    <row r="312" spans="1:14" ht="10.4" customHeight="1">
      <c r="A312" s="4"/>
      <c r="B312" s="4"/>
      <c r="C312" s="4"/>
      <c r="D312" s="4"/>
      <c r="E312" s="4"/>
      <c r="F312" s="4"/>
      <c r="G312" s="4"/>
      <c r="H312" s="4"/>
      <c r="I312" s="4"/>
      <c r="J312" s="646"/>
      <c r="K312" s="1592"/>
      <c r="M312" s="4"/>
    </row>
    <row r="313" spans="1:14" ht="17.5" customHeight="1">
      <c r="A313" s="4"/>
      <c r="B313" s="4"/>
      <c r="C313" s="4" t="s">
        <v>1828</v>
      </c>
      <c r="D313" s="4"/>
      <c r="E313" s="4"/>
      <c r="F313" s="4"/>
      <c r="G313" s="4"/>
      <c r="H313" s="4"/>
      <c r="I313" s="1602" t="str">
        <f>IF(OR(DonationOfLand="&lt;select from menu&gt;",DonationOfLand="No"),IF(Total_Cash_Funding_Met="Yes","Yes",IF(Total_Cash_Funding_Met="TBD","TBD","No")),DonationOfLand)</f>
        <v>TBD</v>
      </c>
      <c r="J313" s="1631"/>
      <c r="K313" s="1631"/>
      <c r="M313" s="4"/>
    </row>
    <row r="314" spans="1:14" ht="10.4" customHeight="1">
      <c r="A314" s="4"/>
      <c r="B314" s="4"/>
      <c r="C314" s="4"/>
      <c r="D314" s="4"/>
      <c r="E314" s="4"/>
      <c r="F314" s="4"/>
      <c r="G314" s="4"/>
      <c r="H314" s="4"/>
      <c r="I314" s="4"/>
      <c r="J314" s="1631"/>
      <c r="K314" s="1631"/>
      <c r="M314" s="4"/>
    </row>
    <row r="315" spans="1:14" hidden="1">
      <c r="A315" s="177" t="str" cm="1">
        <f t="array" ref="A315">IF(N315=0,"",CHAR(CODE(LOOKUP(2,1/(COUNTIF(A$3:A312,"&gt;"&amp;A$3:A312&amp;"*")=0),A$3:A312))+1))</f>
        <v/>
      </c>
      <c r="B315" s="2144" t="s">
        <v>426</v>
      </c>
      <c r="C315" s="2144"/>
      <c r="D315" s="2144"/>
      <c r="E315" s="2144"/>
      <c r="F315" s="2144"/>
      <c r="G315" s="2144"/>
      <c r="H315" s="2144"/>
      <c r="I315" s="2144"/>
      <c r="J315" s="413"/>
      <c r="K315" s="1592"/>
      <c r="L315"/>
      <c r="M315"/>
      <c r="N315" s="1110">
        <v>0</v>
      </c>
    </row>
    <row r="316" spans="1:14" ht="10.4" hidden="1" customHeight="1">
      <c r="A316" s="681"/>
      <c r="B316" s="682"/>
      <c r="C316" s="682"/>
      <c r="D316" s="682"/>
      <c r="E316" s="682"/>
      <c r="F316" s="682"/>
      <c r="G316" s="682"/>
      <c r="H316" s="682"/>
      <c r="I316" s="669"/>
      <c r="J316" s="667"/>
      <c r="K316" s="1592"/>
      <c r="L316" s="1021"/>
      <c r="M316" s="670"/>
      <c r="N316" s="671"/>
    </row>
    <row r="317" spans="1:14" ht="17.5" hidden="1" customHeight="1">
      <c r="A317" s="4"/>
      <c r="B317" s="6" t="s">
        <v>427</v>
      </c>
      <c r="C317" s="6"/>
      <c r="D317" s="4"/>
      <c r="E317" s="4"/>
      <c r="F317" s="4"/>
      <c r="G317" s="4"/>
      <c r="H317" s="4"/>
      <c r="I317" s="1686" t="str">
        <f>IF(N315=0,"",IF(AND(Total_Corp_Funding_PSAU=0,Development_Category="&lt;select one&gt;"),"TBD",IF(OR(Development_Category="New Construction",Development_Category="Redevelopment",Development_Category="Acquisition and Redevelopment",AND(OR(Development_Category="Rehabilitation",Development_Category="Acquisition and Rehabilitation"),IF(N(Total_Units)=0,FALSE,N(Actual_Constructioncost_total)/N(Total_Units)&gt;=Data1!$F$587))),"Yes",IF(Development_Category="&lt;select one&gt;","Dev. Category? (§4.A.4.a.)",IF(Total_Units=0,"Total Units? (§4.A.6.a.)","No")))))</f>
        <v/>
      </c>
      <c r="J317" s="413"/>
      <c r="K317" s="1592"/>
    </row>
    <row r="318" spans="1:14" ht="10.4" hidden="1" customHeight="1">
      <c r="A318" s="4"/>
      <c r="B318" s="4"/>
      <c r="C318" s="4"/>
      <c r="D318" s="4"/>
      <c r="E318" s="4"/>
      <c r="F318" s="4"/>
      <c r="G318" s="4"/>
      <c r="H318" s="4"/>
      <c r="I318" s="4"/>
      <c r="J318" s="413"/>
      <c r="K318" s="1592"/>
    </row>
    <row r="319" spans="1:14" ht="10.4" hidden="1" customHeight="1">
      <c r="A319" s="4"/>
      <c r="B319" s="4"/>
      <c r="C319" s="4"/>
      <c r="D319" s="4"/>
      <c r="E319" s="4"/>
      <c r="F319" s="4"/>
      <c r="G319" s="4"/>
      <c r="H319" s="4"/>
      <c r="I319" s="4"/>
      <c r="J319" s="1669"/>
      <c r="K319" s="1669"/>
    </row>
    <row r="320" spans="1:14" ht="10.4" hidden="1" customHeight="1">
      <c r="A320" s="4"/>
      <c r="B320" s="4"/>
      <c r="C320" s="4"/>
      <c r="D320" s="4"/>
      <c r="E320" s="4"/>
      <c r="F320" s="4"/>
      <c r="G320" s="4"/>
      <c r="H320" s="4"/>
      <c r="I320" s="4"/>
      <c r="J320" s="1669"/>
      <c r="K320" s="1669"/>
    </row>
    <row r="321" spans="1:11" ht="10.4" hidden="1" customHeight="1">
      <c r="A321" s="4"/>
      <c r="B321" s="4"/>
      <c r="C321" s="4"/>
      <c r="D321" s="4"/>
      <c r="E321" s="4"/>
      <c r="F321" s="4"/>
      <c r="G321" s="4"/>
      <c r="H321" s="4"/>
      <c r="I321" s="4"/>
      <c r="J321" s="1669"/>
      <c r="K321" s="1669"/>
    </row>
    <row r="322" spans="1:11" ht="10.4" hidden="1" customHeight="1">
      <c r="A322" s="4"/>
      <c r="B322" s="4"/>
      <c r="C322" s="4"/>
      <c r="D322" s="4"/>
      <c r="E322" s="4"/>
      <c r="F322" s="4"/>
      <c r="G322" s="4"/>
      <c r="H322" s="4"/>
      <c r="I322" s="4"/>
      <c r="J322" s="1669"/>
      <c r="K322" s="1669"/>
    </row>
    <row r="323" spans="1:11" ht="10.4" hidden="1" customHeight="1">
      <c r="A323" s="4"/>
      <c r="B323" s="4"/>
      <c r="C323" s="4"/>
      <c r="D323" s="4"/>
      <c r="E323" s="4"/>
      <c r="F323" s="4"/>
      <c r="G323" s="4"/>
      <c r="H323" s="4"/>
      <c r="I323" s="4"/>
      <c r="J323" s="1669"/>
      <c r="K323" s="1669"/>
    </row>
    <row r="324" spans="1:11" ht="10.4" hidden="1" customHeight="1">
      <c r="A324" s="4"/>
      <c r="B324" s="4"/>
      <c r="C324" s="4"/>
      <c r="D324" s="4"/>
      <c r="E324" s="4"/>
      <c r="F324" s="4"/>
      <c r="G324" s="4"/>
      <c r="H324" s="4"/>
      <c r="I324" s="4"/>
      <c r="J324" s="1669"/>
      <c r="K324" s="1669"/>
    </row>
    <row r="325" spans="1:11" ht="10.4" hidden="1" customHeight="1">
      <c r="A325" s="4"/>
      <c r="B325" s="4"/>
      <c r="C325" s="4"/>
      <c r="D325" s="4"/>
      <c r="E325" s="4"/>
      <c r="F325" s="4"/>
      <c r="G325" s="4"/>
      <c r="H325" s="4"/>
      <c r="I325" s="4"/>
      <c r="J325" s="1669"/>
      <c r="K325" s="1669"/>
    </row>
    <row r="326" spans="1:11" ht="10.4" hidden="1" customHeight="1">
      <c r="A326" s="4"/>
      <c r="B326" s="4"/>
      <c r="C326" s="4"/>
      <c r="D326" s="4"/>
      <c r="E326" s="4"/>
      <c r="F326" s="4"/>
      <c r="G326" s="4"/>
      <c r="H326" s="4"/>
      <c r="I326" s="4"/>
      <c r="J326" s="1669"/>
      <c r="K326" s="1669"/>
    </row>
    <row r="327" spans="1:11" ht="10.4" hidden="1" customHeight="1">
      <c r="A327" s="4"/>
      <c r="B327" s="4"/>
      <c r="C327" s="4"/>
      <c r="D327" s="4"/>
      <c r="E327" s="4"/>
      <c r="F327" s="4"/>
      <c r="G327" s="4"/>
      <c r="H327" s="4"/>
      <c r="I327" s="4"/>
      <c r="J327" s="1669"/>
      <c r="K327" s="1669"/>
    </row>
    <row r="328" spans="1:11" ht="10.4" hidden="1" customHeight="1">
      <c r="A328" s="4"/>
      <c r="B328" s="4"/>
      <c r="C328" s="4"/>
      <c r="D328" s="4"/>
      <c r="E328" s="4"/>
      <c r="F328" s="4"/>
      <c r="G328" s="4"/>
      <c r="H328" s="4"/>
      <c r="I328" s="4"/>
      <c r="J328" s="1669"/>
      <c r="K328" s="1669"/>
    </row>
    <row r="329" spans="1:11" ht="10.4" hidden="1" customHeight="1">
      <c r="A329" s="4"/>
      <c r="B329" s="4"/>
      <c r="C329" s="4"/>
      <c r="D329" s="4"/>
      <c r="E329" s="4"/>
      <c r="F329" s="4"/>
      <c r="G329" s="4"/>
      <c r="H329" s="4"/>
      <c r="I329" s="4"/>
      <c r="J329" s="1669"/>
      <c r="K329" s="1669"/>
    </row>
    <row r="330" spans="1:11" ht="10.4" hidden="1" customHeight="1">
      <c r="A330" s="4"/>
      <c r="B330" s="4"/>
      <c r="C330" s="4"/>
      <c r="D330" s="4"/>
      <c r="E330" s="4"/>
      <c r="F330" s="4"/>
      <c r="G330" s="4"/>
      <c r="H330" s="4"/>
      <c r="I330" s="4"/>
      <c r="J330" s="1669"/>
      <c r="K330" s="1669"/>
    </row>
    <row r="331" spans="1:11" ht="10.4" hidden="1" customHeight="1">
      <c r="A331" s="4"/>
      <c r="B331" s="4"/>
      <c r="C331" s="4"/>
      <c r="D331" s="4"/>
      <c r="E331" s="4"/>
      <c r="F331" s="4"/>
      <c r="G331" s="4"/>
      <c r="H331" s="4"/>
      <c r="I331" s="4"/>
      <c r="J331" s="1669"/>
      <c r="K331" s="1669"/>
    </row>
    <row r="332" spans="1:11" ht="10.4" hidden="1" customHeight="1">
      <c r="A332" s="4"/>
      <c r="B332" s="4"/>
      <c r="C332" s="4"/>
      <c r="D332" s="4"/>
      <c r="E332" s="4"/>
      <c r="F332" s="4"/>
      <c r="G332" s="4"/>
      <c r="H332" s="4"/>
      <c r="I332" s="4"/>
      <c r="J332" s="1669"/>
      <c r="K332" s="1669"/>
    </row>
    <row r="333" spans="1:11" ht="10.4" hidden="1" customHeight="1">
      <c r="A333" s="4"/>
      <c r="B333" s="4"/>
      <c r="C333" s="4"/>
      <c r="D333" s="4"/>
      <c r="E333" s="4"/>
      <c r="F333" s="4"/>
      <c r="G333" s="4"/>
      <c r="H333" s="4"/>
      <c r="I333" s="4"/>
      <c r="J333" s="1669"/>
      <c r="K333" s="1669"/>
    </row>
    <row r="334" spans="1:11" ht="10.4" hidden="1" customHeight="1">
      <c r="A334" s="4"/>
      <c r="B334" s="4"/>
      <c r="C334" s="4"/>
      <c r="D334" s="4"/>
      <c r="E334" s="4"/>
      <c r="F334" s="4"/>
      <c r="G334" s="4"/>
      <c r="H334" s="4"/>
      <c r="I334" s="4"/>
      <c r="J334" s="1669"/>
      <c r="K334" s="1669"/>
    </row>
    <row r="335" spans="1:11" ht="10.4" hidden="1" customHeight="1">
      <c r="A335" s="4"/>
      <c r="B335" s="4"/>
      <c r="C335" s="4"/>
      <c r="D335" s="4"/>
      <c r="E335" s="4"/>
      <c r="F335" s="4"/>
      <c r="G335" s="4"/>
      <c r="H335" s="4"/>
      <c r="I335" s="4"/>
      <c r="J335" s="1669"/>
      <c r="K335" s="1669"/>
    </row>
    <row r="336" spans="1:11" ht="10.4" hidden="1" customHeight="1">
      <c r="A336" s="4"/>
      <c r="B336" s="4"/>
      <c r="C336" s="4"/>
      <c r="D336" s="4"/>
      <c r="E336" s="4"/>
      <c r="F336" s="4"/>
      <c r="G336" s="4"/>
      <c r="H336" s="4"/>
      <c r="I336" s="4"/>
      <c r="J336" s="1669"/>
      <c r="K336" s="1669"/>
    </row>
    <row r="337" spans="1:14" ht="10.4" hidden="1" customHeight="1">
      <c r="A337" s="4"/>
      <c r="B337" s="4"/>
      <c r="C337" s="4"/>
      <c r="D337" s="4"/>
      <c r="E337" s="4"/>
      <c r="F337" s="4"/>
      <c r="G337" s="4"/>
      <c r="H337" s="4"/>
      <c r="I337" s="4"/>
      <c r="J337" s="1669"/>
      <c r="K337" s="1669"/>
    </row>
    <row r="338" spans="1:14" ht="10.4" hidden="1" customHeight="1">
      <c r="A338" s="4"/>
      <c r="B338" s="4"/>
      <c r="C338" s="4"/>
      <c r="D338" s="4"/>
      <c r="E338" s="4"/>
      <c r="F338" s="4"/>
      <c r="G338" s="4"/>
      <c r="H338" s="4"/>
      <c r="I338" s="4"/>
      <c r="J338" s="1669"/>
      <c r="K338" s="1669"/>
    </row>
    <row r="339" spans="1:14" ht="10.4" hidden="1" customHeight="1">
      <c r="A339" s="4"/>
      <c r="B339" s="4"/>
      <c r="C339" s="4"/>
      <c r="D339" s="4"/>
      <c r="E339" s="4"/>
      <c r="F339" s="4"/>
      <c r="G339" s="4"/>
      <c r="H339" s="4"/>
      <c r="I339" s="4"/>
      <c r="J339" s="1669"/>
      <c r="K339" s="1669"/>
    </row>
    <row r="340" spans="1:14" ht="10.4" hidden="1" customHeight="1">
      <c r="A340" s="4"/>
      <c r="B340" s="4"/>
      <c r="C340" s="4"/>
      <c r="D340" s="4"/>
      <c r="E340" s="4"/>
      <c r="F340" s="4"/>
      <c r="G340" s="4"/>
      <c r="H340" s="4"/>
      <c r="I340" s="4"/>
      <c r="J340" s="1669"/>
      <c r="K340" s="1669"/>
    </row>
    <row r="341" spans="1:14" ht="10.4" hidden="1" customHeight="1">
      <c r="A341" s="4"/>
      <c r="B341" s="4"/>
      <c r="C341" s="4"/>
      <c r="D341" s="4"/>
      <c r="E341" s="4"/>
      <c r="F341" s="4"/>
      <c r="G341" s="4"/>
      <c r="H341" s="4"/>
      <c r="I341" s="4"/>
      <c r="J341" s="1669"/>
      <c r="K341" s="1669"/>
    </row>
    <row r="342" spans="1:14" ht="10.4" hidden="1" customHeight="1">
      <c r="A342" s="4"/>
      <c r="B342" s="4"/>
      <c r="C342" s="4"/>
      <c r="D342" s="4"/>
      <c r="E342" s="4"/>
      <c r="F342" s="4"/>
      <c r="G342" s="4"/>
      <c r="H342" s="4"/>
      <c r="I342" s="4"/>
      <c r="J342" s="1669"/>
      <c r="K342" s="1669"/>
    </row>
    <row r="343" spans="1:14" ht="10.4" hidden="1" customHeight="1">
      <c r="A343" s="4"/>
      <c r="B343" s="4"/>
      <c r="C343" s="4"/>
      <c r="D343" s="4"/>
      <c r="E343" s="4"/>
      <c r="F343" s="4"/>
      <c r="G343" s="4"/>
      <c r="H343" s="4"/>
      <c r="I343" s="4"/>
      <c r="J343" s="1669"/>
      <c r="K343" s="1669"/>
    </row>
    <row r="344" spans="1:14">
      <c r="A344" s="177" t="str" cm="1">
        <f t="array" ref="A344">IF(SUM(L347:L350)=0,"",CHAR(CODE(LOOKUP(2,1/(COUNTIF(A$3:A318,"&gt;"&amp;A$3:A318&amp;"*")=0),A$3:A318))+1))</f>
        <v>e</v>
      </c>
      <c r="B344" s="2131" t="s">
        <v>2142</v>
      </c>
      <c r="C344" s="2131"/>
      <c r="D344" s="2131"/>
      <c r="E344" s="2131"/>
      <c r="F344" s="2131"/>
      <c r="G344" s="2131"/>
      <c r="H344" s="2131"/>
      <c r="I344" s="2131"/>
      <c r="J344" s="413"/>
      <c r="K344" s="1592"/>
    </row>
    <row r="345" spans="1:14" ht="10.4" customHeight="1">
      <c r="A345" s="4"/>
      <c r="B345" s="6"/>
      <c r="C345" s="6"/>
      <c r="D345" s="4"/>
      <c r="E345" s="4"/>
      <c r="F345" s="4"/>
      <c r="G345" s="4"/>
      <c r="H345" s="4"/>
      <c r="I345" s="4"/>
      <c r="J345" s="413"/>
      <c r="K345" s="1592"/>
    </row>
    <row r="346" spans="1:14" ht="65.150000000000006" customHeight="1">
      <c r="A346" s="4"/>
      <c r="B346" s="175">
        <v>1</v>
      </c>
      <c r="C346" s="2134" t="s">
        <v>2140</v>
      </c>
      <c r="D346" s="2134"/>
      <c r="E346" s="2134"/>
      <c r="F346" s="2134"/>
      <c r="G346" s="2134"/>
      <c r="H346" s="2134"/>
      <c r="I346" s="2134"/>
      <c r="J346" s="413"/>
      <c r="K346" s="1592"/>
    </row>
    <row r="347" spans="1:14" ht="17.5" customHeight="1">
      <c r="A347" s="4"/>
      <c r="B347" s="64"/>
      <c r="C347" s="64"/>
      <c r="D347" s="2152" t="s">
        <v>190</v>
      </c>
      <c r="E347" s="2152"/>
      <c r="F347" s="2152"/>
      <c r="G347" s="4"/>
      <c r="H347" s="4"/>
      <c r="I347" s="4"/>
      <c r="J347" s="413"/>
      <c r="K347" s="1592"/>
      <c r="L347" s="569">
        <v>2</v>
      </c>
      <c r="M347" s="467">
        <f>IF(AND(L347&lt;&gt;0,AND(D347&lt;&gt;"&lt;select from menu&gt;",D347&lt;&gt;"")),L347,0)</f>
        <v>0</v>
      </c>
      <c r="N347" s="468" t="str">
        <f>CHOOSE(L347+1,"Not to be included in this RFA","A REQUIRED input field for this RFA","An OPTIONAL input field for this RFA")</f>
        <v>An OPTIONAL input field for this RFA</v>
      </c>
    </row>
    <row r="348" spans="1:14" ht="10.4" customHeight="1">
      <c r="A348" s="4"/>
      <c r="B348" s="64"/>
      <c r="C348" s="64"/>
      <c r="D348" s="4"/>
      <c r="E348" s="91"/>
      <c r="F348" s="91"/>
      <c r="G348" s="4"/>
      <c r="H348" s="4"/>
      <c r="I348" s="4"/>
      <c r="J348" s="413"/>
      <c r="K348" s="1592"/>
    </row>
    <row r="349" spans="1:14" ht="35.15" customHeight="1">
      <c r="A349" s="4"/>
      <c r="B349" s="175">
        <f>MAX(B$346:B348)+1</f>
        <v>2</v>
      </c>
      <c r="C349" s="2118" t="s">
        <v>2143</v>
      </c>
      <c r="D349" s="2118"/>
      <c r="E349" s="2118"/>
      <c r="F349" s="2118"/>
      <c r="G349" s="2118"/>
      <c r="H349" s="2118"/>
      <c r="I349" s="2118"/>
      <c r="J349" s="413"/>
      <c r="K349" s="1592"/>
    </row>
    <row r="350" spans="1:14" ht="17.5" customHeight="1">
      <c r="A350" s="4"/>
      <c r="B350" s="64"/>
      <c r="C350" s="64"/>
      <c r="D350" s="2152" t="s">
        <v>190</v>
      </c>
      <c r="E350" s="2152"/>
      <c r="F350" s="2152"/>
      <c r="I350" s="4"/>
      <c r="J350" s="413"/>
      <c r="K350" s="1592"/>
      <c r="L350" s="569">
        <v>2</v>
      </c>
      <c r="M350" s="467">
        <f>IF(AND(L350&lt;&gt;0,AND(D350&lt;&gt;"&lt;select from menu&gt;",D350&lt;&gt;"")),L350,0)</f>
        <v>0</v>
      </c>
      <c r="N350" s="468" t="str">
        <f>CHOOSE(L350+1,"Not to be included in this RFA","A REQUIRED input field for this RFA","An OPTIONAL input field for this RFA")</f>
        <v>An OPTIONAL input field for this RFA</v>
      </c>
    </row>
    <row r="351" spans="1:14" ht="10.4" customHeight="1">
      <c r="A351" s="4"/>
      <c r="B351" s="4"/>
      <c r="C351" s="4"/>
      <c r="D351" s="4"/>
      <c r="E351" s="4"/>
      <c r="F351" s="4"/>
      <c r="G351" s="4"/>
      <c r="H351" s="4"/>
      <c r="I351" s="4"/>
      <c r="J351" s="413"/>
      <c r="K351" s="1592"/>
    </row>
    <row r="352" spans="1:14" ht="35.15" customHeight="1">
      <c r="A352" s="4"/>
      <c r="B352" s="4"/>
      <c r="C352" s="2134" t="s">
        <v>2132</v>
      </c>
      <c r="D352" s="2134"/>
      <c r="E352" s="2134"/>
      <c r="F352" s="2134"/>
      <c r="G352" s="2134"/>
      <c r="H352" s="2134"/>
      <c r="I352" s="2134"/>
      <c r="J352" s="506"/>
      <c r="K352" s="1592"/>
    </row>
    <row r="353" spans="1:17" ht="17.5" customHeight="1">
      <c r="D353" s="2344"/>
      <c r="E353" s="2344"/>
      <c r="F353" s="2344"/>
      <c r="G353" s="2344"/>
      <c r="H353" s="2344"/>
      <c r="I353" s="2344"/>
      <c r="J353" s="413"/>
      <c r="K353" s="1592"/>
      <c r="L353" s="569">
        <v>2</v>
      </c>
      <c r="M353" s="467">
        <f>IF(AND(L353&lt;&gt;0,D353&lt;&gt;""),L353,0)</f>
        <v>0</v>
      </c>
      <c r="N353" s="468" t="str">
        <f>CHOOSE(L353+1,"Not to be included in this RFA","A REQUIRED input field for this RFA","An OPTIONAL input field for this RFA")</f>
        <v>An OPTIONAL input field for this RFA</v>
      </c>
    </row>
    <row r="354" spans="1:17" ht="10.4" customHeight="1">
      <c r="J354" s="413"/>
      <c r="K354" s="1592"/>
    </row>
    <row r="355" spans="1:17" ht="14.5" hidden="1" customHeight="1">
      <c r="A355" s="680" t="str" cm="1">
        <f t="array" ref="A355">IF(L355=0,"",CHAR(CODE(LOOKUP(2,1/(COUNTIF(A$3:A350,"&gt;"&amp;A$3:A350&amp;"*")=0),A$3:A350))+1))</f>
        <v/>
      </c>
      <c r="B355" s="39" t="s">
        <v>1010</v>
      </c>
      <c r="J355" s="667"/>
      <c r="K355" s="1592"/>
      <c r="L355" s="403">
        <v>0</v>
      </c>
      <c r="M355" s="606">
        <f>IF(AND(L355&lt;&gt;0,D355&lt;&gt;""),L355,0)</f>
        <v>0</v>
      </c>
      <c r="N355" s="667" t="str">
        <f>CHOOSE(L355+1,"Not to be included in this RFA","A REQUIRED input field for this RFA","An OPTIONAL input field for this RFA")</f>
        <v>Not to be included in this RFA</v>
      </c>
    </row>
    <row r="356" spans="1:17" ht="10.4" hidden="1" customHeight="1">
      <c r="J356" s="667"/>
      <c r="K356" s="1592"/>
    </row>
    <row r="357" spans="1:17" ht="17.5" hidden="1" customHeight="1">
      <c r="B357" s="14" t="s">
        <v>1011</v>
      </c>
      <c r="C357"/>
      <c r="I357" s="679" t="s">
        <v>190</v>
      </c>
      <c r="J357" s="667"/>
      <c r="K357" s="1592"/>
    </row>
    <row r="358" spans="1:17" ht="10.4" hidden="1" customHeight="1">
      <c r="J358" s="667"/>
      <c r="K358" s="1592"/>
    </row>
    <row r="359" spans="1:17" hidden="1">
      <c r="A359" s="177" t="str" cm="1">
        <f t="array" ref="A359">IF(N359=0,"",CHAR(CODE(LOOKUP(2,1/(COUNTIF(A$3:A358,"&gt;"&amp;A$3:A358&amp;"*")=0),A$3:A358))+1))</f>
        <v/>
      </c>
      <c r="B359" s="169" t="s">
        <v>869</v>
      </c>
      <c r="C359" s="169"/>
      <c r="D359" s="169"/>
      <c r="E359" s="169"/>
      <c r="F359" s="71"/>
      <c r="G359" s="71"/>
      <c r="H359" s="71"/>
      <c r="I359" s="1143"/>
      <c r="M359" s="577"/>
      <c r="N359" s="1110">
        <v>0</v>
      </c>
    </row>
    <row r="360" spans="1:17" ht="17.5" hidden="1" customHeight="1">
      <c r="B360" s="2343" t="str">
        <f>IF(O384&gt;0,"The Request Amount"&amp;IF(O384&gt;1,"s","")&amp;" for the "&amp;IF(O363&gt;0,"Competitive Housing Credit","")&amp;IF(AND(O363=1,O384&gt;1,SUM(O364:O$382)&gt;1,SUM(O$363:O363)&gt;0),", ",IF(AND(O363=1,O384&gt;1,SUM(O364:O$382)=1,SUM(O$363:O363)&gt;0)," and ",""))&amp;IF(O366&gt;0,"Workforce","")&amp;IF(AND(O366=1,O384&gt;1,SUM(O367:O$382)&gt;1,SUM(O$363:O366)&gt;0),", ",IF(AND(O366=1,O384&gt;1,SUM(O367:O$382)=1,SUM(O$363:O366)&gt;0)," and ",""))&amp;IF(O370&gt;0,"SAIL","")&amp;IF(AND(O370=1,O384&gt;1,SUM(O371:O$382)&gt;1,SUM(O$363:O370)&gt;0),", ",IF(AND(O370=1,O384&gt;1,SUM(O371:O$382)=1,SUM(O$363:O370)&gt;0)," and ",""))&amp;IF(O374&gt;0,"HOME","")&amp;IF(AND(O374=1,O384&gt;1,SUM(O375:O$382)&gt;1,SUM(O$363:O374)&gt;0),", ",IF(AND(O374=1,O384&gt;1,SUM(O375:O$382)=1,SUM(O$363:O374)&gt;0)," and ",""))&amp;IF(O378&gt;0,"HOME-ARP","")&amp;IF(AND(O378=1,O384&gt;1,SUM(O379:O$382)&gt;1,SUM(O$363:O378)&gt;0),", ",IF(AND(O378=1,O384&gt;1,SUM(O379:O$382)=1,SUM(O$363:O378)&gt;0)," and ",""))&amp;IF(O380&gt;0,"Grant","")&amp;IF(AND(O380=1,O384&gt;1,SUM(O381:O$382)&gt;1,SUM(O$363:O380)&gt;0),", ",IF(AND(O380=1,O384&gt;1,SUM(O381:O$382)=1,SUM(O$363:O380)&gt;0),", ",""))&amp;IF(O382&gt;0,"NHTF","")&amp;" source"&amp;IF(O384&gt;1,"s","")&amp;" ha"&amp;IF(O384&gt;1,"ve","s")&amp;" been reduced to the maximum eligible amount"&amp;IF(SUM(O363:O382)&gt;1,"s","")&amp;".","")</f>
        <v/>
      </c>
      <c r="C360" s="2343"/>
      <c r="D360" s="2343"/>
      <c r="E360" s="2343"/>
      <c r="F360" s="2343"/>
      <c r="G360" s="2343"/>
      <c r="H360" s="2343"/>
      <c r="I360" s="2343"/>
    </row>
    <row r="361" spans="1:17" ht="30" hidden="1" customHeight="1">
      <c r="B361" s="2211" t="s">
        <v>870</v>
      </c>
      <c r="C361" s="2211"/>
      <c r="D361" s="2211"/>
      <c r="E361" s="2211"/>
      <c r="F361" s="2211"/>
      <c r="G361" s="2211"/>
      <c r="H361" s="2211"/>
      <c r="I361" s="2211"/>
    </row>
    <row r="362" spans="1:17" ht="10.4" hidden="1" customHeight="1"/>
    <row r="363" spans="1:17" ht="17.5" hidden="1" customHeight="1">
      <c r="B363" s="564" t="str">
        <f>IF($N$363=0,"",1)</f>
        <v/>
      </c>
      <c r="C363" s="596" t="s">
        <v>893</v>
      </c>
      <c r="D363" s="4"/>
      <c r="E363" s="4"/>
      <c r="F363" s="4"/>
      <c r="G363" s="4"/>
      <c r="H363" s="4"/>
      <c r="I363" s="558">
        <f>IF(N363=0,0,1)*MIN(N(Competitive_HC_Request_Amount),Max_Competitive_HC)</f>
        <v>0</v>
      </c>
      <c r="N363" s="1110">
        <v>0</v>
      </c>
      <c r="O363" s="165">
        <f>IF(N363=0,0,IF(MIN(N(Competitive_HC_Request_Amount),Max_Competitive_HC)&lt;N(Competitive_HC_Request_Amount),1,0))</f>
        <v>0</v>
      </c>
      <c r="P363" s="606"/>
      <c r="Q363" s="595"/>
    </row>
    <row r="364" spans="1:17" ht="17.5" hidden="1" customHeight="1">
      <c r="B364" s="14"/>
      <c r="C364" s="604" t="str">
        <f>"The Eligible Housing Credit Request Amount is multiplied by "&amp;TEXT(IF($N364=0,1,DS_Lev_MP_HC),"0.0")</f>
        <v>The Eligible Housing Credit Request Amount is multiplied by 9.0</v>
      </c>
      <c r="D364" s="605"/>
      <c r="E364" s="605"/>
      <c r="F364" s="605"/>
      <c r="G364" s="605"/>
      <c r="H364" s="605"/>
      <c r="I364" s="601">
        <f>I363*IF($N364=0,1,DS_Lev_MP_HC)</f>
        <v>0</v>
      </c>
      <c r="N364" s="1110">
        <v>1</v>
      </c>
      <c r="O364"/>
      <c r="P364" s="606"/>
      <c r="Q364" s="595"/>
    </row>
    <row r="365" spans="1:17" ht="10.4" hidden="1" customHeight="1">
      <c r="B365" s="14"/>
      <c r="C365" s="14"/>
      <c r="I365" s="601"/>
      <c r="N365" s="595"/>
      <c r="O365"/>
      <c r="P365" s="606"/>
      <c r="Q365" s="595"/>
    </row>
    <row r="366" spans="1:17" ht="17.5" hidden="1" customHeight="1">
      <c r="B366" s="1116" t="str">
        <f>IF($N366=0,"",MAX(B$363:B365)+1)</f>
        <v/>
      </c>
      <c r="C366" s="600" t="s">
        <v>1278</v>
      </c>
      <c r="I366" s="559">
        <f>IF(N366=0,0,1)*MIN(N(Workforce_Request_Amount),Max_Workforce)</f>
        <v>0</v>
      </c>
      <c r="N366" s="1110">
        <v>0</v>
      </c>
      <c r="O366" s="165">
        <f>IF(N366=0,0,IF(MIN(N(Workforce_Request_Amount),Max_Workforce)&lt;N(Workforce_Request_Amount),1,0))</f>
        <v>0</v>
      </c>
      <c r="P366" s="606"/>
      <c r="Q366" s="1111"/>
    </row>
    <row r="367" spans="1:17" ht="17.5" hidden="1" customHeight="1">
      <c r="B367" s="14"/>
      <c r="C367" s="602" t="s">
        <v>895</v>
      </c>
      <c r="D367" s="849"/>
      <c r="E367" s="849"/>
      <c r="F367" s="849"/>
      <c r="G367" s="849"/>
      <c r="H367" s="849"/>
      <c r="I367" s="1119" t="str">
        <f>IF(OR(AND($L$195&lt;&gt;0,Multiphase_subsequent="Yes"),AND($L$200&lt;&gt;0,Small_Area_DDA="Yes"),AND($L$208&lt;&gt;0,DDA_nonmetro="Yes"),AND($L$213&lt;&gt;0,QCT="Yes"),AND($L$222&lt;&gt;0,Geo_Area_of_Opp_boost="Yes"),AND($L$236&lt;&gt;0,E$236="Yes"),AND($L$239&lt;&gt;0,E$239="Yes")),"Yes",IF($N$367=0,"NA","No"))</f>
        <v>No</v>
      </c>
      <c r="N367" s="1110">
        <v>1</v>
      </c>
      <c r="O367"/>
      <c r="P367" s="606"/>
      <c r="Q367" s="1111"/>
    </row>
    <row r="368" spans="1:17" ht="17.5" hidden="1" customHeight="1">
      <c r="B368" s="14"/>
      <c r="C368" s="693" t="str">
        <f>"If the proposed Development qualifies for a Housing Credit basis boost, multiply by "&amp;TEXT(IF($N367=0,1,DS_Lev_MP_Loan),"0.00")</f>
        <v>If the proposed Development qualifies for a Housing Credit basis boost, multiply by 1.15</v>
      </c>
      <c r="D368" s="685"/>
      <c r="E368" s="685"/>
      <c r="F368" s="685"/>
      <c r="G368" s="685"/>
      <c r="H368" s="685"/>
      <c r="I368" s="1117">
        <f>I366*IF(I367="Yes",IF($N367=0,1,DS_Lev_MP_Loan),1)</f>
        <v>0</v>
      </c>
      <c r="N368" s="1111"/>
      <c r="O368"/>
      <c r="P368" s="606"/>
      <c r="Q368" s="1111"/>
    </row>
    <row r="369" spans="2:17" ht="10.4" hidden="1" customHeight="1">
      <c r="B369" s="14"/>
      <c r="C369" s="14"/>
      <c r="I369" s="559"/>
      <c r="N369" s="1111"/>
      <c r="O369"/>
      <c r="P369" s="606"/>
      <c r="Q369" s="1111"/>
    </row>
    <row r="370" spans="2:17" ht="17.5" hidden="1" customHeight="1">
      <c r="B370" s="564">
        <f>IF($N370=0,"",MAX(B$363:B369)+1)</f>
        <v>1</v>
      </c>
      <c r="C370" s="600" t="s">
        <v>894</v>
      </c>
      <c r="D370" s="483"/>
      <c r="E370" s="483"/>
      <c r="F370" s="483"/>
      <c r="G370" s="483"/>
      <c r="H370" s="483"/>
      <c r="I370" s="1120">
        <f>IF(N370=0,0,1)*MIN(N(SAIL_Request_Amount),Max_SAIL)</f>
        <v>0</v>
      </c>
      <c r="N370" s="1110">
        <v>1</v>
      </c>
      <c r="O370" s="165">
        <f>IF(N370=0,0,IF(MIN(N(SAIL_Request_Amount),Max_SAIL)&lt;N(SAIL_Request_Amount),1,0))</f>
        <v>0</v>
      </c>
      <c r="P370" s="606"/>
      <c r="Q370" s="595"/>
    </row>
    <row r="371" spans="2:17" ht="17.5" hidden="1" customHeight="1">
      <c r="B371" s="564"/>
      <c r="C371" s="109" t="s">
        <v>895</v>
      </c>
      <c r="D371" s="4"/>
      <c r="E371" s="4"/>
      <c r="F371" s="4"/>
      <c r="G371" s="4"/>
      <c r="H371" s="4"/>
      <c r="I371" s="1118" t="str">
        <f>IF(OR(AND($L$195&lt;&gt;0,Multiphase_subsequent="Yes"),AND($L$200&lt;&gt;0,Small_Area_DDA="Yes"),AND($L$208&lt;&gt;0,DDA_nonmetro="Yes"),AND($L$213&lt;&gt;0,QCT="Yes"),AND($L$222&lt;&gt;0,Geo_Area_of_Opp_boost="Yes"),AND($L$236&lt;&gt;0,E$236="Yes"),AND($L$239&lt;&gt;0,E$239="Yes")),"Yes",IF($N$371=0,"NA","No"))</f>
        <v>NA</v>
      </c>
      <c r="N371" s="1110">
        <v>0</v>
      </c>
      <c r="O371"/>
      <c r="P371" s="606"/>
      <c r="Q371" s="1734" t="s">
        <v>1911</v>
      </c>
    </row>
    <row r="372" spans="2:17" ht="17.5" hidden="1" customHeight="1">
      <c r="B372" s="564"/>
      <c r="C372" s="604" t="str">
        <f>"If the proposed Development qualifies for a Housing Credit basis boost, multiply by "&amp;TEXT(IF($N371=0,1,DS_Lev_MP_Loan),"0.00")</f>
        <v>If the proposed Development qualifies for a Housing Credit basis boost, multiply by 1.00</v>
      </c>
      <c r="D372" s="605"/>
      <c r="E372" s="605"/>
      <c r="F372" s="605"/>
      <c r="G372" s="605"/>
      <c r="H372" s="605"/>
      <c r="I372" s="601">
        <f>I370*IF(I371="Yes",IF($N371=0,1,DS_Lev_MP_Loan),1)</f>
        <v>0</v>
      </c>
      <c r="N372" s="595"/>
      <c r="O372"/>
      <c r="P372" s="595"/>
      <c r="Q372" s="595"/>
    </row>
    <row r="373" spans="2:17" ht="10.4" hidden="1" customHeight="1">
      <c r="B373" s="564"/>
      <c r="C373" s="14"/>
      <c r="I373" s="601"/>
      <c r="N373" s="595"/>
      <c r="O373"/>
      <c r="P373" s="606"/>
      <c r="Q373" s="595"/>
    </row>
    <row r="374" spans="2:17" ht="17.5" hidden="1" customHeight="1">
      <c r="B374" s="564" t="str">
        <f>IF($N374=0,"",MAX(B$363:B373)+1)</f>
        <v/>
      </c>
      <c r="C374" s="488" t="s">
        <v>1279</v>
      </c>
      <c r="D374" s="483"/>
      <c r="E374" s="483"/>
      <c r="F374" s="483"/>
      <c r="G374" s="483"/>
      <c r="H374" s="483"/>
      <c r="I374" s="1120">
        <f>IF(N374=0,0,1)*MIN(N(HOME_Request_Amount),Max_HOME)</f>
        <v>0</v>
      </c>
      <c r="N374" s="1110">
        <v>0</v>
      </c>
      <c r="O374" s="165">
        <f>IF(N374=0,0,IF(MIN(N(HOME_Request_Amount),Max_HOME)&lt;N(HOME_Request_Amount),1,0))</f>
        <v>0</v>
      </c>
      <c r="P374" s="606"/>
      <c r="Q374" s="1111"/>
    </row>
    <row r="375" spans="2:17" ht="17.5" hidden="1" customHeight="1">
      <c r="B375" s="564"/>
      <c r="C375" s="108" t="s">
        <v>895</v>
      </c>
      <c r="D375"/>
      <c r="E375"/>
      <c r="F375"/>
      <c r="G375"/>
      <c r="H375"/>
      <c r="I375" s="1121" t="str">
        <f>IF(OR(AND($L$195&lt;&gt;0,Multiphase_subsequent="Yes"),AND($L$200&lt;&gt;0,Small_Area_DDA="Yes"),AND($L$208&lt;&gt;0,DDA_nonmetro="Yes"),AND($L$213&lt;&gt;0,QCT="Yes"),AND($L$222&lt;&gt;0,Geo_Area_of_Opp_boost="Yes"),AND($L$236&lt;&gt;0,E$236="Yes"),AND($L$239&lt;&gt;0,E$239="Yes")),"Yes",IF($N$371=0,"NA","No"))</f>
        <v>NA</v>
      </c>
      <c r="N375" s="1110">
        <v>1</v>
      </c>
      <c r="O375"/>
      <c r="P375" s="606"/>
      <c r="Q375" s="1111"/>
    </row>
    <row r="376" spans="2:17" ht="17.5" hidden="1" customHeight="1">
      <c r="B376" s="564"/>
      <c r="C376" s="693" t="str">
        <f>"If the proposed Development qualifies for a Housing Credit basis boost, multiply by "&amp;TEXT(IF($N375=0,1,DS_Lev_MP_Loan),"0.00")</f>
        <v>If the proposed Development qualifies for a Housing Credit basis boost, multiply by 1.15</v>
      </c>
      <c r="D376" s="685"/>
      <c r="E376" s="685"/>
      <c r="F376" s="685"/>
      <c r="G376" s="685"/>
      <c r="H376" s="685"/>
      <c r="I376" s="1117">
        <f>I374*IF(I375="Yes",IF($N375=0,1,DS_Lev_MP_Loan),1)</f>
        <v>0</v>
      </c>
      <c r="N376" s="1111"/>
      <c r="O376"/>
      <c r="P376" s="606"/>
      <c r="Q376" s="1111"/>
    </row>
    <row r="377" spans="2:17" ht="10.4" hidden="1" customHeight="1">
      <c r="B377" s="564"/>
      <c r="C377" s="14"/>
      <c r="I377" s="559"/>
      <c r="N377" s="1111"/>
      <c r="O377"/>
      <c r="P377" s="606"/>
      <c r="Q377" s="1111"/>
    </row>
    <row r="378" spans="2:17" ht="17.5" hidden="1" customHeight="1">
      <c r="B378" s="564">
        <f>IF($N378=0,"",MAX(B$363:B377)+1)</f>
        <v>2</v>
      </c>
      <c r="C378" s="488" t="s">
        <v>1240</v>
      </c>
      <c r="D378" s="483"/>
      <c r="E378" s="483"/>
      <c r="F378" s="483"/>
      <c r="G378" s="483"/>
      <c r="H378" s="483"/>
      <c r="I378" s="1057">
        <f>IF(N378=0,0,1)*MIN(N(HOME_ARP_Request_Amount),Max_ARP)</f>
        <v>0</v>
      </c>
      <c r="N378" s="1110">
        <v>1</v>
      </c>
      <c r="O378" s="165">
        <f>IF(N378=0,0,IF(MIN(N(HOME_ARP_Request_Amount),Max_ARP)&lt;N(HOME_ARP_Request_Amount),1,0))</f>
        <v>0</v>
      </c>
      <c r="P378" s="606"/>
      <c r="Q378" s="1031"/>
    </row>
    <row r="379" spans="2:17" ht="10.4" hidden="1" customHeight="1">
      <c r="B379" s="564"/>
      <c r="C379" s="14"/>
      <c r="I379" s="559"/>
      <c r="N379" s="1031"/>
      <c r="O379"/>
      <c r="P379" s="606"/>
      <c r="Q379" s="1031"/>
    </row>
    <row r="380" spans="2:17" ht="17.5" hidden="1" customHeight="1">
      <c r="B380" s="564" t="str">
        <f>IF($N380=0,"",MAX(B$363:B379)+1)</f>
        <v/>
      </c>
      <c r="C380" s="600" t="s">
        <v>898</v>
      </c>
      <c r="D380" s="483"/>
      <c r="E380" s="483"/>
      <c r="F380" s="483"/>
      <c r="G380" s="483"/>
      <c r="H380" s="483"/>
      <c r="I380" s="558">
        <f>IF(N380=0,0,1)*MIN(N(Grant_Request_Amount),Max_Grant)</f>
        <v>0</v>
      </c>
      <c r="N380" s="1110">
        <v>0</v>
      </c>
      <c r="O380" s="165">
        <f>IF(N380=0,0,IF(MIN(N(Grant_Request_Amount),Max_Grant)&lt;N(Grant_Request_Amount),1,0))</f>
        <v>0</v>
      </c>
      <c r="P380" s="606"/>
      <c r="Q380" s="595"/>
    </row>
    <row r="381" spans="2:17" ht="10.4" hidden="1" customHeight="1">
      <c r="B381" s="564"/>
      <c r="C381" s="14"/>
      <c r="I381" s="559"/>
      <c r="N381" s="595"/>
      <c r="O381"/>
      <c r="P381" s="606"/>
      <c r="Q381" s="595"/>
    </row>
    <row r="382" spans="2:17" ht="17.5" hidden="1" customHeight="1">
      <c r="B382" s="564" t="str">
        <f>IF($N382=0,"",MAX(B$363:B381)+1)</f>
        <v/>
      </c>
      <c r="C382" s="488" t="s">
        <v>1280</v>
      </c>
      <c r="D382" s="483"/>
      <c r="E382" s="483"/>
      <c r="F382" s="483"/>
      <c r="G382" s="483"/>
      <c r="H382" s="483"/>
      <c r="I382" s="1120">
        <f>IF(N382=0,0,1)*MIN(N(NHTF_Request_Amount),Max_NHTF)</f>
        <v>0</v>
      </c>
      <c r="N382" s="1110">
        <v>0</v>
      </c>
      <c r="O382" s="165">
        <f>IF(N382=0,0,IF(MIN(N(NHTF_Request_Amount),Max_NHTF)&lt;N(NHTF_Request_Amount),1,0))</f>
        <v>0</v>
      </c>
      <c r="P382" s="606"/>
      <c r="Q382" s="1111"/>
    </row>
    <row r="383" spans="2:17" ht="10.4" hidden="1" customHeight="1" thickBot="1">
      <c r="B383" s="564"/>
      <c r="C383" s="14"/>
      <c r="I383" s="559"/>
      <c r="N383" s="1111"/>
      <c r="O383"/>
      <c r="P383" s="606"/>
      <c r="Q383" s="1111"/>
    </row>
    <row r="384" spans="2:17" ht="17.5" hidden="1" customHeight="1" thickTop="1">
      <c r="B384" s="1116">
        <f>IF($N384=0,"",MAX(B$363:B383)+1)</f>
        <v>3</v>
      </c>
      <c r="C384" s="600" t="str">
        <f>"Corp. Funding Sources leveraging subtotal"&amp;IF(N363*N364+N366*N367+N370*N371+N374*N375&gt;0,", incl. of applicable HC basis boost multipliers","")</f>
        <v>Corp. Funding Sources leveraging subtotal</v>
      </c>
      <c r="D384" s="476"/>
      <c r="E384" s="476"/>
      <c r="F384" s="476"/>
      <c r="G384" s="476"/>
      <c r="H384" s="476"/>
      <c r="I384" s="1424">
        <f>(I364+I368+I372+I376+I378+I380+I382)</f>
        <v>0</v>
      </c>
      <c r="N384" s="1110">
        <v>1</v>
      </c>
      <c r="O384" s="1305">
        <f>SUM(O363:O383)</f>
        <v>0</v>
      </c>
      <c r="P384" s="606"/>
      <c r="Q384" s="1734" t="s">
        <v>1912</v>
      </c>
    </row>
    <row r="385" spans="1:17" ht="10.4" hidden="1" customHeight="1">
      <c r="B385" s="564"/>
      <c r="C385" s="14"/>
      <c r="I385" s="559"/>
      <c r="N385" s="1375"/>
      <c r="O385"/>
      <c r="P385" s="606"/>
      <c r="Q385" s="1375"/>
    </row>
    <row r="386" spans="1:17" ht="17.5" hidden="1" customHeight="1">
      <c r="B386" s="564" t="str">
        <f>IF($N386=0,"",MAX(B$363:B385)+1)</f>
        <v/>
      </c>
      <c r="C386" s="109" t="s">
        <v>896</v>
      </c>
      <c r="I386" s="607" t="str">
        <f>IF(County="Broward","Yes","No")</f>
        <v>No</v>
      </c>
      <c r="N386" s="1110">
        <v>0</v>
      </c>
      <c r="P386" s="606"/>
      <c r="Q386" s="595"/>
    </row>
    <row r="387" spans="1:17" ht="17.5" hidden="1" customHeight="1">
      <c r="B387" s="14"/>
      <c r="C387" s="604" t="str">
        <f>"If the proposed Development is located in Broward County, multiply by "&amp;TEXT(IF($N386=0,1,DS_Lev_MP_Broward),"0.00")</f>
        <v>If the proposed Development is located in Broward County, multiply by 1.00</v>
      </c>
      <c r="D387" s="605"/>
      <c r="E387" s="605"/>
      <c r="F387" s="605"/>
      <c r="G387" s="605"/>
      <c r="H387" s="605"/>
      <c r="I387" s="601">
        <f>(I364+I368+I372+I376+I378+I380+I382)*IF(I386="Yes",IF($N386=0,1,DS_Lev_MP_Broward),1)</f>
        <v>0</v>
      </c>
      <c r="N387" s="595"/>
      <c r="P387" s="595"/>
      <c r="Q387" s="595"/>
    </row>
    <row r="388" spans="1:17" ht="10.4" hidden="1" customHeight="1">
      <c r="B388" s="14"/>
      <c r="C388" s="14"/>
      <c r="I388" s="601"/>
      <c r="N388" s="595"/>
      <c r="P388" s="606"/>
      <c r="Q388" s="595"/>
    </row>
    <row r="389" spans="1:17" ht="20.149999999999999" hidden="1" customHeight="1">
      <c r="B389" s="564">
        <f>IF($N389=0,"",MAX(B$363:B388)+1)</f>
        <v>4</v>
      </c>
      <c r="C389" s="2342" t="s">
        <v>2141</v>
      </c>
      <c r="D389" s="2342"/>
      <c r="E389" s="2342"/>
      <c r="F389" s="2342"/>
      <c r="G389" s="2342"/>
      <c r="H389" s="2342"/>
      <c r="I389" s="607" t="str">
        <f>IF(OR(PHA_land_lease="Yes",PHA_as_Principal="Yes"),"Yes","No")</f>
        <v>No</v>
      </c>
      <c r="N389" s="1110">
        <v>1</v>
      </c>
      <c r="P389" s="606"/>
      <c r="Q389" s="1669"/>
    </row>
    <row r="390" spans="1:17" ht="17.5" hidden="1" customHeight="1">
      <c r="B390" s="14"/>
      <c r="C390" s="2369" t="str">
        <f>"If yes, multiply by "&amp;TEXT(IF($N$439=0,1,DS_Lev_MP_PHA),"0.00")</f>
        <v>If yes, multiply by 1.00</v>
      </c>
      <c r="D390" s="2369"/>
      <c r="E390" s="2369"/>
      <c r="F390" s="2369"/>
      <c r="G390" s="2369"/>
      <c r="H390" s="2369"/>
      <c r="I390" s="601">
        <f>I387*IF(I389="Yes",IF($N389=0,1,DS_Lev_MP_PHA),1)</f>
        <v>0</v>
      </c>
      <c r="N390" s="595"/>
      <c r="P390" s="595"/>
      <c r="Q390" s="595"/>
    </row>
    <row r="391" spans="1:17" ht="10.4" hidden="1" customHeight="1">
      <c r="B391" s="14"/>
      <c r="C391" s="14"/>
      <c r="I391" s="601"/>
      <c r="N391" s="595"/>
      <c r="P391" s="606"/>
      <c r="Q391" s="595"/>
    </row>
    <row r="392" spans="1:17" ht="45" hidden="1" customHeight="1">
      <c r="B392" s="564" t="str">
        <f>IF($N392=0,"",MAX(B$363:B391)+1)</f>
        <v/>
      </c>
      <c r="C392" s="2342" t="str">
        <f>"What is the overall Development Type Leveraging Multiplier derived from the bottom row of the 'Unit Characteristics' table from Section 4.A.4."&amp;'Proposed Development Info'!A54&amp;".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392" s="2342"/>
      <c r="E392" s="2342"/>
      <c r="F392" s="2342"/>
      <c r="G392" s="2342"/>
      <c r="H392" s="2342"/>
      <c r="I392" s="673">
        <f>'Proposed Development Info'!I74</f>
        <v>0</v>
      </c>
      <c r="N392" s="1110">
        <v>0</v>
      </c>
      <c r="P392" s="606"/>
      <c r="Q392" s="1734" t="s">
        <v>1912</v>
      </c>
    </row>
    <row r="393" spans="1:17" ht="17.5" hidden="1" customHeight="1">
      <c r="B393" s="14"/>
      <c r="C393" s="603" t="s">
        <v>897</v>
      </c>
      <c r="D393" s="603"/>
      <c r="E393" s="603"/>
      <c r="F393" s="603"/>
      <c r="G393" s="603"/>
      <c r="H393" s="603"/>
      <c r="I393" s="586">
        <f>I390*IF($N392=0,1,I392)</f>
        <v>0</v>
      </c>
      <c r="J393" s="1328"/>
      <c r="K393" s="1328"/>
      <c r="Q393"/>
    </row>
    <row r="394" spans="1:17" ht="17.5" hidden="1" customHeight="1">
      <c r="C394" s="605" t="str">
        <f>"What is the Applicant's total Corporation's funding per Set-Aside Unit ("&amp;TEXT(MAX(total_HC_units_NonAIT,total_HC_units_avg_inc),"0")&amp;" SAUs)?"</f>
        <v>What is the Applicant's total Corporation's funding per Set-Aside Unit (0 SAUs)?</v>
      </c>
      <c r="D394" s="605"/>
      <c r="E394" s="605"/>
      <c r="F394" s="605"/>
      <c r="G394" s="605"/>
      <c r="H394" s="605"/>
      <c r="I394" s="672">
        <f>ROUND(IF(MAX('Units, Set-Asides, Bldgs'!F31,total_HC_units_avg_inc)=0,0,Funding!I393/MAX('Units, Set-Asides, Bldgs'!F31,total_HC_units_avg_inc)),2)</f>
        <v>0</v>
      </c>
      <c r="J394" s="1254"/>
      <c r="K394" s="1254"/>
      <c r="L394" s="42"/>
      <c r="N394" s="42" t="s">
        <v>1487</v>
      </c>
      <c r="Q394" s="1735" t="s">
        <v>1487</v>
      </c>
    </row>
    <row r="395" spans="1:17" ht="10.4" hidden="1" customHeight="1">
      <c r="J395" s="42"/>
      <c r="K395" s="42"/>
      <c r="L395" s="42"/>
    </row>
    <row r="396" spans="1:17" ht="17.5" customHeight="1">
      <c r="A396" s="177" t="str" cm="1">
        <f t="array" ref="A396">IF(N396=0,"",CHAR(CODE(LOOKUP(2,1/(COUNTIF(A$3:A395,"&gt;"&amp;A$3:A395&amp;"*")=0),A$3:A395))+1))</f>
        <v>f</v>
      </c>
      <c r="B396" s="2131" t="s">
        <v>880</v>
      </c>
      <c r="C396" s="2131"/>
      <c r="D396" s="2131"/>
      <c r="E396" s="2131"/>
      <c r="F396" s="2131"/>
      <c r="G396" s="2131"/>
      <c r="H396" s="2131"/>
      <c r="I396" s="2131"/>
      <c r="J396" s="42"/>
      <c r="K396" s="42"/>
      <c r="L396"/>
      <c r="M396"/>
      <c r="N396" s="1110">
        <v>1</v>
      </c>
    </row>
    <row r="397" spans="1:17" ht="10.4" customHeight="1">
      <c r="J397" s="42"/>
      <c r="K397" s="42"/>
      <c r="L397" s="42"/>
    </row>
    <row r="398" spans="1:17" ht="44.15" customHeight="1">
      <c r="B398" s="2232"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applicable",""),IF(DS_FLJobs_SAIL="Yes","SAIL",IF(DS_FLJobs_HOME="Yes","HOME","??"))&amp;" funding")&amp;"."</f>
        <v>In order to earn the Florida Job Creation Funding Preference, the Applicant will need to earn a Florida Job Creation score equal to or greater than 9.60, which represents the number of Florida jobs per $1,000,000 of SAIL funding.</v>
      </c>
      <c r="C398" s="2232"/>
      <c r="D398" s="2232"/>
      <c r="E398" s="2232"/>
      <c r="F398" s="2232"/>
      <c r="G398" s="2232"/>
      <c r="H398" s="2232"/>
      <c r="I398" s="2232"/>
      <c r="J398" s="42"/>
      <c r="K398" s="42"/>
      <c r="L398" s="42"/>
    </row>
    <row r="399" spans="1:17" ht="10.4" customHeight="1">
      <c r="J399" s="42"/>
      <c r="K399" s="42"/>
      <c r="L399" s="42"/>
    </row>
    <row r="400" spans="1:17" ht="17.5" customHeight="1">
      <c r="B400" s="42" t="s">
        <v>1099</v>
      </c>
      <c r="J400" s="42"/>
      <c r="K400" s="42"/>
      <c r="L400" s="42"/>
    </row>
    <row r="401" spans="1:12" ht="10.4" customHeight="1">
      <c r="J401" s="42"/>
      <c r="K401" s="42"/>
      <c r="L401" s="42"/>
    </row>
    <row r="402" spans="1:12" ht="30" customHeight="1">
      <c r="B402" s="2338" t="str">
        <f>IF('Proposed Development Info'!H74=0,"[ ( 0 NC MF Units x "&amp;TEXT(DS_FLJobs_MFNC,"0.000")&amp;" ) + ( 0 A/R MF Units x "&amp;TEXT(DS_FLJobs_MFAR,"0.000")&amp;" ) ]",IF(OR(AND(SUM('Proposed Development Info'!H59:H67)&gt;0,SUM('Proposed Development Info'!H68:H73)&gt;0),AND(SUM('Proposed Development Info'!H59:H63)+SUM('Proposed Development Info'!H66:H67)&gt;0,SUM('Proposed Development Info'!H64:H65)&gt;0)),"[ ","")&amp;IF(SUM('Proposed Development Info'!H59:H63)+SUM('Proposed Development Info'!H66:H67)&gt;0,"( "&amp;TEXT(SUM('Proposed Development Info'!H59:H63)+SUM('Proposed Development Info'!H66:H67),"0")&amp;" NC MF Units x "&amp;TEXT(DS_FLJobs_MFNC,"0.000")&amp;" ) ","")&amp;IF(AND(SUM('Proposed Development Info'!H59:H63)+SUM('Proposed Development Info'!H66:H67)&gt;0,SUM('Proposed Development Info'!H64:H65)&gt;0),"+ ","")&amp;IF(SUM('Proposed Development Info'!H64:H65)&gt;0,"( "&amp;TEXT(SUM('Proposed Development Info'!H64:H65),"0")&amp;" NC SF Units x "&amp;TEXT(DS_FLJobs_SFNC,"0.000")&amp;" ) ","")&amp;IF(AND(SUM('Proposed Development Info'!H59:H67)&gt;0,SUM('Proposed Development Info'!H68:H73)&gt;0),"+ ","")&amp;IF(SUM('Proposed Development Info'!H68:H73)&gt;0,"( "&amp;TEXT(SUM('Proposed Development Info'!H68:H73),"0")&amp;IF(Development_Category="Rehabilitation"," R"," A/R")&amp;" MF Units x "&amp;TEXT(IF(Development_Category="Rehabilitation",DS_FLJobs_MFRO,DS_FLJobs_MFAR),"0.000")&amp;" ) ","")&amp;IF(OR(AND(SUM('Proposed Development Info'!H59:H67)&gt;0,SUM('Proposed Development Info'!H68:H73)&gt;0),AND(SUM('Proposed Development Info'!H59:H63)+SUM('Proposed Development Info'!H66:H67)&gt;0,SUM('Proposed Development Info'!H64:H65)&gt;0)),"]",""))&amp;" x 1,000,000 / ( "&amp;IF(Data3!H150=1,TEXT(MIN(Competitive_HC_Request_Amount,Max_Competitive_HC),"$#,##0")&amp;" x "&amp;TEXT(DS_FLJobs_MP_HC,"0.0")&amp;IF(SUM(Data3!H151:H155)&gt;0," + "," ) "),"")&amp;IF(Data3!H151=1,TEXT(MIN(Workforce_Request_Amount,Max_Workforce),"$#,##0")&amp;" Workforce"&amp;IF(SUM(Data3!H152:H155)&gt;0," + "," ) "),"")&amp;IF(Data3!H152=1,TEXT(MIN(SAIL_Request_Amount,Max_SAIL),"$#,##0")&amp;" SAIL"&amp;IF(SUM(Data3!H153:H155)&gt;0," + "," ) "),"")&amp;IF(Data3!H153=1,TEXT(MIN(HOME_Request_Amount,Max_HOME),"$#,##0")&amp;" HOME"&amp;IF(SUM(Data3!H154:H155)&gt;0," + "," ) "),"")&amp;IF(Data3!H154=1,TEXT(MIN(HOME_ARP_Request_Amount,Max_ARP),"$#,##0")&amp;" HOME-ARP"&amp;IF(Data3!H155=1," + "," ) "),"")&amp;IF(Data3!H155=1,TEXT(MIN(Grant_Request_Amount,Max_Grant),"$#,##0")&amp;" Grant"&amp;" ) ","")&amp;" = Florida Job Creation Score of "&amp;TEXT(FLJobs_Score,"0.00")&amp;"."</f>
        <v>[ ( 0 NC MF Units x 3.171 ) + ( 0 A/R MF Units x 1.602 ) ] x 1,000,000 / ( $2,077,942 SAIL + $0 HOME-ARP )  = Florida Job Creation Score of 0.00.</v>
      </c>
      <c r="C402" s="2339"/>
      <c r="D402" s="2339"/>
      <c r="E402" s="2339"/>
      <c r="F402" s="2339"/>
      <c r="G402" s="2339"/>
      <c r="H402" s="2339"/>
      <c r="I402" s="2339"/>
      <c r="J402" s="42"/>
      <c r="K402" s="42"/>
      <c r="L402" s="42"/>
    </row>
    <row r="403" spans="1:12" ht="10.4" customHeight="1">
      <c r="J403" s="42"/>
      <c r="K403" s="42"/>
      <c r="L403" s="42"/>
    </row>
    <row r="404" spans="1:12" ht="17.5" customHeight="1">
      <c r="B404" s="556" t="str">
        <f>"A Florida Job Creation score of "&amp;TEXT(FLJobs_Score,"0.00")&amp;IF(FLJobs_Score&gt;=DS_FLJobs_Min_Score1," earns"," does NOT earn")&amp;" the Florida Job Creation Funding Preference."</f>
        <v>A Florida Job Creation score of 0.00 does NOT earn the Florida Job Creation Funding Preference.</v>
      </c>
      <c r="J404" s="42"/>
      <c r="K404" s="42"/>
      <c r="L404" s="42"/>
    </row>
    <row r="405" spans="1:12" ht="10.4" customHeight="1"/>
    <row r="408" spans="1:12">
      <c r="A408"/>
      <c r="B408"/>
      <c r="C408"/>
      <c r="D408"/>
      <c r="E408"/>
      <c r="F408"/>
      <c r="G408"/>
      <c r="H408"/>
      <c r="I408"/>
    </row>
    <row r="409" spans="1:12">
      <c r="B409" s="1254"/>
      <c r="C409" s="1254"/>
      <c r="D409" s="1254"/>
      <c r="E409" s="1254"/>
      <c r="F409" s="1254"/>
      <c r="G409" s="1254"/>
      <c r="H409" s="1254"/>
      <c r="I409" s="1254"/>
    </row>
    <row r="410" spans="1:12">
      <c r="B410" s="1254"/>
      <c r="C410" s="1254"/>
      <c r="D410" s="1254"/>
      <c r="E410" s="1254"/>
      <c r="F410" s="1254"/>
      <c r="G410" s="1254"/>
      <c r="H410" s="1254"/>
      <c r="I410" s="1254"/>
    </row>
  </sheetData>
  <sheetProtection algorithmName="SHA-512" hashValue="CrMhYIPSwl9V38Im4CAgkkI7uuWe3u5Zaa9K6Ymev+nlGFFiyOQRIEzIDK0nO7wYftwAlmGH+hO9HXRYmBxAig==" saltValue="mOhqx99863xutuJz/EmFiw==" spinCount="100000" sheet="1" objects="1" scenarios="1" formatRows="0" selectLockedCells="1"/>
  <mergeCells count="127">
    <mergeCell ref="C390:H390"/>
    <mergeCell ref="C352:I352"/>
    <mergeCell ref="T39:AD45"/>
    <mergeCell ref="T19:T21"/>
    <mergeCell ref="E25:H25"/>
    <mergeCell ref="D46:G46"/>
    <mergeCell ref="D130:H130"/>
    <mergeCell ref="D131:I131"/>
    <mergeCell ref="D133:I133"/>
    <mergeCell ref="C137:I137"/>
    <mergeCell ref="M217:M218"/>
    <mergeCell ref="E191:F191"/>
    <mergeCell ref="E195:F195"/>
    <mergeCell ref="D188:H188"/>
    <mergeCell ref="E197:F197"/>
    <mergeCell ref="E200:F200"/>
    <mergeCell ref="E202:F202"/>
    <mergeCell ref="G204:I204"/>
    <mergeCell ref="E203:F203"/>
    <mergeCell ref="E196:I196"/>
    <mergeCell ref="G203:I203"/>
    <mergeCell ref="E204:F204"/>
    <mergeCell ref="G202:I202"/>
    <mergeCell ref="E29:H29"/>
    <mergeCell ref="E38:H38"/>
    <mergeCell ref="E27:H27"/>
    <mergeCell ref="N217:N218"/>
    <mergeCell ref="L217:L218"/>
    <mergeCell ref="E208:F208"/>
    <mergeCell ref="E210:F210"/>
    <mergeCell ref="E213:F213"/>
    <mergeCell ref="E217:F218"/>
    <mergeCell ref="E215:H215"/>
    <mergeCell ref="G217:I217"/>
    <mergeCell ref="G218:I218"/>
    <mergeCell ref="G210:I210"/>
    <mergeCell ref="D6:H6"/>
    <mergeCell ref="A1:I1"/>
    <mergeCell ref="D184:H184"/>
    <mergeCell ref="C165:I165"/>
    <mergeCell ref="C4:I4"/>
    <mergeCell ref="I60:I67"/>
    <mergeCell ref="E40:G40"/>
    <mergeCell ref="E50:G50"/>
    <mergeCell ref="D124:H124"/>
    <mergeCell ref="D148:H148"/>
    <mergeCell ref="D116:H116"/>
    <mergeCell ref="E13:G13"/>
    <mergeCell ref="E69:G69"/>
    <mergeCell ref="E58:G58"/>
    <mergeCell ref="D42:H42"/>
    <mergeCell ref="D169:H169"/>
    <mergeCell ref="E182:G182"/>
    <mergeCell ref="D122:G122"/>
    <mergeCell ref="D52:H52"/>
    <mergeCell ref="D73:H73"/>
    <mergeCell ref="E35:H35"/>
    <mergeCell ref="E159:G159"/>
    <mergeCell ref="D21:G21"/>
    <mergeCell ref="E23:H23"/>
    <mergeCell ref="E248:F248"/>
    <mergeCell ref="E222:F222"/>
    <mergeCell ref="C276:I276"/>
    <mergeCell ref="E270:F270"/>
    <mergeCell ref="E271:F271"/>
    <mergeCell ref="E239:F239"/>
    <mergeCell ref="E226:F226"/>
    <mergeCell ref="D266:I266"/>
    <mergeCell ref="E253:I254"/>
    <mergeCell ref="G224:I224"/>
    <mergeCell ref="G225:I225"/>
    <mergeCell ref="G226:I226"/>
    <mergeCell ref="D261:I261"/>
    <mergeCell ref="C259:I259"/>
    <mergeCell ref="B274:I274"/>
    <mergeCell ref="E268:F268"/>
    <mergeCell ref="E231:G231"/>
    <mergeCell ref="E233:I233"/>
    <mergeCell ref="H242:I242"/>
    <mergeCell ref="B402:I402"/>
    <mergeCell ref="E269:F269"/>
    <mergeCell ref="B361:I361"/>
    <mergeCell ref="D347:F347"/>
    <mergeCell ref="D350:F350"/>
    <mergeCell ref="C346:I346"/>
    <mergeCell ref="C349:I349"/>
    <mergeCell ref="B344:I344"/>
    <mergeCell ref="E272:F272"/>
    <mergeCell ref="B299:I299"/>
    <mergeCell ref="C303:I303"/>
    <mergeCell ref="C392:H392"/>
    <mergeCell ref="B396:I396"/>
    <mergeCell ref="B398:I398"/>
    <mergeCell ref="B360:I360"/>
    <mergeCell ref="E277:G277"/>
    <mergeCell ref="E278:G278"/>
    <mergeCell ref="D353:I353"/>
    <mergeCell ref="B315:I315"/>
    <mergeCell ref="C311:H311"/>
    <mergeCell ref="E292:H293"/>
    <mergeCell ref="I292:I293"/>
    <mergeCell ref="B296:I296"/>
    <mergeCell ref="C389:H389"/>
    <mergeCell ref="L3:R3"/>
    <mergeCell ref="K1:AG2"/>
    <mergeCell ref="C282:I282"/>
    <mergeCell ref="E291:H291"/>
    <mergeCell ref="E289:H289"/>
    <mergeCell ref="E290:H290"/>
    <mergeCell ref="D288:I288"/>
    <mergeCell ref="C280:I280"/>
    <mergeCell ref="E236:F236"/>
    <mergeCell ref="G248:I248"/>
    <mergeCell ref="G246:I246"/>
    <mergeCell ref="C256:I257"/>
    <mergeCell ref="E242:G242"/>
    <mergeCell ref="E246:F246"/>
    <mergeCell ref="E245:I245"/>
    <mergeCell ref="E247:I247"/>
    <mergeCell ref="E224:F224"/>
    <mergeCell ref="E225:F225"/>
    <mergeCell ref="E146:G146"/>
    <mergeCell ref="E114:G114"/>
    <mergeCell ref="I107:I112"/>
    <mergeCell ref="I140:I145"/>
    <mergeCell ref="E71:H71"/>
    <mergeCell ref="E194:I194"/>
  </mergeCells>
  <conditionalFormatting sqref="G224:I226">
    <cfRule type="expression" dxfId="329" priority="227">
      <formula>$E224=""</formula>
    </cfRule>
    <cfRule type="expression" dxfId="328" priority="228">
      <formula>$G224="The given Census Tract Number is a GAO Census Tract in "&amp;County&amp;" County."</formula>
    </cfRule>
  </conditionalFormatting>
  <conditionalFormatting sqref="G248">
    <cfRule type="cellIs" dxfId="327" priority="240" operator="equal">
      <formula>"Please indicate which of the criteria has been met"</formula>
    </cfRule>
  </conditionalFormatting>
  <conditionalFormatting sqref="E197 E202:F204 E217 E224:F226 G263:G264 D353 G269:H272">
    <cfRule type="cellIs" dxfId="326" priority="196" operator="notEqual">
      <formula>""</formula>
    </cfRule>
  </conditionalFormatting>
  <conditionalFormatting sqref="E191 E195 E200 E213 E222 E236 E239 E246 E248 I128 D347 D350 I311">
    <cfRule type="cellIs" dxfId="325" priority="185" operator="notEqual">
      <formula>"&lt;select from menu&gt;"</formula>
    </cfRule>
  </conditionalFormatting>
  <conditionalFormatting sqref="I73">
    <cfRule type="cellIs" dxfId="324" priority="101" stopIfTrue="1" operator="greaterThan">
      <formula>$H69</formula>
    </cfRule>
    <cfRule type="expression" dxfId="323" priority="102">
      <formula>AND(N(I73)&gt;0,N(I73)&lt;=$H69)</formula>
    </cfRule>
  </conditionalFormatting>
  <conditionalFormatting sqref="I52">
    <cfRule type="expression" dxfId="322" priority="89" stopIfTrue="1">
      <formula>N(I52)&gt;N(H50)</formula>
    </cfRule>
    <cfRule type="expression" dxfId="321" priority="90">
      <formula>AND(N(I52)&gt;0,N(I52)&lt;=$H50)</formula>
    </cfRule>
  </conditionalFormatting>
  <conditionalFormatting sqref="I252">
    <cfRule type="expression" dxfId="320" priority="244">
      <formula>$J$252="**"</formula>
    </cfRule>
    <cfRule type="cellIs" dxfId="319" priority="245" operator="notEqual">
      <formula>""</formula>
    </cfRule>
  </conditionalFormatting>
  <conditionalFormatting sqref="I128">
    <cfRule type="cellIs" dxfId="318" priority="140" operator="notEqual">
      <formula>"&lt;select from menu&gt;"</formula>
    </cfRule>
  </conditionalFormatting>
  <conditionalFormatting sqref="I161">
    <cfRule type="cellIs" dxfId="317" priority="165" stopIfTrue="1" operator="greaterThan">
      <formula>$H159</formula>
    </cfRule>
    <cfRule type="expression" dxfId="316" priority="166">
      <formula>AND(N(I161)&gt;0,N(I161)&lt;=$H159)</formula>
    </cfRule>
  </conditionalFormatting>
  <conditionalFormatting sqref="I188">
    <cfRule type="expression" dxfId="315" priority="183">
      <formula>AND(N(I188)&gt;0,$L188=1)</formula>
    </cfRule>
  </conditionalFormatting>
  <conditionalFormatting sqref="G217">
    <cfRule type="expression" dxfId="314" priority="219" stopIfTrue="1">
      <formula>$E$215="Non-Metro"</formula>
    </cfRule>
  </conditionalFormatting>
  <conditionalFormatting sqref="G202:I204">
    <cfRule type="cellIs" dxfId="313" priority="197" operator="equal">
      <formula>"Please respond to above question."</formula>
    </cfRule>
    <cfRule type="expression" dxfId="312" priority="198" stopIfTrue="1">
      <formula>LEFT($G202,MAX(19,MIN(0,LEN($G202))))="The ZCTA is located"</formula>
    </cfRule>
    <cfRule type="expression" dxfId="311" priority="199" stopIfTrue="1">
      <formula>$G202="Invalid Entry - The ZCTA is not in the HUD 2022 database"</formula>
    </cfRule>
    <cfRule type="expression" dxfId="310" priority="212">
      <formula>IFERROR(FIND(" database for ",$G202),0)&gt;0</formula>
    </cfRule>
    <cfRule type="expression" dxfId="309" priority="216" stopIfTrue="1">
      <formula>$E202=""</formula>
    </cfRule>
  </conditionalFormatting>
  <conditionalFormatting sqref="G217:I218">
    <cfRule type="cellIs" dxfId="308" priority="13" operator="equal">
      <formula>"Please respond to above question."</formula>
    </cfRule>
    <cfRule type="expression" dxfId="307" priority="14">
      <formula>IFERROR(LEFT($G217,7)="Neither",FALSE)=TRUE</formula>
    </cfRule>
    <cfRule type="expression" dxfId="306" priority="15">
      <formula>FIND("NOT",$G217)&gt;0</formula>
    </cfRule>
    <cfRule type="expression" dxfId="305" priority="221">
      <formula>$E$217=""</formula>
    </cfRule>
    <cfRule type="expression" dxfId="304" priority="222">
      <formula>AND($E$213="&lt;select from menu&gt;",$E$217&lt;&gt;"",$G217="")</formula>
    </cfRule>
  </conditionalFormatting>
  <conditionalFormatting sqref="G218">
    <cfRule type="expression" dxfId="303" priority="225" stopIfTrue="1">
      <formula>$E$215="Metro"</formula>
    </cfRule>
  </conditionalFormatting>
  <conditionalFormatting sqref="I317">
    <cfRule type="cellIs" dxfId="302" priority="373" operator="equal">
      <formula>"No"</formula>
    </cfRule>
    <cfRule type="cellIs" dxfId="301" priority="374" operator="equal">
      <formula>"Dev. Category? (§4.A.4.a.)"</formula>
    </cfRule>
    <cfRule type="cellIs" dxfId="300" priority="375" operator="equal">
      <formula>"Total Units? (§4.A.6.a.)"</formula>
    </cfRule>
  </conditionalFormatting>
  <conditionalFormatting sqref="H7:H11 H13">
    <cfRule type="cellIs" dxfId="299" priority="26" operator="equal">
      <formula>"Select a County"</formula>
    </cfRule>
  </conditionalFormatting>
  <conditionalFormatting sqref="H31:H33 H26 H28">
    <cfRule type="cellIs" dxfId="298" priority="57" operator="equal">
      <formula>"Select a Dev. Category"</formula>
    </cfRule>
  </conditionalFormatting>
  <conditionalFormatting sqref="H22 H24 H26 H30 H28">
    <cfRule type="cellIs" dxfId="297" priority="50" operator="equal">
      <formula>"Select a County"</formula>
    </cfRule>
  </conditionalFormatting>
  <conditionalFormatting sqref="H34 H36:H37">
    <cfRule type="cellIs" dxfId="296" priority="47" operator="equal">
      <formula>"Identify Status"</formula>
    </cfRule>
  </conditionalFormatting>
  <conditionalFormatting sqref="I184">
    <cfRule type="cellIs" dxfId="295" priority="179" stopIfTrue="1" operator="greaterThan">
      <formula>$H$182</formula>
    </cfRule>
    <cfRule type="expression" dxfId="294" priority="180">
      <formula>AND(N(I184)&gt;0,N(I184)&lt;=$H182)</formula>
    </cfRule>
  </conditionalFormatting>
  <conditionalFormatting sqref="G246">
    <cfRule type="expression" dxfId="293" priority="237" stopIfTrue="1">
      <formula>$E$246="&lt;select from menu&gt;"</formula>
    </cfRule>
    <cfRule type="expression" dxfId="292" priority="238" stopIfTrue="1">
      <formula>$E$246="No"</formula>
    </cfRule>
    <cfRule type="cellIs" dxfId="291" priority="239" operator="equal">
      <formula>"Invalid Entry - only applicants who select the Family demographic are eligible for this funding goal"</formula>
    </cfRule>
  </conditionalFormatting>
  <conditionalFormatting sqref="I124">
    <cfRule type="cellIs" dxfId="290" priority="136" stopIfTrue="1" operator="greaterThan">
      <formula>$H$122</formula>
    </cfRule>
    <cfRule type="expression" dxfId="289" priority="137">
      <formula>AND(N(I124)&gt;0,N(I124)&lt;=$H122)</formula>
    </cfRule>
  </conditionalFormatting>
  <conditionalFormatting sqref="A315:I343">
    <cfRule type="expression" dxfId="288" priority="331">
      <formula>$N$315=0</formula>
    </cfRule>
  </conditionalFormatting>
  <conditionalFormatting sqref="A296:I298">
    <cfRule type="expression" dxfId="287" priority="288">
      <formula>$N$296=0</formula>
    </cfRule>
  </conditionalFormatting>
  <conditionalFormatting sqref="C277:I278">
    <cfRule type="expression" dxfId="286" priority="257">
      <formula>$L277=0</formula>
    </cfRule>
  </conditionalFormatting>
  <conditionalFormatting sqref="A275:I279">
    <cfRule type="expression" dxfId="285" priority="256">
      <formula>$N$276=0</formula>
    </cfRule>
  </conditionalFormatting>
  <conditionalFormatting sqref="C269:I272">
    <cfRule type="expression" dxfId="284" priority="255">
      <formula>$L269=0</formula>
    </cfRule>
  </conditionalFormatting>
  <conditionalFormatting sqref="C266:I273">
    <cfRule type="expression" dxfId="283" priority="254">
      <formula>SUM($L$269:$L$272)=0</formula>
    </cfRule>
  </conditionalFormatting>
  <conditionalFormatting sqref="B128:I128">
    <cfRule type="expression" dxfId="282" priority="138">
      <formula>$L$128=0</formula>
    </cfRule>
  </conditionalFormatting>
  <conditionalFormatting sqref="B252:I258">
    <cfRule type="expression" dxfId="281" priority="242">
      <formula>OR($L$252=0,$L$188=0)</formula>
    </cfRule>
  </conditionalFormatting>
  <conditionalFormatting sqref="B244:I248">
    <cfRule type="expression" dxfId="280" priority="235">
      <formula>$L$246=0</formula>
    </cfRule>
  </conditionalFormatting>
  <conditionalFormatting sqref="B238:I240">
    <cfRule type="expression" dxfId="279" priority="231">
      <formula>$L$239=0</formula>
    </cfRule>
  </conditionalFormatting>
  <conditionalFormatting sqref="B235:I237">
    <cfRule type="expression" dxfId="278" priority="230">
      <formula>$L$236=0</formula>
    </cfRule>
  </conditionalFormatting>
  <conditionalFormatting sqref="B221:I229">
    <cfRule type="expression" dxfId="277" priority="226">
      <formula>$L$222=0</formula>
    </cfRule>
  </conditionalFormatting>
  <conditionalFormatting sqref="B212:I220">
    <cfRule type="expression" dxfId="276" priority="18">
      <formula>$L$213=0</formula>
    </cfRule>
  </conditionalFormatting>
  <conditionalFormatting sqref="B207:I211">
    <cfRule type="expression" dxfId="275" priority="217">
      <formula>$L$208=0</formula>
    </cfRule>
  </conditionalFormatting>
  <conditionalFormatting sqref="B199:I206">
    <cfRule type="expression" dxfId="274" priority="169">
      <formula>$L$200=0</formula>
    </cfRule>
  </conditionalFormatting>
  <conditionalFormatting sqref="B194:I198">
    <cfRule type="expression" dxfId="273" priority="195">
      <formula>$L$195=0</formula>
    </cfRule>
  </conditionalFormatting>
  <conditionalFormatting sqref="B193:I193">
    <cfRule type="expression" dxfId="272" priority="187">
      <formula>AND($L$195=0,$L$200=0,$L$208=0,$L$213=0,$L$222=0,$L$236=0,$L$239=0,$L$246=0)</formula>
    </cfRule>
  </conditionalFormatting>
  <conditionalFormatting sqref="B190:I192">
    <cfRule type="expression" dxfId="271" priority="184">
      <formula>$L$191=0</formula>
    </cfRule>
  </conditionalFormatting>
  <conditionalFormatting sqref="B188:I189">
    <cfRule type="expression" dxfId="270" priority="181">
      <formula>$L$188=0</formula>
    </cfRule>
  </conditionalFormatting>
  <conditionalFormatting sqref="B167:I187">
    <cfRule type="expression" dxfId="269" priority="170">
      <formula>$L$184=0</formula>
    </cfRule>
  </conditionalFormatting>
  <conditionalFormatting sqref="B165:I241 B243:I258 B242:H242">
    <cfRule type="expression" dxfId="268" priority="17">
      <formula>AND($L$184=0,$L$188=0)</formula>
    </cfRule>
  </conditionalFormatting>
  <conditionalFormatting sqref="B152:I164">
    <cfRule type="expression" dxfId="267" priority="161">
      <formula>$L$161=0</formula>
    </cfRule>
  </conditionalFormatting>
  <conditionalFormatting sqref="B120:I127">
    <cfRule type="expression" dxfId="266" priority="133">
      <formula>$L$124=0</formula>
    </cfRule>
  </conditionalFormatting>
  <conditionalFormatting sqref="B56:I104">
    <cfRule type="expression" dxfId="265" priority="91">
      <formula>$L$73=0</formula>
    </cfRule>
  </conditionalFormatting>
  <conditionalFormatting sqref="B61:H65">
    <cfRule type="expression" dxfId="264" priority="95">
      <formula>$L61=0</formula>
    </cfRule>
  </conditionalFormatting>
  <conditionalFormatting sqref="B46:I55">
    <cfRule type="expression" dxfId="263" priority="64">
      <formula>$L$52=0</formula>
    </cfRule>
  </conditionalFormatting>
  <conditionalFormatting sqref="B21:I26 B39:I45 B38:E38 I38 B28:I37 B27:E27 I27">
    <cfRule type="expression" dxfId="262" priority="11">
      <formula>$L$42=0</formula>
    </cfRule>
  </conditionalFormatting>
  <conditionalFormatting sqref="B19:I20">
    <cfRule type="expression" dxfId="261" priority="45">
      <formula>AND($L$42=0,$L$52=0)</formula>
    </cfRule>
  </conditionalFormatting>
  <conditionalFormatting sqref="B4:I18">
    <cfRule type="expression" dxfId="260" priority="19">
      <formula>$L$15=0</formula>
    </cfRule>
  </conditionalFormatting>
  <conditionalFormatting sqref="B22:I26 B38:E38 I38 B28:I37 B27:E27 I27">
    <cfRule type="expression" dxfId="259" priority="46">
      <formula>$O22=0</formula>
    </cfRule>
  </conditionalFormatting>
  <conditionalFormatting sqref="B170:I180">
    <cfRule type="expression" dxfId="258" priority="176">
      <formula>$O170=0</formula>
    </cfRule>
  </conditionalFormatting>
  <conditionalFormatting sqref="N184 N188">
    <cfRule type="expression" dxfId="257" priority="182">
      <formula>AND($L$184=1,$L$188=1)</formula>
    </cfRule>
  </conditionalFormatting>
  <conditionalFormatting sqref="A396:I405">
    <cfRule type="expression" dxfId="256" priority="1725">
      <formula>$N$396=0</formula>
    </cfRule>
  </conditionalFormatting>
  <conditionalFormatting sqref="I15">
    <cfRule type="cellIs" dxfId="255" priority="39" stopIfTrue="1" operator="greaterThan">
      <formula>$H13</formula>
    </cfRule>
    <cfRule type="expression" dxfId="254" priority="40">
      <formula>AND(N(I15)&gt;0,N(I15)&lt;=$H13)</formula>
    </cfRule>
  </conditionalFormatting>
  <conditionalFormatting sqref="I307">
    <cfRule type="cellIs" dxfId="253" priority="316" operator="equal">
      <formula>"No"</formula>
    </cfRule>
    <cfRule type="cellIs" dxfId="252" priority="318" operator="equal">
      <formula>"Yes"</formula>
    </cfRule>
  </conditionalFormatting>
  <conditionalFormatting sqref="B301:I308">
    <cfRule type="expression" dxfId="251" priority="292">
      <formula>$N$301=0</formula>
    </cfRule>
  </conditionalFormatting>
  <conditionalFormatting sqref="A299:I314">
    <cfRule type="expression" dxfId="250" priority="290">
      <formula>$N$299=0</formula>
    </cfRule>
  </conditionalFormatting>
  <conditionalFormatting sqref="I311">
    <cfRule type="cellIs" dxfId="249" priority="330" operator="notEqual">
      <formula>"&lt;select from menu&gt;"</formula>
    </cfRule>
  </conditionalFormatting>
  <conditionalFormatting sqref="I311">
    <cfRule type="cellIs" dxfId="248" priority="329" operator="notEqual">
      <formula>"&lt;select from menu&gt;"</formula>
    </cfRule>
  </conditionalFormatting>
  <conditionalFormatting sqref="L311">
    <cfRule type="expression" dxfId="247" priority="302">
      <formula>AND($L$299=0,$L301&lt;&gt;0)</formula>
    </cfRule>
  </conditionalFormatting>
  <conditionalFormatting sqref="I357">
    <cfRule type="cellIs" dxfId="246" priority="1037" operator="notEqual">
      <formula>"&lt;select from menu&gt;"</formula>
    </cfRule>
  </conditionalFormatting>
  <conditionalFormatting sqref="I357">
    <cfRule type="cellIs" dxfId="245" priority="1038" operator="notEqual">
      <formula>"&lt;select from menu&gt;"</formula>
    </cfRule>
  </conditionalFormatting>
  <conditionalFormatting sqref="D241:I241">
    <cfRule type="expression" dxfId="244" priority="233">
      <formula>AND($L$184=0,$L$188=0)</formula>
    </cfRule>
  </conditionalFormatting>
  <conditionalFormatting sqref="B241:I241 B243:I243 B242:H242">
    <cfRule type="expression" dxfId="243" priority="232">
      <formula>$L$242=0</formula>
    </cfRule>
  </conditionalFormatting>
  <conditionalFormatting sqref="E71">
    <cfRule type="expression" dxfId="242" priority="92">
      <formula>IFERROR(FIND(" NOT ",E71),0)&gt;0</formula>
    </cfRule>
  </conditionalFormatting>
  <conditionalFormatting sqref="C306:H306">
    <cfRule type="expression" dxfId="241" priority="306">
      <formula>FIND("Qualifying_FAFP_Basis",$C306)&gt;0</formula>
    </cfRule>
  </conditionalFormatting>
  <conditionalFormatting sqref="F61:F65">
    <cfRule type="expression" dxfId="240" priority="96">
      <formula>AND(F61&lt;&gt;"",SUM(F$61:F$65)&lt;ROUNDUP(ROUNDUP(HOME_Request_Amount/TDC_total,2)*Total_Units,0))</formula>
    </cfRule>
    <cfRule type="cellIs" dxfId="239" priority="97" operator="greaterThan">
      <formula>0</formula>
    </cfRule>
  </conditionalFormatting>
  <conditionalFormatting sqref="H66">
    <cfRule type="expression" dxfId="238" priority="98">
      <formula>ROUNDUP(ROUNDUP(HOME_Request_Amount/TDC_total,2)*Total_Units,0)&gt;H66</formula>
    </cfRule>
  </conditionalFormatting>
  <conditionalFormatting sqref="K252">
    <cfRule type="cellIs" dxfId="237" priority="246" operator="equal">
      <formula>"**"</formula>
    </cfRule>
  </conditionalFormatting>
  <conditionalFormatting sqref="E253:I254">
    <cfRule type="expression" dxfId="236" priority="249">
      <formula>IFERROR(LEFT(E$253,6)="Please","")=TRUE</formula>
    </cfRule>
  </conditionalFormatting>
  <conditionalFormatting sqref="E7:I11">
    <cfRule type="expression" dxfId="235" priority="25">
      <formula>$O7=0</formula>
    </cfRule>
  </conditionalFormatting>
  <conditionalFormatting sqref="I148">
    <cfRule type="expression" dxfId="234" priority="154" stopIfTrue="1">
      <formula>AND(NHTF_Request_Amount&gt;Max_NHTF,NHTF_Request_Amount&lt;&gt;"")</formula>
    </cfRule>
    <cfRule type="expression" dxfId="233" priority="156">
      <formula>AND(N(I148)&gt;0,N(I148)&lt;=$H146)</formula>
    </cfRule>
  </conditionalFormatting>
  <conditionalFormatting sqref="B139:I151">
    <cfRule type="expression" dxfId="232" priority="147">
      <formula>$L$148=0</formula>
    </cfRule>
  </conditionalFormatting>
  <conditionalFormatting sqref="B105:I119">
    <cfRule type="expression" dxfId="231" priority="105">
      <formula>$L$116=0</formula>
    </cfRule>
  </conditionalFormatting>
  <conditionalFormatting sqref="I116">
    <cfRule type="cellIs" dxfId="230" priority="124" stopIfTrue="1" operator="greaterThan">
      <formula>$H114</formula>
    </cfRule>
    <cfRule type="expression" dxfId="229" priority="132">
      <formula>AND(N(I116)&gt;0,N(I116)&lt;=$H114)</formula>
    </cfRule>
  </conditionalFormatting>
  <conditionalFormatting sqref="E114:I114">
    <cfRule type="expression" dxfId="228" priority="111">
      <formula>HOME_ARP_Request_Amount&gt;Max_ARP</formula>
    </cfRule>
  </conditionalFormatting>
  <conditionalFormatting sqref="D122:I122">
    <cfRule type="expression" dxfId="227" priority="134">
      <formula>Grant_Request_Amount&gt;Max_Grant</formula>
    </cfRule>
  </conditionalFormatting>
  <conditionalFormatting sqref="E146:I146">
    <cfRule type="expression" dxfId="226" priority="148">
      <formula>AND(NHTF_Request_Amount&gt;Max_NHTF,NHTF_Request_Amount&lt;&gt;"")</formula>
    </cfRule>
  </conditionalFormatting>
  <conditionalFormatting sqref="E13:I13">
    <cfRule type="expression" dxfId="225" priority="27">
      <formula>Workforce_Request_Amount&gt;Max_Workforce</formula>
    </cfRule>
  </conditionalFormatting>
  <conditionalFormatting sqref="I13">
    <cfRule type="expression" dxfId="224" priority="29">
      <formula>$L$15=0</formula>
    </cfRule>
  </conditionalFormatting>
  <conditionalFormatting sqref="I40">
    <cfRule type="expression" dxfId="223" priority="60">
      <formula>$L$42=0</formula>
    </cfRule>
  </conditionalFormatting>
  <conditionalFormatting sqref="E40:I40">
    <cfRule type="expression" dxfId="222" priority="59">
      <formula>SAIL_Request_Amount&gt;Max_SAIL</formula>
    </cfRule>
  </conditionalFormatting>
  <conditionalFormatting sqref="I50">
    <cfRule type="expression" dxfId="221" priority="88">
      <formula>$L$52=0</formula>
    </cfRule>
  </conditionalFormatting>
  <conditionalFormatting sqref="E50:I50">
    <cfRule type="expression" dxfId="220" priority="87">
      <formula>ELI_Request_Amount&gt;Max_ELI</formula>
    </cfRule>
  </conditionalFormatting>
  <conditionalFormatting sqref="I69">
    <cfRule type="expression" dxfId="219" priority="100">
      <formula>$L$73=0</formula>
    </cfRule>
  </conditionalFormatting>
  <conditionalFormatting sqref="E69:I69">
    <cfRule type="expression" dxfId="218" priority="99">
      <formula>HOME_Request_Amount&gt;Max_HOME</formula>
    </cfRule>
  </conditionalFormatting>
  <conditionalFormatting sqref="I114">
    <cfRule type="expression" dxfId="217" priority="112">
      <formula>$L$116=0</formula>
    </cfRule>
  </conditionalFormatting>
  <conditionalFormatting sqref="I122">
    <cfRule type="expression" dxfId="216" priority="135">
      <formula>$L$124=0</formula>
    </cfRule>
  </conditionalFormatting>
  <conditionalFormatting sqref="I146">
    <cfRule type="expression" dxfId="215" priority="151">
      <formula>$L$148=0</formula>
    </cfRule>
  </conditionalFormatting>
  <conditionalFormatting sqref="I159">
    <cfRule type="expression" dxfId="214" priority="164">
      <formula>$L$161=0</formula>
    </cfRule>
  </conditionalFormatting>
  <conditionalFormatting sqref="E159:I159">
    <cfRule type="expression" dxfId="213" priority="162">
      <formula>TBD_Request_Amount&gt;Max_TBD</formula>
    </cfRule>
  </conditionalFormatting>
  <conditionalFormatting sqref="I182">
    <cfRule type="expression" dxfId="212" priority="178">
      <formula>$L$184=0</formula>
    </cfRule>
  </conditionalFormatting>
  <conditionalFormatting sqref="E182:I182">
    <cfRule type="expression" dxfId="211" priority="177">
      <formula>Competitive_HC_Request_Amount&gt;Max_Competitive_HC</formula>
    </cfRule>
  </conditionalFormatting>
  <conditionalFormatting sqref="B363:I365">
    <cfRule type="expression" dxfId="210" priority="1041">
      <formula>$N$363=0</formula>
    </cfRule>
  </conditionalFormatting>
  <conditionalFormatting sqref="B370:I373">
    <cfRule type="expression" dxfId="209" priority="1045">
      <formula>$N$370=0</formula>
    </cfRule>
  </conditionalFormatting>
  <conditionalFormatting sqref="B386:I388">
    <cfRule type="expression" dxfId="208" priority="1700">
      <formula>$N$386=0</formula>
    </cfRule>
  </conditionalFormatting>
  <conditionalFormatting sqref="B391:I391 B389:C390 I389:I390">
    <cfRule type="expression" dxfId="207" priority="1723">
      <formula>$N$389=0</formula>
    </cfRule>
  </conditionalFormatting>
  <conditionalFormatting sqref="B392:I395">
    <cfRule type="expression" dxfId="206" priority="1724">
      <formula>$N$392=0</formula>
    </cfRule>
  </conditionalFormatting>
  <conditionalFormatting sqref="B371:I372">
    <cfRule type="expression" dxfId="205" priority="1046">
      <formula>$N$371=0</formula>
    </cfRule>
  </conditionalFormatting>
  <conditionalFormatting sqref="B364:I364">
    <cfRule type="expression" dxfId="204" priority="1042">
      <formula>$N$364=0</formula>
    </cfRule>
  </conditionalFormatting>
  <conditionalFormatting sqref="B380:I381">
    <cfRule type="expression" dxfId="203" priority="1352">
      <formula>$N$380=0</formula>
    </cfRule>
  </conditionalFormatting>
  <conditionalFormatting sqref="B378:I379">
    <cfRule type="expression" dxfId="202" priority="1185">
      <formula>$N$378=0</formula>
    </cfRule>
  </conditionalFormatting>
  <conditionalFormatting sqref="B367:I368">
    <cfRule type="expression" dxfId="201" priority="1044">
      <formula>$N$367=0</formula>
    </cfRule>
  </conditionalFormatting>
  <conditionalFormatting sqref="B366:I369">
    <cfRule type="expression" dxfId="200" priority="1043">
      <formula>$N$366=0</formula>
    </cfRule>
  </conditionalFormatting>
  <conditionalFormatting sqref="B374:I377">
    <cfRule type="expression" dxfId="199" priority="1047">
      <formula>$N$374=0</formula>
    </cfRule>
  </conditionalFormatting>
  <conditionalFormatting sqref="B375:I376">
    <cfRule type="expression" dxfId="198" priority="1048">
      <formula>$N$375=0</formula>
    </cfRule>
  </conditionalFormatting>
  <conditionalFormatting sqref="B382:I383">
    <cfRule type="expression" dxfId="197" priority="1367">
      <formula>$N$382=0</formula>
    </cfRule>
  </conditionalFormatting>
  <conditionalFormatting sqref="A355:I358">
    <cfRule type="expression" dxfId="196" priority="1036">
      <formula>$L$355=0</formula>
    </cfRule>
  </conditionalFormatting>
  <conditionalFormatting sqref="B259:I273">
    <cfRule type="expression" dxfId="195" priority="252">
      <formula>$N$259=0</formula>
    </cfRule>
  </conditionalFormatting>
  <conditionalFormatting sqref="B266:I273">
    <cfRule type="expression" dxfId="194" priority="253">
      <formula>$N$266=0</formula>
    </cfRule>
  </conditionalFormatting>
  <conditionalFormatting sqref="B360:I360">
    <cfRule type="cellIs" dxfId="193" priority="1040" operator="notEqual">
      <formula>""</formula>
    </cfRule>
  </conditionalFormatting>
  <conditionalFormatting sqref="B384:I384">
    <cfRule type="expression" dxfId="192" priority="1686">
      <formula>$N$384=0</formula>
    </cfRule>
  </conditionalFormatting>
  <conditionalFormatting sqref="A359:I388 A391:I395 A389:C390 I389:I390">
    <cfRule type="expression" dxfId="191" priority="1039">
      <formula>$N$359=0</formula>
    </cfRule>
  </conditionalFormatting>
  <conditionalFormatting sqref="B309:I312">
    <cfRule type="expression" dxfId="190" priority="323">
      <formula>$L$311=0</formula>
    </cfRule>
  </conditionalFormatting>
  <conditionalFormatting sqref="I294">
    <cfRule type="expression" dxfId="189" priority="287">
      <formula>IFERROR(FIND("not",I294),0)&gt;0</formula>
    </cfRule>
  </conditionalFormatting>
  <conditionalFormatting sqref="B284:I295">
    <cfRule type="expression" dxfId="188" priority="280">
      <formula>$N$284=0</formula>
    </cfRule>
  </conditionalFormatting>
  <conditionalFormatting sqref="I289:I293">
    <cfRule type="expression" dxfId="187" priority="281">
      <formula>$I$286&lt;&gt;"Yes"</formula>
    </cfRule>
  </conditionalFormatting>
  <conditionalFormatting sqref="I30">
    <cfRule type="expression" dxfId="186" priority="56">
      <formula>$L$42=0</formula>
    </cfRule>
  </conditionalFormatting>
  <conditionalFormatting sqref="E30:I30">
    <cfRule type="expression" dxfId="185" priority="55">
      <formula>AND($O$30=1,County="Miami-Dade",SAIL_Request_Amount&lt;$H$30)</formula>
    </cfRule>
  </conditionalFormatting>
  <conditionalFormatting sqref="I42">
    <cfRule type="expression" dxfId="184" priority="61" stopIfTrue="1">
      <formula>N(I42)&gt;N(H40)</formula>
    </cfRule>
    <cfRule type="expression" dxfId="183" priority="62" stopIfTrue="1">
      <formula>AND($O$30=1,County="Miami-Dade",N($I$42)&gt;0,N($I$42)&lt;$H$30)</formula>
    </cfRule>
    <cfRule type="expression" dxfId="182" priority="63">
      <formula>AND(N(I42)&gt;0,OR(N(I42)&lt;=$H40,IF(AND(O30=1,County="Miami-Dade",I42&gt;=H30),TRUE,FALSE)))</formula>
    </cfRule>
  </conditionalFormatting>
  <conditionalFormatting sqref="B129:I135">
    <cfRule type="expression" dxfId="181" priority="12">
      <formula>$L$129=0</formula>
    </cfRule>
  </conditionalFormatting>
  <conditionalFormatting sqref="B136:I138">
    <cfRule type="expression" dxfId="180" priority="145">
      <formula>$L$128+$L$129=0</formula>
    </cfRule>
  </conditionalFormatting>
  <conditionalFormatting sqref="L252">
    <cfRule type="expression" dxfId="179" priority="248">
      <formula>AND($L$188=0,$L$252=1)</formula>
    </cfRule>
  </conditionalFormatting>
  <conditionalFormatting sqref="B230:I234">
    <cfRule type="expression" dxfId="178" priority="229">
      <formula>$L$231=0</formula>
    </cfRule>
  </conditionalFormatting>
  <conditionalFormatting sqref="E215:H215">
    <cfRule type="expression" dxfId="177" priority="16">
      <formula>IFERROR(RIGHT($E215,6),"")="areas."</formula>
    </cfRule>
  </conditionalFormatting>
  <conditionalFormatting sqref="B129:I138">
    <cfRule type="expression" dxfId="176" priority="144">
      <formula>$L$128+$L$129=0</formula>
    </cfRule>
  </conditionalFormatting>
  <conditionalFormatting sqref="H37">
    <cfRule type="cellIs" dxfId="175" priority="58" operator="equal">
      <formula>"Need Costs"</formula>
    </cfRule>
  </conditionalFormatting>
  <conditionalFormatting sqref="B346:I348">
    <cfRule type="expression" dxfId="174" priority="2035">
      <formula>$L$347=0</formula>
    </cfRule>
  </conditionalFormatting>
  <conditionalFormatting sqref="B349:I351 B353:I353 B352:C352">
    <cfRule type="expression" dxfId="173" priority="2056">
      <formula>$L$350=0</formula>
    </cfRule>
  </conditionalFormatting>
  <conditionalFormatting sqref="B353:I353 B352:C352">
    <cfRule type="expression" dxfId="172" priority="2084">
      <formula>$L$353=0</formula>
    </cfRule>
  </conditionalFormatting>
  <conditionalFormatting sqref="A344:I351 A353:I354 A352:C352">
    <cfRule type="expression" dxfId="171" priority="2095">
      <formula>AND($L$347=0,$L$350=0,$L$353=0)</formula>
    </cfRule>
  </conditionalFormatting>
  <conditionalFormatting sqref="C352:I353">
    <cfRule type="expression" dxfId="170" priority="10">
      <formula>AND(PHA_land_lease&lt;&gt;"Yes",PHA_as_Principal&lt;&gt;"Yes")</formula>
    </cfRule>
  </conditionalFormatting>
  <conditionalFormatting sqref="D107:H112">
    <cfRule type="expression" dxfId="169" priority="1">
      <formula>$O107=0</formula>
    </cfRule>
  </conditionalFormatting>
  <dataValidations count="5">
    <dataValidation type="list" allowBlank="1" showDropDown="1" showErrorMessage="1" error="To select this Resident Program, type in &quot;x&quot;." sqref="D277:D27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73 I161 I52 I42 I124 I116 I184" xr:uid="{F7FBB5B9-D898-4721-B016-C3730E19B926}">
      <formula1>DS_Request_Minimum</formula1>
      <formula2>DS_Request_Maximum</formula2>
    </dataValidation>
    <dataValidation type="custom" allowBlank="1" showInputMessage="1" showErrorMessage="1" sqref="L15 L42 L52 L148 L73 L124 L161 L242 L188 L191 L195 L224:L226 N359 L236 L239 L246 L355 L231 L347 L350 O61:O65 L184 L197 L222 L116 L269:L272 L252 L353 N276 L202:L204 L217 L128:L129 L311 L316 L200 L213 L248 L263:L264 L277:L278 L61:L66" xr:uid="{7D3A3F00-6AB4-4F7D-8734-CC839EC088E6}">
      <formula1>AND(L15&gt;=0,L15&lt;3,L15=ROUND(L15,0))</formula1>
    </dataValidation>
    <dataValidation type="whole" allowBlank="1" showErrorMessage="1" error="Input is restricted to a whole number." sqref="I188 H269:H272 I25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50800</xdr:colOff>
                    <xdr:row>277</xdr:row>
                    <xdr:rowOff>0</xdr:rowOff>
                  </from>
                  <to>
                    <xdr:col>4</xdr:col>
                    <xdr:colOff>660400</xdr:colOff>
                    <xdr:row>280</xdr:row>
                    <xdr:rowOff>50800</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50800</xdr:colOff>
                    <xdr:row>276</xdr:row>
                    <xdr:rowOff>0</xdr:rowOff>
                  </from>
                  <to>
                    <xdr:col>4</xdr:col>
                    <xdr:colOff>660400</xdr:colOff>
                    <xdr:row>280</xdr:row>
                    <xdr:rowOff>50800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4" id="{B4BF2410-56DC-45A9-9141-0866D881F7D3}">
            <xm:f>$G$218="The QCT is in the "&amp;County&amp;" County HUD "&amp;LEFT(Data2!$F$22,4)&amp;" Non-Metro QCT database."</xm:f>
            <x14:dxf>
              <font>
                <color rgb="FF7030A0"/>
              </font>
              <fill>
                <patternFill>
                  <bgColor rgb="FFCCFFCC"/>
                </patternFill>
              </fill>
            </x14:dxf>
          </x14:cfRule>
          <xm:sqref>G218:I218</xm:sqref>
        </x14:conditionalFormatting>
        <x14:conditionalFormatting xmlns:xm="http://schemas.microsoft.com/office/excel/2006/main">
          <x14:cfRule type="expression" priority="223" id="{15237086-CB5A-47BA-B992-428F393C6524}">
            <xm:f>$G$217="The QCT is in the "&amp;County&amp;" County HUD "&amp;LEFT(Data2!$F$22,4)&amp;" Metro QCT database."</xm:f>
            <x14:dxf>
              <font>
                <color rgb="FF7030A0"/>
              </font>
              <fill>
                <patternFill>
                  <bgColor rgb="FFCCFFCC"/>
                </patternFill>
              </fill>
            </x14:dxf>
          </x14:cfRule>
          <xm:sqref>G217:I217</xm:sqref>
        </x14:conditionalFormatting>
        <x14:conditionalFormatting xmlns:xm="http://schemas.microsoft.com/office/excel/2006/main">
          <x14:cfRule type="expression" priority="28" id="{42F10C38-1659-45F1-8D38-CC4396447A17}">
            <xm:f>Data1!$E$611="Yes"</xm:f>
            <x14:dxf>
              <font>
                <color theme="0"/>
              </font>
              <fill>
                <patternFill>
                  <bgColor theme="0"/>
                </patternFill>
              </fill>
              <border>
                <left/>
                <right/>
                <top/>
                <bottom/>
                <vertical/>
                <horizontal/>
              </border>
            </x14:dxf>
          </x14:cfRule>
          <xm:sqref>N4 O7:Q11 L15:N15 N19 R34 L42:N42 N46 N47:Q48 L52:N52 N56 M61:O65 L73:N73 N105 L116:N116 N120 L124:N124 L128:N130 N139 O141:Q144 L148:N148 N152 Q152 L161:N161 O170:Q180 N177:N180 L184:N184 L188:N188 L191:N191 L195:N195 L197:N197 L200:N200 L202:N204 L208:N208 N209:Q209 L213:N213 L217:N218 L222:N222 L224:N226 L231:N231 L236:N236 L239:N239 L242:N242 L246:N246 L248:N248 L252:N252 N259 L263:N264 N266 L268:N272 N276 Q276 L277:N278 N284 N296 N299 N301 L311:N311 N315 L347:N347 L350:N350 L353:N353 L355:N355 N359 N363:N396 O363:O384 Q371 Q384 Q392 Q394 O22:Q38</xm:sqref>
        </x14:conditionalFormatting>
        <x14:conditionalFormatting xmlns:xm="http://schemas.microsoft.com/office/excel/2006/main">
          <x14:cfRule type="expression" priority="261" id="{00000000-000E-0000-1000-00000E010000}">
            <xm:f>Data1!$B575=TRUE</xm:f>
            <x14:dxf>
              <fill>
                <patternFill>
                  <bgColor theme="9" tint="0.79998168889431442"/>
                </patternFill>
              </fill>
            </x14:dxf>
          </x14:cfRule>
          <xm:sqref>D277:I278</xm:sqref>
        </x14:conditionalFormatting>
        <x14:conditionalFormatting xmlns:xm="http://schemas.microsoft.com/office/excel/2006/main">
          <x14:cfRule type="expression" priority="146" id="{B220F592-420C-4069-B6FF-2429CD771739}">
            <xm:f>AND($I$129&lt;&gt;"",OR($I$129&lt;0,$I$129&gt;MIN(ROUNDUP(Data3!C113*N(Total_Units),0),Data3!C114)-IF(OR(AND(County_Size="Large",Data3!H111="Yes"),AND(County_Size="Medium",Data3!H112="Yes")),IF(County_Size="Medium",Data3!C112,Data3!C111),0)))</xm:f>
            <x14:dxf>
              <font>
                <color rgb="FFC00000"/>
              </font>
              <fill>
                <patternFill>
                  <bgColor rgb="FFFFE6FF"/>
                </patternFill>
              </fill>
            </x14:dxf>
          </x14:cfRule>
          <xm:sqref>D130:H130</xm:sqref>
        </x14:conditionalFormatting>
        <x14:conditionalFormatting xmlns:xm="http://schemas.microsoft.com/office/excel/2006/main">
          <x14:cfRule type="expression" priority="9" id="{941F8B16-621F-4FAF-8E38-4C51C2F33977}">
            <xm:f>Data1!$E$611="Yes"</xm:f>
            <x14:dxf>
              <font>
                <color theme="0"/>
              </font>
              <fill>
                <patternFill>
                  <bgColor theme="0"/>
                </patternFill>
              </fill>
              <border>
                <left/>
                <right/>
                <top/>
                <bottom/>
                <vertical/>
                <horizontal/>
              </border>
            </x14:dxf>
          </x14:cfRule>
          <xm:sqref>O107:Q107</xm:sqref>
        </x14:conditionalFormatting>
        <x14:conditionalFormatting xmlns:xm="http://schemas.microsoft.com/office/excel/2006/main">
          <x14:cfRule type="expression" priority="8" id="{ECC61ADF-EBBD-4F3D-BD51-9BC5DBDE6373}">
            <xm:f>Data1!$E$611="Yes"</xm:f>
            <x14:dxf>
              <font>
                <color theme="0"/>
              </font>
              <fill>
                <patternFill>
                  <bgColor theme="0"/>
                </patternFill>
              </fill>
              <border>
                <left/>
                <right/>
                <top/>
                <bottom/>
                <vertical/>
                <horizontal/>
              </border>
            </x14:dxf>
          </x14:cfRule>
          <xm:sqref>O108:Q108</xm:sqref>
        </x14:conditionalFormatting>
        <x14:conditionalFormatting xmlns:xm="http://schemas.microsoft.com/office/excel/2006/main">
          <x14:cfRule type="expression" priority="7" id="{1C846AD4-56CD-458E-95BF-EAC50AA39A7F}">
            <xm:f>Data1!$E$611="Yes"</xm:f>
            <x14:dxf>
              <font>
                <color theme="0"/>
              </font>
              <fill>
                <patternFill>
                  <bgColor theme="0"/>
                </patternFill>
              </fill>
              <border>
                <left/>
                <right/>
                <top/>
                <bottom/>
                <vertical/>
                <horizontal/>
              </border>
            </x14:dxf>
          </x14:cfRule>
          <xm:sqref>O110:Q110</xm:sqref>
        </x14:conditionalFormatting>
        <x14:conditionalFormatting xmlns:xm="http://schemas.microsoft.com/office/excel/2006/main">
          <x14:cfRule type="expression" priority="6" id="{BD5F045B-4824-4060-B055-778FE867DE24}">
            <xm:f>Data1!$E$611="Yes"</xm:f>
            <x14:dxf>
              <font>
                <color theme="0"/>
              </font>
              <fill>
                <patternFill>
                  <bgColor theme="0"/>
                </patternFill>
              </fill>
              <border>
                <left/>
                <right/>
                <top/>
                <bottom/>
                <vertical/>
                <horizontal/>
              </border>
            </x14:dxf>
          </x14:cfRule>
          <xm:sqref>O109:Q109</xm:sqref>
        </x14:conditionalFormatting>
        <x14:conditionalFormatting xmlns:xm="http://schemas.microsoft.com/office/excel/2006/main">
          <x14:cfRule type="expression" priority="5" id="{C4DD04F4-29DA-424C-BEB1-9C0B79417695}">
            <xm:f>Data1!$E$611="Yes"</xm:f>
            <x14:dxf>
              <font>
                <color theme="0"/>
              </font>
              <fill>
                <patternFill>
                  <bgColor theme="0"/>
                </patternFill>
              </fill>
              <border>
                <left/>
                <right/>
                <top/>
                <bottom/>
                <vertical/>
                <horizontal/>
              </border>
            </x14:dxf>
          </x14:cfRule>
          <xm:sqref>P111:Q111</xm:sqref>
        </x14:conditionalFormatting>
        <x14:conditionalFormatting xmlns:xm="http://schemas.microsoft.com/office/excel/2006/main">
          <x14:cfRule type="expression" priority="4" id="{99B5749C-52E5-41C2-91D1-E5919A19875E}">
            <xm:f>Data1!$E$611="Yes"</xm:f>
            <x14:dxf>
              <font>
                <color theme="0"/>
              </font>
              <fill>
                <patternFill>
                  <bgColor theme="0"/>
                </patternFill>
              </fill>
              <border>
                <left/>
                <right/>
                <top/>
                <bottom/>
                <vertical/>
                <horizontal/>
              </border>
            </x14:dxf>
          </x14:cfRule>
          <xm:sqref>P112:Q112</xm:sqref>
        </x14:conditionalFormatting>
        <x14:conditionalFormatting xmlns:xm="http://schemas.microsoft.com/office/excel/2006/main">
          <x14:cfRule type="expression" priority="3" id="{7A08340B-3F1F-46B9-B0E5-781DD47969B2}">
            <xm:f>Data1!$E$611="Yes"</xm:f>
            <x14:dxf>
              <font>
                <color theme="0"/>
              </font>
              <fill>
                <patternFill>
                  <bgColor theme="0"/>
                </patternFill>
              </fill>
              <border>
                <left/>
                <right/>
                <top/>
                <bottom/>
                <vertical/>
                <horizontal/>
              </border>
            </x14:dxf>
          </x14:cfRule>
          <xm:sqref>O111</xm:sqref>
        </x14:conditionalFormatting>
        <x14:conditionalFormatting xmlns:xm="http://schemas.microsoft.com/office/excel/2006/main">
          <x14:cfRule type="expression" priority="2" id="{46168D35-F0BA-4464-AC8E-8118BD140A94}">
            <xm:f>Data1!$E$611="Yes"</xm:f>
            <x14:dxf>
              <font>
                <color theme="0"/>
              </font>
              <fill>
                <patternFill>
                  <bgColor theme="0"/>
                </patternFill>
              </fill>
              <border>
                <left/>
                <right/>
                <top/>
                <bottom/>
                <vertical/>
                <horizontal/>
              </border>
            </x14:dxf>
          </x14:cfRule>
          <xm:sqref>O112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575AB2E-7EE2-4316-8AF5-66943E25F8C1}">
          <x14:formula1>
            <xm:f>Data2!$D$48:$D$50</xm:f>
          </x14:formula1>
          <xm:sqref>E200:F200 I357 I311 D347:F347 E213:F213 E222:F222 E191:F191 E236:F236 E195:F195 D350:F350 E246:F246 E239:F239 I128</xm:sqref>
        </x14:dataValidation>
        <x14:dataValidation type="list" allowBlank="1" showInputMessage="1" showErrorMessage="1" xr:uid="{BDAD33C0-739A-4990-8403-E56557BB17B4}">
          <x14:formula1>
            <xm:f>Data2!$D$59:$D$62</xm:f>
          </x14:formula1>
          <xm:sqref>E248:F248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519"/>
  <sheetViews>
    <sheetView zoomScaleNormal="100" zoomScaleSheetLayoutView="100" zoomScalePageLayoutView="120" workbookViewId="0">
      <selection activeCell="H45" sqref="H45"/>
    </sheetView>
  </sheetViews>
  <sheetFormatPr defaultColWidth="9.453125" defaultRowHeight="12.5"/>
  <cols>
    <col min="1" max="1" width="1.54296875" style="228" customWidth="1"/>
    <col min="2" max="2" width="3.54296875" style="228" customWidth="1"/>
    <col min="3" max="3" width="3.453125" style="228" customWidth="1"/>
    <col min="4" max="4" width="2.54296875" style="228" customWidth="1"/>
    <col min="5" max="5" width="10.81640625" style="228" customWidth="1"/>
    <col min="6" max="6" width="19.54296875" style="228" customWidth="1"/>
    <col min="7" max="7" width="3.54296875" style="228" customWidth="1"/>
    <col min="8" max="8" width="14.453125" style="228" customWidth="1"/>
    <col min="9" max="9" width="2.54296875" style="228" customWidth="1"/>
    <col min="10" max="10" width="3.54296875" style="228" customWidth="1"/>
    <col min="11" max="11" width="14.453125" style="228" customWidth="1"/>
    <col min="12" max="12" width="2.54296875" style="228" customWidth="1"/>
    <col min="13" max="13" width="3.54296875" style="228" customWidth="1"/>
    <col min="14" max="14" width="14.453125" style="228" customWidth="1"/>
    <col min="15" max="15" width="1.54296875" style="228" customWidth="1"/>
    <col min="16" max="16" width="9.1796875" style="228" customWidth="1"/>
    <col min="17" max="17" width="19" style="228" customWidth="1"/>
    <col min="18" max="18" width="9.453125" style="228"/>
    <col min="19" max="20" width="11.54296875" style="228" customWidth="1"/>
    <col min="21" max="21" width="14" style="228" customWidth="1"/>
    <col min="22" max="22" width="20.54296875" style="228" customWidth="1"/>
    <col min="23" max="23" width="13.1796875" style="228" customWidth="1"/>
    <col min="24" max="24" width="15.81640625" style="228" customWidth="1"/>
    <col min="25" max="16384" width="9.453125" style="228"/>
  </cols>
  <sheetData>
    <row r="1" spans="1:22" customFormat="1" ht="35.9" customHeight="1" thickBot="1">
      <c r="A1" s="2443" t="s">
        <v>1138</v>
      </c>
      <c r="B1" s="2444"/>
      <c r="C1" s="2444"/>
      <c r="D1" s="2444"/>
      <c r="E1" s="2444"/>
      <c r="F1" s="2444"/>
      <c r="G1" s="2444"/>
      <c r="H1" s="2444"/>
      <c r="I1" s="2444"/>
      <c r="J1" s="2444"/>
      <c r="K1" s="2444"/>
      <c r="L1" s="2444"/>
      <c r="M1" s="2444"/>
      <c r="N1" s="2444"/>
      <c r="O1" s="2444"/>
      <c r="P1" s="2445"/>
      <c r="Q1" s="662"/>
      <c r="R1" s="225"/>
      <c r="S1" s="225"/>
      <c r="T1" s="225"/>
      <c r="U1" s="225"/>
      <c r="V1" s="225"/>
    </row>
    <row r="2" spans="1:22" ht="13">
      <c r="A2" s="235"/>
      <c r="B2" s="888" t="str">
        <f>DS_TabLeftFooter&amp;" DEVELOPMENT COST PRO FORMA"</f>
        <v>RFA 2023-102 DEVELOPMENT COST PRO FORMA</v>
      </c>
      <c r="C2" s="614"/>
      <c r="D2" s="654"/>
      <c r="E2" s="654"/>
      <c r="F2" s="654"/>
      <c r="G2" s="654"/>
      <c r="H2" s="654"/>
      <c r="I2" s="235"/>
      <c r="J2" s="235"/>
      <c r="K2" s="235"/>
      <c r="L2" s="235"/>
      <c r="M2" s="235"/>
      <c r="N2" s="235"/>
      <c r="O2" s="245"/>
      <c r="P2" s="244" t="str">
        <f>IF($P422=1,"(Page 1 of 8)","(Page 1 of 7)")</f>
        <v>(Page 1 of 7)</v>
      </c>
    </row>
    <row r="3" spans="1:22" ht="16.5">
      <c r="A3" s="235"/>
      <c r="B3" s="242"/>
      <c r="C3" s="242"/>
      <c r="D3" s="235"/>
      <c r="E3" s="235"/>
      <c r="F3" s="235"/>
      <c r="G3" s="359"/>
      <c r="H3" s="235"/>
      <c r="I3" s="235"/>
      <c r="J3" s="235"/>
      <c r="K3" s="235"/>
      <c r="L3" s="235"/>
      <c r="M3" s="235"/>
      <c r="N3" s="235"/>
      <c r="O3" s="245"/>
      <c r="P3" s="245"/>
    </row>
    <row r="4" spans="1:22">
      <c r="A4" s="235"/>
      <c r="B4" s="235"/>
      <c r="C4" s="235"/>
      <c r="D4" s="358" t="s">
        <v>620</v>
      </c>
      <c r="E4" s="352">
        <v>1</v>
      </c>
      <c r="F4" s="243" t="s">
        <v>621</v>
      </c>
      <c r="O4" s="245"/>
      <c r="P4" s="245"/>
    </row>
    <row r="5" spans="1:22">
      <c r="A5" s="235"/>
      <c r="B5" s="235"/>
      <c r="C5" s="273"/>
      <c r="D5" s="273"/>
      <c r="E5" s="357"/>
      <c r="F5" s="243" t="s">
        <v>622</v>
      </c>
      <c r="O5" s="245"/>
      <c r="P5" s="245"/>
      <c r="Q5" s="1905"/>
    </row>
    <row r="6" spans="1:22" hidden="1">
      <c r="A6" s="235"/>
      <c r="B6" s="235"/>
      <c r="C6" s="273"/>
      <c r="D6" s="273"/>
      <c r="E6" s="360"/>
      <c r="F6" s="243" t="s">
        <v>623</v>
      </c>
      <c r="O6" s="245"/>
      <c r="P6" s="245"/>
    </row>
    <row r="7" spans="1:22" hidden="1">
      <c r="A7" s="235"/>
      <c r="B7" s="235"/>
      <c r="C7" s="273"/>
      <c r="D7" s="273"/>
      <c r="E7" s="361"/>
      <c r="F7" s="243" t="s">
        <v>624</v>
      </c>
      <c r="O7" s="245"/>
      <c r="P7" s="245"/>
    </row>
    <row r="8" spans="1:22" hidden="1">
      <c r="A8" s="235"/>
      <c r="B8" s="1900"/>
      <c r="C8" s="1901"/>
      <c r="D8" s="1901"/>
      <c r="E8" s="1902"/>
      <c r="F8" s="243" t="s">
        <v>625</v>
      </c>
      <c r="O8" s="245"/>
      <c r="P8" s="245"/>
    </row>
    <row r="9" spans="1:22" hidden="1">
      <c r="A9" s="235"/>
      <c r="B9" s="1900"/>
      <c r="C9" s="1901"/>
      <c r="D9" s="1901"/>
      <c r="E9" s="1902"/>
      <c r="F9" s="243" t="s">
        <v>626</v>
      </c>
      <c r="O9" s="245"/>
      <c r="P9" s="245"/>
    </row>
    <row r="10" spans="1:22" hidden="1">
      <c r="A10" s="235"/>
      <c r="B10" s="1900"/>
      <c r="C10" s="1901"/>
      <c r="D10" s="1901"/>
      <c r="E10" s="1902"/>
      <c r="F10" s="243" t="s">
        <v>627</v>
      </c>
      <c r="O10" s="245"/>
      <c r="P10" s="245"/>
    </row>
    <row r="11" spans="1:22">
      <c r="A11" s="235"/>
      <c r="B11" s="235"/>
      <c r="C11" s="235"/>
      <c r="D11" s="235"/>
      <c r="E11" s="352">
        <f>MAX(E$4:E8)+1</f>
        <v>2</v>
      </c>
      <c r="F11" s="243" t="s">
        <v>628</v>
      </c>
      <c r="O11" s="245"/>
      <c r="P11" s="245"/>
    </row>
    <row r="12" spans="1:22">
      <c r="A12" s="235"/>
      <c r="B12" s="235"/>
      <c r="C12" s="235"/>
      <c r="D12" s="235"/>
      <c r="E12" s="356"/>
      <c r="F12" s="243" t="s">
        <v>629</v>
      </c>
      <c r="O12" s="245"/>
      <c r="P12" s="245"/>
    </row>
    <row r="13" spans="1:22">
      <c r="A13" s="235"/>
      <c r="B13" s="235"/>
      <c r="C13" s="235"/>
      <c r="D13" s="235"/>
      <c r="E13" s="356"/>
      <c r="F13" s="243" t="s">
        <v>630</v>
      </c>
      <c r="O13" s="245"/>
      <c r="P13" s="245"/>
    </row>
    <row r="14" spans="1:22">
      <c r="A14" s="235"/>
      <c r="B14" s="235"/>
      <c r="C14" s="235"/>
      <c r="D14" s="235"/>
      <c r="E14" s="352">
        <f>MAX(E$4:E13)+1</f>
        <v>3</v>
      </c>
      <c r="F14" s="243" t="s">
        <v>631</v>
      </c>
      <c r="O14" s="245"/>
      <c r="P14" s="245"/>
    </row>
    <row r="15" spans="1:22">
      <c r="A15" s="235"/>
      <c r="B15" s="235"/>
      <c r="C15" s="235"/>
      <c r="D15" s="235"/>
      <c r="E15" s="356"/>
      <c r="F15" s="243" t="s">
        <v>632</v>
      </c>
      <c r="G15" s="355"/>
      <c r="H15" s="355"/>
      <c r="I15" s="355"/>
      <c r="J15" s="355"/>
      <c r="K15" s="355"/>
      <c r="L15" s="355"/>
      <c r="M15" s="355"/>
      <c r="N15" s="355"/>
      <c r="O15" s="245"/>
      <c r="P15" s="245"/>
    </row>
    <row r="16" spans="1:22">
      <c r="A16" s="235"/>
      <c r="B16" s="235"/>
      <c r="C16" s="235"/>
      <c r="D16" s="235"/>
      <c r="E16" s="356"/>
      <c r="F16" s="243" t="s">
        <v>633</v>
      </c>
      <c r="G16" s="355"/>
      <c r="H16" s="355"/>
      <c r="I16" s="355"/>
      <c r="J16" s="355"/>
      <c r="K16" s="355"/>
      <c r="L16" s="355"/>
      <c r="M16" s="355"/>
      <c r="N16" s="355"/>
      <c r="O16" s="245"/>
      <c r="P16" s="245"/>
    </row>
    <row r="17" spans="1:16" hidden="1">
      <c r="A17" s="235"/>
      <c r="B17" s="235"/>
      <c r="C17" s="235"/>
      <c r="D17" s="235"/>
      <c r="E17" s="360"/>
      <c r="F17" s="243" t="s">
        <v>634</v>
      </c>
      <c r="G17" s="355"/>
      <c r="H17" s="355"/>
      <c r="I17" s="355"/>
      <c r="J17" s="355"/>
      <c r="K17" s="355"/>
      <c r="L17" s="355"/>
      <c r="M17" s="355"/>
      <c r="N17" s="355"/>
      <c r="O17" s="245"/>
      <c r="P17" s="245"/>
    </row>
    <row r="18" spans="1:16" hidden="1">
      <c r="A18" s="235"/>
      <c r="B18" s="235"/>
      <c r="C18" s="235"/>
      <c r="D18" s="235"/>
      <c r="E18" s="361"/>
      <c r="F18" s="243" t="s">
        <v>635</v>
      </c>
      <c r="O18" s="245"/>
      <c r="P18" s="245"/>
    </row>
    <row r="19" spans="1:16" hidden="1">
      <c r="A19" s="235"/>
      <c r="B19" s="235"/>
      <c r="C19" s="235"/>
      <c r="D19" s="235"/>
      <c r="E19" s="362"/>
      <c r="F19" s="273" t="s">
        <v>636</v>
      </c>
      <c r="G19" s="235"/>
      <c r="H19" s="235"/>
      <c r="I19" s="235"/>
      <c r="J19" s="235"/>
      <c r="K19" s="235"/>
      <c r="L19" s="235"/>
      <c r="M19" s="235"/>
      <c r="N19" s="235"/>
      <c r="O19" s="245"/>
      <c r="P19" s="245"/>
    </row>
    <row r="20" spans="1:16">
      <c r="A20" s="235"/>
      <c r="B20" s="235"/>
      <c r="C20" s="654"/>
      <c r="D20" s="654"/>
      <c r="E20" s="1903">
        <f>MAX(E$4:E18)+1</f>
        <v>4</v>
      </c>
      <c r="F20" s="1919" t="s">
        <v>2139</v>
      </c>
      <c r="G20" s="235"/>
      <c r="H20" s="235"/>
      <c r="I20" s="235"/>
      <c r="J20" s="235"/>
      <c r="K20" s="235"/>
      <c r="L20" s="235"/>
      <c r="M20" s="235"/>
      <c r="N20" s="235"/>
      <c r="O20" s="245"/>
      <c r="P20" s="245"/>
    </row>
    <row r="21" spans="1:16">
      <c r="A21" s="235"/>
      <c r="B21" s="235"/>
      <c r="C21" s="235"/>
      <c r="D21" s="235"/>
      <c r="E21" s="354"/>
      <c r="F21" s="1919" t="s">
        <v>2137</v>
      </c>
      <c r="G21" s="235"/>
      <c r="H21" s="235"/>
      <c r="I21" s="235"/>
      <c r="J21" s="235"/>
      <c r="K21" s="235"/>
      <c r="L21" s="235"/>
      <c r="M21" s="235"/>
      <c r="N21" s="235"/>
      <c r="O21" s="245"/>
      <c r="P21" s="245"/>
    </row>
    <row r="22" spans="1:16">
      <c r="A22" s="235"/>
      <c r="B22" s="235"/>
      <c r="C22" s="235"/>
      <c r="D22" s="235"/>
      <c r="E22" s="354"/>
      <c r="F22" s="1919" t="s">
        <v>2102</v>
      </c>
      <c r="G22" s="235"/>
      <c r="H22" s="235"/>
      <c r="I22" s="235"/>
      <c r="J22" s="235"/>
      <c r="K22" s="235"/>
      <c r="L22" s="235"/>
      <c r="M22" s="235"/>
      <c r="N22" s="235"/>
      <c r="O22" s="245"/>
      <c r="P22" s="245"/>
    </row>
    <row r="23" spans="1:16" hidden="1">
      <c r="A23" s="235"/>
      <c r="B23" s="235"/>
      <c r="C23" s="235"/>
      <c r="D23" s="235"/>
      <c r="E23" s="353"/>
      <c r="F23" s="273"/>
      <c r="G23" s="235"/>
      <c r="H23" s="235"/>
      <c r="I23" s="235"/>
      <c r="J23" s="235"/>
      <c r="K23" s="235"/>
      <c r="L23" s="235"/>
      <c r="M23" s="235"/>
      <c r="N23" s="235"/>
      <c r="O23" s="245"/>
      <c r="P23" s="245"/>
    </row>
    <row r="24" spans="1:16" hidden="1">
      <c r="A24" s="235"/>
      <c r="B24" s="235"/>
      <c r="C24" s="235"/>
      <c r="D24" s="235"/>
      <c r="E24" s="350"/>
      <c r="F24" s="273"/>
      <c r="G24" s="235"/>
      <c r="H24" s="235"/>
      <c r="I24" s="235"/>
      <c r="J24" s="235"/>
      <c r="K24" s="235"/>
      <c r="L24" s="235"/>
      <c r="M24" s="235"/>
      <c r="N24" s="235"/>
      <c r="O24" s="245"/>
      <c r="P24" s="245"/>
    </row>
    <row r="25" spans="1:16">
      <c r="A25" s="235"/>
      <c r="B25" s="235"/>
      <c r="C25" s="235"/>
      <c r="D25" s="235"/>
      <c r="E25" s="352">
        <f>MAX(E$4:E23)+1</f>
        <v>5</v>
      </c>
      <c r="F25" s="273" t="s">
        <v>637</v>
      </c>
      <c r="G25" s="235"/>
      <c r="H25" s="235"/>
      <c r="I25" s="235"/>
      <c r="J25" s="235"/>
      <c r="K25" s="235"/>
      <c r="L25" s="235"/>
      <c r="M25" s="235"/>
      <c r="N25" s="235"/>
      <c r="O25" s="245"/>
      <c r="P25" s="245"/>
    </row>
    <row r="26" spans="1:16">
      <c r="A26" s="235"/>
      <c r="B26" s="235"/>
      <c r="C26" s="235"/>
      <c r="D26" s="235"/>
      <c r="E26" s="350"/>
      <c r="F26" s="273" t="s">
        <v>638</v>
      </c>
      <c r="G26" s="235"/>
      <c r="H26" s="235"/>
      <c r="I26" s="235"/>
      <c r="J26" s="235"/>
      <c r="K26" s="235"/>
      <c r="L26" s="235"/>
      <c r="M26" s="235"/>
      <c r="N26" s="235"/>
      <c r="O26" s="245"/>
      <c r="P26" s="245"/>
    </row>
    <row r="27" spans="1:16">
      <c r="A27" s="235"/>
      <c r="B27" s="235"/>
      <c r="C27" s="235"/>
      <c r="D27" s="235"/>
      <c r="E27" s="350"/>
      <c r="F27" s="273" t="s">
        <v>639</v>
      </c>
      <c r="G27" s="235"/>
      <c r="H27" s="235"/>
      <c r="I27" s="235"/>
      <c r="J27" s="235"/>
      <c r="K27" s="235"/>
      <c r="L27" s="235"/>
      <c r="M27" s="235"/>
      <c r="N27" s="235"/>
      <c r="O27" s="245"/>
      <c r="P27" s="245"/>
    </row>
    <row r="28" spans="1:16">
      <c r="A28" s="235"/>
      <c r="B28" s="235"/>
      <c r="C28" s="235"/>
      <c r="D28" s="235"/>
      <c r="E28" s="352">
        <f>MAX(E$4:E27)+1</f>
        <v>6</v>
      </c>
      <c r="F28" s="273" t="s">
        <v>640</v>
      </c>
      <c r="G28" s="235"/>
      <c r="H28" s="235"/>
      <c r="I28" s="235"/>
      <c r="J28" s="235"/>
      <c r="K28" s="235"/>
      <c r="L28" s="235"/>
      <c r="M28" s="235"/>
      <c r="N28" s="235"/>
      <c r="O28" s="245"/>
      <c r="P28" s="245"/>
    </row>
    <row r="29" spans="1:16">
      <c r="A29" s="235"/>
      <c r="B29" s="235"/>
      <c r="C29" s="235"/>
      <c r="D29" s="235"/>
      <c r="E29" s="350"/>
      <c r="F29" s="273" t="s">
        <v>641</v>
      </c>
      <c r="G29" s="235"/>
      <c r="H29" s="235"/>
      <c r="I29" s="235"/>
      <c r="J29" s="235"/>
      <c r="K29" s="235"/>
      <c r="L29" s="235"/>
      <c r="M29" s="235"/>
      <c r="N29" s="235"/>
      <c r="O29" s="245"/>
      <c r="P29" s="245"/>
    </row>
    <row r="30" spans="1:16">
      <c r="A30" s="235"/>
      <c r="B30" s="235"/>
      <c r="C30" s="235"/>
      <c r="D30" s="235"/>
      <c r="F30" s="273" t="s">
        <v>642</v>
      </c>
      <c r="G30" s="235"/>
      <c r="H30" s="235"/>
      <c r="I30" s="235"/>
      <c r="J30" s="235"/>
      <c r="K30" s="235"/>
      <c r="L30" s="235"/>
      <c r="M30" s="235"/>
      <c r="N30" s="235"/>
      <c r="O30" s="245"/>
      <c r="P30" s="245"/>
    </row>
    <row r="31" spans="1:16">
      <c r="A31" s="235"/>
      <c r="B31" s="235"/>
      <c r="C31" s="235"/>
      <c r="D31" s="235"/>
      <c r="F31" s="273" t="s">
        <v>643</v>
      </c>
      <c r="G31" s="235"/>
      <c r="H31" s="235"/>
      <c r="I31" s="235"/>
      <c r="J31" s="235"/>
      <c r="K31" s="235"/>
      <c r="L31" s="235"/>
      <c r="M31" s="235"/>
      <c r="N31" s="235"/>
      <c r="O31" s="245"/>
      <c r="P31" s="245"/>
    </row>
    <row r="32" spans="1:16" hidden="1">
      <c r="A32" s="235"/>
      <c r="B32" s="235"/>
      <c r="C32" s="235"/>
      <c r="D32" s="235"/>
      <c r="E32" s="352">
        <f>MAX(E$4:E31)+1</f>
        <v>7</v>
      </c>
      <c r="F32" s="273" t="s">
        <v>1520</v>
      </c>
      <c r="G32" s="235"/>
      <c r="H32" s="235"/>
      <c r="I32" s="235"/>
      <c r="J32" s="235"/>
      <c r="K32" s="235"/>
      <c r="L32" s="235"/>
      <c r="M32" s="235"/>
      <c r="N32" s="235"/>
      <c r="O32" s="245"/>
      <c r="P32" s="245"/>
    </row>
    <row r="33" spans="1:26" hidden="1">
      <c r="A33" s="235"/>
      <c r="B33" s="235"/>
      <c r="C33" s="235"/>
      <c r="D33" s="235"/>
      <c r="E33" s="352"/>
      <c r="F33" s="273" t="s">
        <v>1521</v>
      </c>
      <c r="G33" s="235"/>
      <c r="H33" s="235"/>
      <c r="I33" s="235"/>
      <c r="J33" s="235"/>
      <c r="K33" s="235"/>
      <c r="L33" s="235"/>
      <c r="M33" s="235"/>
      <c r="N33" s="235"/>
      <c r="O33" s="245"/>
      <c r="P33" s="245"/>
    </row>
    <row r="34" spans="1:26">
      <c r="A34" s="235"/>
      <c r="B34" s="235"/>
      <c r="C34" s="235"/>
      <c r="D34" s="235"/>
      <c r="E34" s="350"/>
      <c r="G34" s="235"/>
      <c r="H34" s="235"/>
      <c r="I34" s="235"/>
      <c r="J34" s="235"/>
      <c r="K34" s="235"/>
      <c r="L34" s="235"/>
      <c r="M34" s="235"/>
      <c r="N34" s="235"/>
      <c r="O34" s="245"/>
      <c r="P34" s="245"/>
    </row>
    <row r="35" spans="1:26">
      <c r="A35" s="235"/>
      <c r="B35" s="235"/>
      <c r="C35" s="351" t="s">
        <v>644</v>
      </c>
      <c r="D35" s="235"/>
      <c r="E35" s="350"/>
      <c r="F35" s="235"/>
      <c r="G35" s="235"/>
      <c r="H35" s="235"/>
      <c r="I35" s="235"/>
      <c r="J35" s="235"/>
      <c r="K35" s="235"/>
      <c r="L35" s="235"/>
      <c r="M35" s="235"/>
      <c r="N35" s="235"/>
      <c r="O35" s="245"/>
      <c r="P35" s="245"/>
    </row>
    <row r="36" spans="1:26">
      <c r="A36" s="235"/>
      <c r="B36" s="235"/>
      <c r="C36" s="351" t="s">
        <v>645</v>
      </c>
      <c r="D36" s="235"/>
      <c r="E36" s="350"/>
      <c r="F36" s="273"/>
      <c r="G36" s="235"/>
      <c r="H36" s="235"/>
      <c r="I36" s="235"/>
      <c r="J36" s="235"/>
      <c r="K36" s="235"/>
      <c r="L36" s="235"/>
      <c r="M36" s="235"/>
      <c r="N36" s="235"/>
      <c r="O36" s="245"/>
      <c r="P36" s="245"/>
    </row>
    <row r="37" spans="1:26" ht="13">
      <c r="A37" s="235"/>
      <c r="B37" s="272"/>
      <c r="D37" s="235"/>
      <c r="E37" s="235"/>
      <c r="F37" s="235"/>
      <c r="G37" s="235"/>
      <c r="H37" s="235"/>
      <c r="I37" s="235"/>
      <c r="J37" s="235"/>
      <c r="K37" s="235"/>
      <c r="L37" s="235"/>
      <c r="M37" s="235"/>
      <c r="N37" s="235"/>
      <c r="O37" s="245"/>
      <c r="P37" s="245"/>
    </row>
    <row r="38" spans="1:26" ht="13">
      <c r="A38" s="654"/>
      <c r="B38" s="709"/>
      <c r="C38" s="614"/>
      <c r="D38" s="654"/>
      <c r="E38" s="654"/>
      <c r="F38" s="614"/>
      <c r="G38" s="654"/>
      <c r="H38" s="614"/>
      <c r="I38" s="710" t="s">
        <v>646</v>
      </c>
      <c r="J38" s="654"/>
      <c r="K38" s="2448" t="str">
        <f>IF(Development_Category=DS_Select_One,"Category Input Required",Development_Category)</f>
        <v>New Construction</v>
      </c>
      <c r="L38" s="2448"/>
      <c r="M38" s="2448"/>
      <c r="N38" s="2448"/>
      <c r="O38" s="711"/>
      <c r="P38" s="793" t="str">
        <f>IF(K38="Category Input Required","**","")</f>
        <v/>
      </c>
      <c r="Q38" s="614"/>
      <c r="R38" s="793" t="s">
        <v>385</v>
      </c>
      <c r="S38" s="614" t="s">
        <v>725</v>
      </c>
      <c r="T38" s="614"/>
      <c r="U38" s="614"/>
      <c r="V38" s="614"/>
      <c r="W38" s="614"/>
      <c r="X38" s="614"/>
      <c r="Y38" s="614"/>
      <c r="Z38" s="614"/>
    </row>
    <row r="39" spans="1:26" ht="13">
      <c r="A39" s="654"/>
      <c r="B39" s="709"/>
      <c r="C39" s="614"/>
      <c r="D39" s="654"/>
      <c r="E39" s="654"/>
      <c r="F39" s="614"/>
      <c r="G39" s="654"/>
      <c r="H39" s="614"/>
      <c r="I39" s="712" t="s">
        <v>647</v>
      </c>
      <c r="J39" s="654"/>
      <c r="K39" s="714" t="str">
        <f>IF(Total_Units&gt;0,Total_Units,"Total Units Required")</f>
        <v>Total Units Required</v>
      </c>
      <c r="L39" s="713"/>
      <c r="M39" s="713"/>
      <c r="N39" s="715"/>
      <c r="O39" s="711"/>
      <c r="P39" s="793" t="str">
        <f>IF(N(K39)=0,"**","")</f>
        <v>**</v>
      </c>
      <c r="Q39" s="614"/>
      <c r="R39" s="614"/>
      <c r="S39" s="614"/>
      <c r="T39" s="614"/>
      <c r="U39" s="614"/>
      <c r="V39" s="614"/>
      <c r="W39" s="614"/>
      <c r="X39" s="614"/>
      <c r="Y39" s="614"/>
      <c r="Z39" s="614"/>
    </row>
    <row r="40" spans="1:26" ht="15" customHeight="1">
      <c r="A40" s="235"/>
      <c r="B40" s="272"/>
      <c r="D40" s="235"/>
      <c r="E40" s="235"/>
      <c r="F40" s="235"/>
      <c r="G40" s="2474" t="str">
        <f>IF(SUM(I45:I201)+SUM(L45:L201)&gt;0,"The "&amp;TEXT(SUM(I45:I201)+SUM(L45:L201),"0")&amp;" highlighted cell"&amp;IF(SUM(I45:I201)+SUM(L45:L201)&gt;1,"s","")&amp;" should be corrected to have a whole number","")</f>
        <v/>
      </c>
      <c r="H40" s="2474"/>
      <c r="I40" s="2474"/>
      <c r="J40" s="2474"/>
      <c r="K40" s="2474"/>
      <c r="L40" s="2474"/>
      <c r="M40" s="2474"/>
      <c r="N40" s="2474"/>
      <c r="Q40" s="2465" t="s">
        <v>724</v>
      </c>
      <c r="R40" s="2466"/>
      <c r="S40" s="2466"/>
      <c r="T40" s="2466"/>
      <c r="U40" s="2466"/>
      <c r="V40" s="2466"/>
      <c r="W40" s="2466"/>
      <c r="X40" s="2466"/>
      <c r="Y40" s="2466"/>
      <c r="Z40" s="2467"/>
    </row>
    <row r="41" spans="1:26" ht="12.75" customHeight="1">
      <c r="A41" s="235"/>
      <c r="B41" s="235"/>
      <c r="C41" s="235"/>
      <c r="D41" s="235"/>
      <c r="E41" s="235"/>
      <c r="F41" s="235"/>
      <c r="G41" s="235"/>
      <c r="H41" s="342">
        <v>1</v>
      </c>
      <c r="I41" s="235"/>
      <c r="J41" s="235"/>
      <c r="K41" s="1890"/>
      <c r="L41" s="235"/>
      <c r="M41" s="313"/>
      <c r="N41" s="349">
        <v>3</v>
      </c>
      <c r="O41" s="245"/>
      <c r="P41" s="245"/>
      <c r="Q41" s="2468"/>
      <c r="R41" s="2469"/>
      <c r="S41" s="2469"/>
      <c r="T41" s="2469"/>
      <c r="U41" s="2469"/>
      <c r="V41" s="2469"/>
      <c r="W41" s="2469"/>
      <c r="X41" s="2469"/>
      <c r="Y41" s="2469"/>
      <c r="Z41" s="2470"/>
    </row>
    <row r="42" spans="1:26" ht="23.9" customHeight="1" thickBot="1">
      <c r="A42" s="235"/>
      <c r="B42" s="235"/>
      <c r="C42" s="235"/>
      <c r="D42" s="235"/>
      <c r="E42" s="235"/>
      <c r="F42" s="235"/>
      <c r="G42" s="235"/>
      <c r="H42" s="347" t="s">
        <v>2099</v>
      </c>
      <c r="I42" s="348"/>
      <c r="J42" s="348"/>
      <c r="K42" s="1891"/>
      <c r="L42" s="347"/>
      <c r="M42" s="347"/>
      <c r="N42" s="347" t="s">
        <v>481</v>
      </c>
      <c r="O42" s="245"/>
      <c r="P42" s="245"/>
      <c r="Q42" s="2471"/>
      <c r="R42" s="2472"/>
      <c r="S42" s="2472"/>
      <c r="T42" s="2472"/>
      <c r="U42" s="2472"/>
      <c r="V42" s="2472"/>
      <c r="W42" s="2472"/>
      <c r="X42" s="2472"/>
      <c r="Y42" s="2472"/>
      <c r="Z42" s="2473"/>
    </row>
    <row r="43" spans="1:26" ht="13">
      <c r="A43" s="235"/>
      <c r="B43" s="242" t="s">
        <v>482</v>
      </c>
      <c r="C43" s="235"/>
      <c r="D43" s="235"/>
      <c r="E43" s="235"/>
      <c r="F43" s="235"/>
      <c r="G43" s="235"/>
      <c r="H43" s="235"/>
      <c r="I43" s="235"/>
      <c r="J43" s="235"/>
      <c r="K43" s="1892"/>
      <c r="L43" s="235"/>
      <c r="M43" s="235"/>
      <c r="N43" s="235"/>
      <c r="O43" s="245"/>
      <c r="P43" s="245"/>
    </row>
    <row r="44" spans="1:26" ht="13">
      <c r="A44" s="235"/>
      <c r="B44" s="270"/>
      <c r="C44" s="336" t="s">
        <v>483</v>
      </c>
      <c r="D44" s="235"/>
      <c r="E44" s="235"/>
      <c r="F44" s="235"/>
      <c r="G44" s="235"/>
      <c r="H44" s="235"/>
      <c r="I44" s="235"/>
      <c r="J44" s="235"/>
      <c r="K44" s="1892"/>
      <c r="L44" s="235"/>
      <c r="M44" s="235"/>
      <c r="N44" s="235"/>
      <c r="O44" s="245"/>
      <c r="P44" s="245"/>
      <c r="Q44" s="237"/>
    </row>
    <row r="45" spans="1:26">
      <c r="A45" s="235"/>
      <c r="B45" s="270"/>
      <c r="D45" s="284" t="s">
        <v>484</v>
      </c>
      <c r="E45" s="235"/>
      <c r="F45" s="235"/>
      <c r="G45" s="235"/>
      <c r="H45" s="326"/>
      <c r="I45" s="320"/>
      <c r="J45" s="305"/>
      <c r="K45" s="1904"/>
      <c r="L45" s="320" t="str">
        <f>IF(N(K45)&lt;&gt;ROUNDDOWN(N(K45),0),1,"")</f>
        <v/>
      </c>
      <c r="M45" s="274"/>
      <c r="N45" s="889" t="str">
        <f>IF(H45+K45=0,"",H45+K45)</f>
        <v/>
      </c>
      <c r="O45" s="245"/>
      <c r="P45" s="245"/>
    </row>
    <row r="46" spans="1:26" ht="12.5" customHeight="1">
      <c r="H46" s="324"/>
      <c r="I46" s="320"/>
      <c r="J46" s="274"/>
      <c r="K46" s="1920"/>
      <c r="L46" s="320"/>
      <c r="M46" s="275"/>
      <c r="N46" s="890"/>
      <c r="O46" s="245"/>
      <c r="P46" s="245"/>
    </row>
    <row r="47" spans="1:26">
      <c r="A47" s="235"/>
      <c r="B47" s="270"/>
      <c r="D47" s="284" t="s">
        <v>485</v>
      </c>
      <c r="E47" s="235"/>
      <c r="F47" s="235"/>
      <c r="G47" s="235"/>
      <c r="H47" s="373"/>
      <c r="I47" s="320"/>
      <c r="J47" s="305"/>
      <c r="K47" s="1904"/>
      <c r="L47" s="320" t="str">
        <f>IF(N(K47)&lt;&gt;ROUNDDOWN(N(K47),0),1,"")</f>
        <v/>
      </c>
      <c r="M47" s="274"/>
      <c r="N47" s="891" t="str">
        <f>IF(H47+K47=0,"",H47+K47)</f>
        <v/>
      </c>
      <c r="O47" s="245"/>
      <c r="P47" s="245"/>
      <c r="Q47" s="2419" t="s">
        <v>723</v>
      </c>
      <c r="R47" s="2419"/>
      <c r="S47" s="2419"/>
      <c r="T47" s="2419"/>
      <c r="U47" s="2419"/>
      <c r="V47" s="2419"/>
      <c r="W47" s="2419"/>
      <c r="X47" s="2419"/>
      <c r="Y47" s="2419"/>
      <c r="Z47" s="2419"/>
    </row>
    <row r="48" spans="1:26" ht="12.5" customHeight="1">
      <c r="B48" s="270"/>
      <c r="H48" s="324"/>
      <c r="I48" s="320"/>
      <c r="J48" s="274"/>
      <c r="K48" s="1920"/>
      <c r="L48" s="320"/>
      <c r="M48" s="275"/>
      <c r="N48" s="892"/>
      <c r="O48" s="245"/>
      <c r="P48" s="245"/>
      <c r="Q48" s="2419"/>
      <c r="R48" s="2419"/>
      <c r="S48" s="2419"/>
      <c r="T48" s="2419"/>
      <c r="U48" s="2419"/>
      <c r="V48" s="2419"/>
      <c r="W48" s="2419"/>
      <c r="X48" s="2419"/>
      <c r="Y48" s="2419"/>
      <c r="Z48" s="2419"/>
    </row>
    <row r="49" spans="1:26" ht="13.5">
      <c r="B49" s="270"/>
      <c r="D49" s="1096" t="s">
        <v>722</v>
      </c>
      <c r="H49" s="373"/>
      <c r="I49" s="320"/>
      <c r="J49" s="305"/>
      <c r="K49" s="1904"/>
      <c r="L49" s="320" t="str">
        <f>IF(N(K49)&lt;&gt;ROUNDDOWN(N(K49),0),1,"")</f>
        <v/>
      </c>
      <c r="M49" s="274"/>
      <c r="N49" s="889" t="str">
        <f>IF(H49+K49=0,"",H49+K49)</f>
        <v/>
      </c>
      <c r="O49" s="245"/>
      <c r="P49" s="245"/>
      <c r="Q49" s="2419" t="s">
        <v>721</v>
      </c>
      <c r="R49" s="2419"/>
      <c r="S49" s="2419"/>
      <c r="T49" s="2419"/>
      <c r="U49" s="2419"/>
      <c r="V49" s="2419"/>
      <c r="W49" s="2419"/>
      <c r="X49" s="2419"/>
      <c r="Y49" s="2419"/>
      <c r="Z49" s="2419"/>
    </row>
    <row r="50" spans="1:26" ht="12.5" customHeight="1">
      <c r="B50" s="270"/>
      <c r="H50" s="324"/>
      <c r="I50" s="320"/>
      <c r="J50" s="274"/>
      <c r="K50" s="1920"/>
      <c r="L50" s="320"/>
      <c r="M50" s="275"/>
      <c r="N50" s="890"/>
      <c r="O50" s="245"/>
      <c r="P50" s="245"/>
      <c r="Q50" s="2419"/>
      <c r="R50" s="2419"/>
      <c r="S50" s="2419"/>
      <c r="T50" s="2419"/>
      <c r="U50" s="2419"/>
      <c r="V50" s="2419"/>
      <c r="W50" s="2419"/>
      <c r="X50" s="2419"/>
      <c r="Y50" s="2419"/>
      <c r="Z50" s="2419"/>
    </row>
    <row r="51" spans="1:26">
      <c r="A51" s="235"/>
      <c r="B51" s="270"/>
      <c r="D51" s="284" t="s">
        <v>486</v>
      </c>
      <c r="E51" s="235"/>
      <c r="F51" s="235"/>
      <c r="G51" s="235"/>
      <c r="H51" s="326"/>
      <c r="I51" s="320"/>
      <c r="J51" s="305"/>
      <c r="K51" s="1904"/>
      <c r="L51" s="320" t="str">
        <f>IF(N(K51)&lt;&gt;ROUNDDOWN(N(K51),0),1,"")</f>
        <v/>
      </c>
      <c r="M51" s="274"/>
      <c r="N51" s="889" t="str">
        <f>IF(H51+K51=0,"",H51+K51)</f>
        <v/>
      </c>
      <c r="O51" s="245"/>
      <c r="P51" s="245"/>
    </row>
    <row r="52" spans="1:26" ht="12.5" customHeight="1">
      <c r="B52" s="270"/>
      <c r="H52" s="324"/>
      <c r="I52" s="320"/>
      <c r="J52" s="274"/>
      <c r="K52" s="1920"/>
      <c r="L52" s="320"/>
      <c r="M52" s="275"/>
      <c r="N52" s="890"/>
      <c r="O52" s="245"/>
      <c r="P52" s="245"/>
    </row>
    <row r="53" spans="1:26" ht="12.75" customHeight="1">
      <c r="A53" s="235"/>
      <c r="B53" s="270"/>
      <c r="D53" s="339" t="s">
        <v>487</v>
      </c>
      <c r="E53" s="235"/>
      <c r="F53" s="235"/>
      <c r="G53" s="235"/>
      <c r="H53" s="326"/>
      <c r="I53" s="320"/>
      <c r="J53" s="305"/>
      <c r="K53" s="1904"/>
      <c r="L53" s="320" t="str">
        <f>IF(N(K53)&lt;&gt;ROUNDDOWN(N(K53),0),1,"")</f>
        <v/>
      </c>
      <c r="M53" s="274"/>
      <c r="N53" s="891" t="str">
        <f>IF(H53+K53=0,"",H53+K53)</f>
        <v/>
      </c>
      <c r="O53" s="245"/>
      <c r="P53" s="245"/>
    </row>
    <row r="54" spans="1:26" ht="12.5" customHeight="1">
      <c r="B54" s="270"/>
      <c r="H54" s="324"/>
      <c r="I54" s="320"/>
      <c r="J54" s="274"/>
      <c r="K54" s="1920"/>
      <c r="L54" s="320"/>
      <c r="M54" s="275"/>
      <c r="N54" s="892"/>
      <c r="O54" s="245"/>
      <c r="P54" s="245"/>
    </row>
    <row r="55" spans="1:26">
      <c r="A55" s="235"/>
      <c r="B55" s="270"/>
      <c r="D55" s="284" t="s">
        <v>488</v>
      </c>
      <c r="E55" s="235"/>
      <c r="F55" s="235"/>
      <c r="G55" s="235"/>
      <c r="H55" s="326"/>
      <c r="I55" s="320"/>
      <c r="J55" s="305"/>
      <c r="K55" s="1904"/>
      <c r="L55" s="320" t="str">
        <f>IF(N(K55)&lt;&gt;ROUNDDOWN(N(K55),0),1,"")</f>
        <v/>
      </c>
      <c r="M55" s="274"/>
      <c r="N55" s="891" t="str">
        <f>IF(H55+K55=0,"",H55+K55)</f>
        <v/>
      </c>
      <c r="O55" s="245"/>
      <c r="P55" s="245"/>
    </row>
    <row r="56" spans="1:26" ht="12.5" customHeight="1">
      <c r="B56" s="270"/>
      <c r="H56" s="324"/>
      <c r="I56" s="320"/>
      <c r="J56" s="274"/>
      <c r="K56" s="1920"/>
      <c r="L56" s="320"/>
      <c r="M56" s="275"/>
      <c r="N56" s="892"/>
      <c r="O56" s="245"/>
      <c r="P56" s="245"/>
    </row>
    <row r="57" spans="1:26">
      <c r="A57" s="235"/>
      <c r="B57" s="270"/>
      <c r="D57" s="284" t="s">
        <v>489</v>
      </c>
      <c r="E57" s="235"/>
      <c r="F57" s="235"/>
      <c r="G57" s="235"/>
      <c r="H57" s="326"/>
      <c r="I57" s="320"/>
      <c r="J57" s="305"/>
      <c r="K57" s="1904"/>
      <c r="L57" s="320" t="str">
        <f>IF(N(K57)&lt;&gt;ROUNDDOWN(N(K57),0),1,"")</f>
        <v/>
      </c>
      <c r="M57" s="274"/>
      <c r="N57" s="891" t="str">
        <f>IF(H57+K57=0,"",H57+K57)</f>
        <v/>
      </c>
      <c r="O57" s="245"/>
      <c r="P57" s="245"/>
    </row>
    <row r="58" spans="1:26" ht="12.5" customHeight="1">
      <c r="B58" s="270"/>
      <c r="H58" s="324"/>
      <c r="I58" s="320"/>
      <c r="J58" s="274"/>
      <c r="K58" s="1920"/>
      <c r="L58" s="320"/>
      <c r="M58" s="275"/>
      <c r="N58" s="892"/>
      <c r="O58" s="245"/>
      <c r="P58" s="245"/>
    </row>
    <row r="59" spans="1:26">
      <c r="A59" s="235"/>
      <c r="B59" s="270"/>
      <c r="D59" s="284" t="s">
        <v>490</v>
      </c>
      <c r="E59" s="235"/>
      <c r="F59" s="235"/>
      <c r="G59" s="235"/>
      <c r="H59" s="326"/>
      <c r="I59" s="320"/>
      <c r="J59" s="305"/>
      <c r="K59" s="1904"/>
      <c r="L59" s="320" t="str">
        <f>IF(N(K59)&lt;&gt;ROUNDDOWN(N(K59),0),1,"")</f>
        <v/>
      </c>
      <c r="M59" s="274"/>
      <c r="N59" s="891" t="str">
        <f>IF(H59+K59=0,"",H59+K59)</f>
        <v/>
      </c>
      <c r="O59" s="245"/>
      <c r="P59" s="245"/>
    </row>
    <row r="60" spans="1:26" ht="12.5" customHeight="1">
      <c r="B60" s="270"/>
      <c r="H60" s="324"/>
      <c r="I60" s="320"/>
      <c r="J60" s="274"/>
      <c r="K60" s="1920"/>
      <c r="L60" s="320"/>
      <c r="M60" s="275"/>
      <c r="N60" s="892"/>
      <c r="O60" s="245"/>
      <c r="P60" s="245"/>
    </row>
    <row r="61" spans="1:26">
      <c r="B61" s="270"/>
      <c r="D61" s="329" t="s">
        <v>491</v>
      </c>
      <c r="H61" s="326"/>
      <c r="I61" s="320"/>
      <c r="J61" s="305"/>
      <c r="K61" s="1904"/>
      <c r="L61" s="320" t="str">
        <f>IF(N(K61)&lt;&gt;ROUNDDOWN(N(K61),0),1,"")</f>
        <v/>
      </c>
      <c r="M61" s="274"/>
      <c r="N61" s="891" t="str">
        <f>IF(H61+K61=0,"",H61+K61)</f>
        <v/>
      </c>
      <c r="O61" s="245"/>
      <c r="P61" s="245"/>
      <c r="Q61" s="2419" t="s">
        <v>720</v>
      </c>
      <c r="R61" s="2419"/>
      <c r="S61" s="2419"/>
      <c r="T61" s="2419"/>
      <c r="U61" s="2419"/>
      <c r="V61" s="2419"/>
      <c r="W61" s="2419"/>
      <c r="X61" s="2419"/>
      <c r="Y61" s="2419"/>
      <c r="Z61" s="2419"/>
    </row>
    <row r="62" spans="1:26" ht="12.5" customHeight="1">
      <c r="B62" s="270"/>
      <c r="H62" s="324"/>
      <c r="I62" s="320"/>
      <c r="J62" s="274"/>
      <c r="K62" s="1920"/>
      <c r="L62" s="320"/>
      <c r="M62" s="275"/>
      <c r="N62" s="892"/>
      <c r="O62" s="245"/>
      <c r="P62" s="245"/>
      <c r="Q62" s="2421"/>
      <c r="R62" s="2421"/>
      <c r="S62" s="2421"/>
      <c r="T62" s="2421"/>
      <c r="U62" s="2421"/>
      <c r="V62" s="2421"/>
      <c r="W62" s="2421"/>
      <c r="X62" s="2421"/>
      <c r="Y62" s="2421"/>
      <c r="Z62" s="2421"/>
    </row>
    <row r="63" spans="1:26" ht="12.75" customHeight="1">
      <c r="A63" s="235"/>
      <c r="B63" s="270"/>
      <c r="D63" s="339" t="s">
        <v>492</v>
      </c>
      <c r="E63" s="235"/>
      <c r="F63" s="235"/>
      <c r="G63" s="235"/>
      <c r="H63" s="326"/>
      <c r="I63" s="320"/>
      <c r="J63" s="305"/>
      <c r="K63" s="1904"/>
      <c r="L63" s="320" t="str">
        <f>IF(N(K63)&lt;&gt;ROUNDDOWN(N(K63),0),1,"")</f>
        <v/>
      </c>
      <c r="M63" s="274"/>
      <c r="N63" s="891" t="str">
        <f>IF(H63+K63=0,"",H63+K63)</f>
        <v/>
      </c>
      <c r="O63" s="245"/>
      <c r="P63" s="245"/>
      <c r="Q63" s="2419" t="s">
        <v>719</v>
      </c>
      <c r="R63" s="2419"/>
      <c r="S63" s="2419"/>
      <c r="T63" s="2419"/>
      <c r="U63" s="2419"/>
      <c r="V63" s="2419"/>
      <c r="W63" s="2419"/>
      <c r="X63" s="2419"/>
      <c r="Y63" s="2419"/>
      <c r="Z63" s="2419"/>
    </row>
    <row r="64" spans="1:26" ht="12.5" customHeight="1">
      <c r="B64" s="270"/>
      <c r="H64" s="324"/>
      <c r="I64" s="320"/>
      <c r="J64" s="274"/>
      <c r="K64" s="1921"/>
      <c r="L64" s="320"/>
      <c r="M64" s="275"/>
      <c r="N64" s="892"/>
      <c r="O64" s="245"/>
      <c r="P64" s="245"/>
      <c r="Q64" s="2419"/>
      <c r="R64" s="2419"/>
      <c r="S64" s="2419"/>
      <c r="T64" s="2419"/>
      <c r="U64" s="2419"/>
      <c r="V64" s="2419"/>
      <c r="W64" s="2419"/>
      <c r="X64" s="2419"/>
      <c r="Y64" s="2419"/>
      <c r="Z64" s="2419"/>
    </row>
    <row r="65" spans="1:26">
      <c r="A65" s="235"/>
      <c r="B65" s="323" t="s">
        <v>493</v>
      </c>
      <c r="C65" s="339" t="s">
        <v>494</v>
      </c>
      <c r="D65" s="235"/>
      <c r="E65" s="235"/>
      <c r="F65" s="235"/>
      <c r="G65" s="321" t="s">
        <v>495</v>
      </c>
      <c r="H65" s="891" t="str">
        <f>IF(SUM(H45:H63)=0,"",SUM(H45:H63))</f>
        <v/>
      </c>
      <c r="I65" s="894"/>
      <c r="J65" s="884"/>
      <c r="K65" s="1908"/>
      <c r="L65" s="894"/>
      <c r="M65" s="884" t="s">
        <v>495</v>
      </c>
      <c r="N65" s="893" t="str">
        <f>IF(N(H65)+N(K65)=0,"",N(H65)+N(K65))</f>
        <v/>
      </c>
      <c r="O65" s="245"/>
      <c r="P65" s="245"/>
    </row>
    <row r="66" spans="1:26" ht="12.5" customHeight="1">
      <c r="H66" s="895"/>
      <c r="I66" s="894"/>
      <c r="J66" s="892"/>
      <c r="K66" s="1922"/>
      <c r="L66" s="894"/>
      <c r="M66" s="895"/>
      <c r="N66" s="892"/>
      <c r="O66" s="245"/>
      <c r="P66" s="245"/>
    </row>
    <row r="67" spans="1:26" ht="13.5">
      <c r="B67" s="323" t="s">
        <v>496</v>
      </c>
      <c r="C67" s="339" t="s">
        <v>2107</v>
      </c>
      <c r="D67" s="235"/>
      <c r="E67" s="235"/>
      <c r="F67" s="235"/>
      <c r="G67" s="235"/>
      <c r="H67" s="892"/>
      <c r="I67" s="894"/>
      <c r="J67" s="892"/>
      <c r="K67" s="1917"/>
      <c r="L67" s="894"/>
      <c r="M67" s="895"/>
      <c r="N67" s="892"/>
      <c r="O67" s="245"/>
      <c r="P67" s="245"/>
      <c r="Q67" s="953"/>
      <c r="R67" s="954"/>
      <c r="S67" s="954"/>
      <c r="T67" s="954"/>
      <c r="U67" s="954"/>
      <c r="V67" s="954"/>
      <c r="W67" s="954"/>
      <c r="X67" s="954"/>
      <c r="Y67" s="954"/>
      <c r="Z67" s="954"/>
    </row>
    <row r="68" spans="1:26" ht="15" customHeight="1">
      <c r="B68" s="323"/>
      <c r="C68" s="339" t="str">
        <f>"(Max. "&amp;TEXT(DS_MaxGCFee,"0%")&amp;" of A1.1., column 3)"</f>
        <v>(Max. 14% of A1.1., column 3)</v>
      </c>
      <c r="D68" s="235"/>
      <c r="E68" s="235"/>
      <c r="F68" s="235"/>
      <c r="G68" s="321" t="s">
        <v>495</v>
      </c>
      <c r="H68" s="370"/>
      <c r="I68" s="894"/>
      <c r="J68" s="884"/>
      <c r="K68" s="1923"/>
      <c r="L68" s="894" t="str">
        <f>IF(N(K68)&lt;&gt;ROUNDDOWN(N(K68),0),1,"")</f>
        <v/>
      </c>
      <c r="M68" s="884" t="s">
        <v>495</v>
      </c>
      <c r="N68" s="889">
        <f>IF(AND(SUM(N(Actual_GCfee_eligible),N(Actual_GCfee_ineligible))=0,N(Actual_Constructioncost_total)&gt;0),N(GCF_DollarMax),IF(SUM(N(Actual_GCfee_eligible),N(Actual_GCfee_ineligible))&gt;N(GCF_DollarMax),N(GCF_DollarMax),SUM(N(Actual_GCfee_eligible),N(Actual_GCfee_ineligible))))</f>
        <v>0</v>
      </c>
      <c r="O68" s="245"/>
      <c r="P68" s="247" t="str">
        <f>IF(P69="No","**","")</f>
        <v/>
      </c>
      <c r="Q68" s="2434" t="str">
        <f>IF(P69="No",IF(AND(N(Actual_Constructioncost_total)&gt;0,SUM(N(Actual_GCfee_eligible),N(Actual_GCfee_ineligible))=0),"The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amount entered for 'General Contractor Fee' is too high by "&amp;TEXT(N(Actual_GCfee_eligible)+N(Actual_GCfee_ineligible)-N(GCF_DollarMax),"$#,##0.00")&amp;", the maximum Total GC Fee of "&amp;TEXT(N(GCF_DollarMax),"$#,##0.00")&amp;" has been utilized. This will impact cost totals and subtotals below.  ",""),"")</f>
        <v/>
      </c>
      <c r="R68" s="2435"/>
      <c r="S68" s="2435"/>
      <c r="T68" s="2435"/>
      <c r="U68" s="2435"/>
      <c r="V68" s="2435"/>
      <c r="W68" s="2435"/>
      <c r="X68" s="2435"/>
      <c r="Y68" s="2435"/>
      <c r="Z68" s="2435"/>
    </row>
    <row r="69" spans="1:26">
      <c r="D69" s="2534" t="str">
        <f>"Max GCF @ "&amp;TEXT(DS_MaxGCFee,"#0%")&amp;":"</f>
        <v>Max GCF @ 14%:</v>
      </c>
      <c r="E69" s="2534"/>
      <c r="F69" s="949">
        <f>ROUNDDOWN(DS_MaxGCFee*N(Actual_Constructioncost_total),0)</f>
        <v>0</v>
      </c>
      <c r="H69" s="896"/>
      <c r="I69" s="894"/>
      <c r="J69" s="892"/>
      <c r="K69" s="1922"/>
      <c r="L69" s="894"/>
      <c r="M69" s="895"/>
      <c r="N69" s="890"/>
      <c r="O69" s="245"/>
      <c r="P69" s="1530" t="str">
        <f>IF(OR(AND(SUM(N(Actual_GCfee_eligible),N(Actual_GCfee_ineligible))=0,N(Actual_Constructioncost_total)&gt;0),SUM(N(Actual_GCfee_eligible),N(Actual_GCfee_ineligible))&gt;GCF_DollarMax),"No","Yes")</f>
        <v>Yes</v>
      </c>
      <c r="Q69" s="2436"/>
      <c r="R69" s="2436"/>
      <c r="S69" s="2436"/>
      <c r="T69" s="2436"/>
      <c r="U69" s="2436"/>
      <c r="V69" s="2436"/>
      <c r="W69" s="2436"/>
      <c r="X69" s="2436"/>
      <c r="Y69" s="2436"/>
      <c r="Z69" s="2436"/>
    </row>
    <row r="70" spans="1:26">
      <c r="B70" s="323" t="s">
        <v>497</v>
      </c>
      <c r="C70" s="322" t="s">
        <v>498</v>
      </c>
      <c r="D70" s="235"/>
      <c r="E70" s="235"/>
      <c r="F70" s="235"/>
      <c r="H70" s="895"/>
      <c r="I70" s="894"/>
      <c r="J70" s="895"/>
      <c r="K70" s="1922"/>
      <c r="L70" s="894"/>
      <c r="M70" s="895"/>
      <c r="N70" s="892"/>
      <c r="O70" s="245"/>
      <c r="P70" s="245"/>
      <c r="Q70" s="235"/>
      <c r="R70" s="235"/>
      <c r="S70" s="235"/>
      <c r="T70" s="235"/>
      <c r="U70" s="235"/>
      <c r="V70" s="235"/>
      <c r="W70" s="235"/>
      <c r="X70" s="235"/>
      <c r="Y70" s="235"/>
      <c r="Z70" s="235"/>
    </row>
    <row r="71" spans="1:26">
      <c r="B71" s="323"/>
      <c r="C71" s="322"/>
      <c r="D71" s="322" t="s">
        <v>499</v>
      </c>
      <c r="E71" s="235"/>
      <c r="F71" s="235"/>
      <c r="G71" s="321" t="s">
        <v>495</v>
      </c>
      <c r="H71" s="891" t="str">
        <f>IF(SUM(H65:H70)=0,"",SUM(H65:H70))</f>
        <v/>
      </c>
      <c r="I71" s="894"/>
      <c r="J71" s="884"/>
      <c r="K71" s="1908"/>
      <c r="L71" s="894"/>
      <c r="M71" s="884" t="s">
        <v>495</v>
      </c>
      <c r="N71" s="891" t="str">
        <f>IF(SUM(N65:N70)=0,"",SUM(N65:N70))</f>
        <v/>
      </c>
      <c r="O71" s="245"/>
      <c r="P71" s="245"/>
      <c r="Q71" s="346"/>
      <c r="R71" s="239"/>
    </row>
    <row r="72" spans="1:26" ht="12.5" customHeight="1">
      <c r="H72" s="895"/>
      <c r="I72" s="894"/>
      <c r="J72" s="892"/>
      <c r="K72" s="1922"/>
      <c r="L72" s="894"/>
      <c r="M72" s="895"/>
      <c r="N72" s="892"/>
      <c r="O72" s="245"/>
      <c r="P72" s="245"/>
      <c r="Q72" s="955"/>
      <c r="R72" s="956"/>
      <c r="S72" s="954"/>
      <c r="T72" s="954"/>
      <c r="U72" s="954"/>
      <c r="V72" s="954"/>
      <c r="W72" s="954"/>
      <c r="X72" s="954"/>
      <c r="Y72" s="954"/>
      <c r="Z72" s="954"/>
    </row>
    <row r="73" spans="1:26" ht="15" customHeight="1">
      <c r="B73" s="323" t="s">
        <v>500</v>
      </c>
      <c r="C73" s="327" t="s">
        <v>2105</v>
      </c>
      <c r="G73" s="321" t="s">
        <v>495</v>
      </c>
      <c r="H73" s="369"/>
      <c r="I73" s="894"/>
      <c r="J73" s="884"/>
      <c r="K73" s="1923"/>
      <c r="L73" s="894" t="str">
        <f>IF(N(K73)&lt;&gt;ROUNDDOWN(N(K73),0),1,"")</f>
        <v/>
      </c>
      <c r="M73" s="884" t="s">
        <v>495</v>
      </c>
      <c r="N73" s="891" t="str">
        <f>IF(SUM(N(Contingency_Hard_eligible),N(Contingency_Hard_ineligible))=0,"",IF(SUM(N(Contingency_Hard_eligible),N(Contingency_Hard_ineligible))&gt;HCC_DollarMax,HCC_DollarMax,SUM(N(Contingency_Hard_eligible),N(Contingency_Hard_ineligible))))</f>
        <v/>
      </c>
      <c r="O73" s="245"/>
      <c r="P73" s="247" t="str">
        <f>IF($P$74="No","**","")</f>
        <v/>
      </c>
      <c r="Q73" s="2434" t="str">
        <f>IF(AND(DS_Pro_Forma_Dev_Cat="Category Input Required",N(Actual_TotalConstructioncost_total)&gt;0),"Please select the applicable Development Category from the drop-down menu at the top of the 'Proposed Development Info' tab.",IF(P74="No","Because the amount entered for 'Hard Cost Contingency' is too high by "&amp;TEXT(SUM(N(Contingency_Hard_eligible),N(Contingency_Hard_ineligible))-N(HCC_DollarMax),"$#,##0.00")&amp;", the maximum Total Hard Cost Contingency of "&amp;TEXT(N(HCC_DollarMax),"$#,##0.00")&amp;" has been utilized.",""))</f>
        <v/>
      </c>
      <c r="R73" s="2434"/>
      <c r="S73" s="2434"/>
      <c r="T73" s="2434"/>
      <c r="U73" s="2434"/>
      <c r="V73" s="2434"/>
      <c r="W73" s="2434"/>
      <c r="X73" s="2434"/>
      <c r="Y73" s="2434"/>
      <c r="Z73" s="2434"/>
    </row>
    <row r="74" spans="1:26">
      <c r="C74" s="944"/>
      <c r="D74" s="2535" t="str">
        <f>"Max HCC @ "&amp;TEXT(IF(AND(ISERROR(SEARCH("New Construction",DS_Pro_Forma_Dev_Cat)),ISERROR(SEARCH("Redevelopment",DS_Pro_Forma_Dev_Cat))),DS_MaxHCCR,DS_MaxHCCNC),"#0%")&amp;":"</f>
        <v>Max HCC @ 5%:</v>
      </c>
      <c r="E74" s="2535"/>
      <c r="F74" s="945">
        <f>IF(AND(DS_Pro_Forma_Dev_Cat="Category Input Required",N(Actual_TotalConstructioncost_total)&gt;0),0,(IF(AND(ISERROR(SEARCH("New Construction",DS_Pro_Forma_Dev_Cat)),ISERROR(SEARCH("Redevelopment",DS_Pro_Forma_Dev_Cat))),DS_MaxHCCR,DS_MaxHCCNC)*N(Actual_TotalConstructioncost_total)))</f>
        <v>0</v>
      </c>
      <c r="H74" s="324"/>
      <c r="I74" s="320"/>
      <c r="J74" s="274"/>
      <c r="K74" s="1921"/>
      <c r="L74" s="275"/>
      <c r="M74" s="275"/>
      <c r="N74" s="274"/>
      <c r="O74" s="245"/>
      <c r="P74" s="1530" t="str">
        <f>IF(SUM(N(Contingency_Hard_eligible),N(Contingency_Hard_ineligible))&lt;=HCC_DollarMax,"Yes","No")</f>
        <v>Yes</v>
      </c>
      <c r="Q74" s="2437"/>
      <c r="R74" s="2437"/>
      <c r="S74" s="2437"/>
      <c r="T74" s="2437"/>
      <c r="U74" s="2437"/>
      <c r="V74" s="2437"/>
      <c r="W74" s="2437"/>
      <c r="X74" s="2437"/>
      <c r="Y74" s="2437"/>
      <c r="Z74" s="2437"/>
    </row>
    <row r="75" spans="1:26" ht="3.75" customHeight="1" thickBot="1">
      <c r="D75" s="284"/>
      <c r="E75" s="235"/>
      <c r="F75" s="235"/>
      <c r="G75" s="235"/>
      <c r="H75" s="288"/>
      <c r="I75" s="274"/>
      <c r="J75" s="305"/>
      <c r="K75" s="1924"/>
      <c r="L75" s="322"/>
      <c r="M75" s="235"/>
      <c r="N75" s="287"/>
      <c r="O75" s="245"/>
      <c r="P75" s="245"/>
    </row>
    <row r="76" spans="1:26" ht="3.75" customHeight="1">
      <c r="A76" s="246"/>
      <c r="B76" s="246"/>
      <c r="C76" s="246"/>
      <c r="D76" s="246"/>
      <c r="E76" s="246"/>
      <c r="F76" s="246"/>
      <c r="G76" s="246"/>
      <c r="H76" s="246"/>
      <c r="I76" s="246"/>
      <c r="J76" s="246"/>
      <c r="K76" s="1918"/>
      <c r="L76" s="246"/>
      <c r="M76" s="246"/>
      <c r="N76" s="364"/>
      <c r="O76" s="301"/>
      <c r="P76" s="301"/>
    </row>
    <row r="77" spans="1:26" ht="13">
      <c r="B77" s="242" t="str">
        <f>B$2</f>
        <v>RFA 2023-102 DEVELOPMENT COST PRO FORMA</v>
      </c>
      <c r="H77" s="235"/>
      <c r="I77" s="235"/>
      <c r="J77" s="235"/>
      <c r="K77" s="1910"/>
      <c r="N77" s="235"/>
      <c r="O77" s="245"/>
      <c r="P77" s="244" t="str">
        <f>IF($P$422=1,"(Page 2 of 8)","(Page 2 of 7)")</f>
        <v>(Page 2 of 7)</v>
      </c>
    </row>
    <row r="78" spans="1:26">
      <c r="H78" s="342">
        <f>H41</f>
        <v>1</v>
      </c>
      <c r="I78" s="235"/>
      <c r="J78" s="235"/>
      <c r="K78" s="1925"/>
      <c r="L78" s="235"/>
      <c r="M78" s="313"/>
      <c r="N78" s="342">
        <f>N41</f>
        <v>3</v>
      </c>
      <c r="O78" s="245"/>
      <c r="P78" s="245"/>
    </row>
    <row r="79" spans="1:26" ht="22.4" customHeight="1">
      <c r="H79" s="371" t="str">
        <f>H42</f>
        <v>PROPOSED
COSTS</v>
      </c>
      <c r="I79" s="372"/>
      <c r="J79" s="372"/>
      <c r="K79" s="1926"/>
      <c r="L79" s="340"/>
      <c r="M79" s="341"/>
      <c r="N79" s="371" t="str">
        <f>N42</f>
        <v>TOTAL
COSTS</v>
      </c>
      <c r="O79" s="245"/>
      <c r="P79" s="245"/>
    </row>
    <row r="80" spans="1:26" ht="13">
      <c r="C80" s="336" t="s">
        <v>501</v>
      </c>
      <c r="H80" s="235"/>
      <c r="I80" s="235"/>
      <c r="J80" s="235"/>
      <c r="K80" s="1910"/>
      <c r="N80" s="235"/>
      <c r="O80" s="245"/>
      <c r="P80" s="245"/>
    </row>
    <row r="81" spans="3:26" ht="13">
      <c r="C81" s="336"/>
      <c r="D81" s="284" t="s">
        <v>502</v>
      </c>
      <c r="H81" s="373"/>
      <c r="I81" s="894"/>
      <c r="J81" s="897"/>
      <c r="K81" s="1916"/>
      <c r="L81" s="894" t="str">
        <f>IF(N(K81)&lt;&gt;ROUNDDOWN(N(K81),0),1,"")</f>
        <v/>
      </c>
      <c r="M81" s="892"/>
      <c r="N81" s="889" t="str">
        <f>IF(H81+K81=0,"",H81+K81)</f>
        <v/>
      </c>
      <c r="O81" s="245"/>
      <c r="P81" s="245"/>
      <c r="Q81" s="2419" t="s">
        <v>718</v>
      </c>
      <c r="R81" s="2419"/>
      <c r="S81" s="2419"/>
      <c r="T81" s="2419"/>
      <c r="U81" s="2419"/>
      <c r="V81" s="2419"/>
      <c r="W81" s="2419"/>
      <c r="X81" s="2419"/>
      <c r="Y81" s="2419"/>
      <c r="Z81" s="2419"/>
    </row>
    <row r="82" spans="3:26" ht="12.5" customHeight="1">
      <c r="C82" s="336"/>
      <c r="H82" s="896"/>
      <c r="I82" s="894"/>
      <c r="J82" s="892"/>
      <c r="K82" s="1922"/>
      <c r="L82" s="614"/>
      <c r="M82" s="614"/>
      <c r="N82" s="898"/>
      <c r="O82" s="245"/>
      <c r="P82" s="245"/>
      <c r="Q82" s="2419"/>
      <c r="R82" s="2419"/>
      <c r="S82" s="2419"/>
      <c r="T82" s="2419"/>
      <c r="U82" s="2419"/>
      <c r="V82" s="2419"/>
      <c r="W82" s="2419"/>
      <c r="X82" s="2419"/>
      <c r="Y82" s="2419"/>
      <c r="Z82" s="2419"/>
    </row>
    <row r="83" spans="3:26" ht="13">
      <c r="C83" s="336"/>
      <c r="D83" s="284" t="s">
        <v>503</v>
      </c>
      <c r="H83" s="373"/>
      <c r="I83" s="894"/>
      <c r="J83" s="897"/>
      <c r="K83" s="1915"/>
      <c r="L83" s="894" t="str">
        <f>IF(N(K83)&lt;&gt;ROUNDDOWN(N(K83),0),1,"")</f>
        <v/>
      </c>
      <c r="M83" s="654"/>
      <c r="N83" s="889" t="str">
        <f>IF(H83+K83=0,"",H83+K83)</f>
        <v/>
      </c>
      <c r="O83" s="245"/>
      <c r="P83" s="245"/>
    </row>
    <row r="84" spans="3:26" ht="12.5" customHeight="1">
      <c r="C84" s="336"/>
      <c r="H84" s="896"/>
      <c r="I84" s="894"/>
      <c r="J84" s="892"/>
      <c r="K84" s="1922"/>
      <c r="L84" s="614"/>
      <c r="M84" s="614"/>
      <c r="N84" s="898"/>
      <c r="O84" s="245"/>
      <c r="P84" s="245"/>
    </row>
    <row r="85" spans="3:26">
      <c r="D85" s="284" t="s">
        <v>504</v>
      </c>
      <c r="E85" s="235"/>
      <c r="F85" s="235"/>
      <c r="G85" s="235"/>
      <c r="H85" s="373"/>
      <c r="I85" s="894"/>
      <c r="J85" s="897"/>
      <c r="K85" s="1915"/>
      <c r="L85" s="894" t="str">
        <f>IF(N(K85)&lt;&gt;ROUNDDOWN(N(K85),0),1,"")</f>
        <v/>
      </c>
      <c r="M85" s="892"/>
      <c r="N85" s="891" t="str">
        <f>IF(H85+K85=0,"",H85+K85)</f>
        <v/>
      </c>
      <c r="O85" s="245"/>
      <c r="P85" s="245"/>
      <c r="Q85" s="2419" t="s">
        <v>717</v>
      </c>
      <c r="R85" s="2419"/>
      <c r="S85" s="2419"/>
      <c r="T85" s="2419"/>
      <c r="U85" s="2419"/>
      <c r="V85" s="2419"/>
      <c r="W85" s="2419"/>
      <c r="X85" s="2419"/>
      <c r="Y85" s="2419"/>
      <c r="Z85" s="2419"/>
    </row>
    <row r="86" spans="3:26" ht="12.5" customHeight="1">
      <c r="D86" s="329"/>
      <c r="H86" s="896"/>
      <c r="I86" s="894"/>
      <c r="J86" s="892"/>
      <c r="K86" s="1922"/>
      <c r="L86" s="895"/>
      <c r="M86" s="895"/>
      <c r="N86" s="892"/>
      <c r="O86" s="245"/>
      <c r="P86" s="245"/>
      <c r="Q86" s="2419"/>
      <c r="R86" s="2419"/>
      <c r="S86" s="2419"/>
      <c r="T86" s="2419"/>
      <c r="U86" s="2419"/>
      <c r="V86" s="2419"/>
      <c r="W86" s="2419"/>
      <c r="X86" s="2419"/>
      <c r="Y86" s="2419"/>
      <c r="Z86" s="2419"/>
    </row>
    <row r="87" spans="3:26">
      <c r="D87" s="284" t="s">
        <v>505</v>
      </c>
      <c r="E87" s="235"/>
      <c r="F87" s="235"/>
      <c r="G87" s="235"/>
      <c r="H87" s="373"/>
      <c r="I87" s="894"/>
      <c r="J87" s="897"/>
      <c r="K87" s="1915"/>
      <c r="L87" s="894" t="str">
        <f>IF(N(K87)&lt;&gt;ROUNDDOWN(N(K87),0),1,"")</f>
        <v/>
      </c>
      <c r="M87" s="892"/>
      <c r="N87" s="891" t="str">
        <f>IF(H87+K87=0,"",H87+K87)</f>
        <v/>
      </c>
      <c r="O87" s="245"/>
      <c r="P87" s="245"/>
    </row>
    <row r="88" spans="3:26" ht="12.5" customHeight="1">
      <c r="D88" s="329"/>
      <c r="H88" s="896"/>
      <c r="I88" s="894"/>
      <c r="J88" s="892"/>
      <c r="K88" s="1922"/>
      <c r="L88" s="895"/>
      <c r="M88" s="895"/>
      <c r="N88" s="892"/>
      <c r="O88" s="245"/>
      <c r="P88" s="245"/>
    </row>
    <row r="89" spans="3:26">
      <c r="D89" s="284" t="s">
        <v>506</v>
      </c>
      <c r="E89" s="235"/>
      <c r="F89" s="235"/>
      <c r="G89" s="235"/>
      <c r="H89" s="373"/>
      <c r="I89" s="894"/>
      <c r="J89" s="897"/>
      <c r="K89" s="1916"/>
      <c r="L89" s="894" t="str">
        <f>IF(N(K89)&lt;&gt;ROUNDDOWN(N(K89),0),1,"")</f>
        <v/>
      </c>
      <c r="M89" s="892"/>
      <c r="N89" s="889" t="str">
        <f>IF(H89+K89=0,"",H89+K89)</f>
        <v/>
      </c>
      <c r="O89" s="245"/>
      <c r="P89" s="245"/>
    </row>
    <row r="90" spans="3:26" ht="12.5" customHeight="1">
      <c r="D90" s="329"/>
      <c r="H90" s="896"/>
      <c r="I90" s="894"/>
      <c r="J90" s="892"/>
      <c r="K90" s="1922"/>
      <c r="L90" s="895"/>
      <c r="M90" s="895"/>
      <c r="N90" s="890"/>
      <c r="O90" s="245"/>
      <c r="P90" s="245"/>
    </row>
    <row r="91" spans="3:26">
      <c r="D91" s="284" t="s">
        <v>507</v>
      </c>
      <c r="E91" s="235"/>
      <c r="F91" s="235"/>
      <c r="G91" s="235"/>
      <c r="H91" s="373"/>
      <c r="I91" s="894"/>
      <c r="J91" s="897"/>
      <c r="K91" s="1915"/>
      <c r="L91" s="894" t="str">
        <f>IF(N(K91)&lt;&gt;ROUNDDOWN(N(K91),0),1,"")</f>
        <v/>
      </c>
      <c r="M91" s="892"/>
      <c r="N91" s="889" t="str">
        <f>IF(H91+K91=0,"",H91+K91)</f>
        <v/>
      </c>
      <c r="O91" s="245"/>
      <c r="P91" s="245"/>
    </row>
    <row r="92" spans="3:26" ht="12.5" customHeight="1">
      <c r="D92" s="329"/>
      <c r="H92" s="896"/>
      <c r="I92" s="894"/>
      <c r="J92" s="892"/>
      <c r="K92" s="1922"/>
      <c r="L92" s="895"/>
      <c r="M92" s="895"/>
      <c r="N92" s="890"/>
      <c r="O92" s="245"/>
      <c r="P92" s="245"/>
    </row>
    <row r="93" spans="3:26">
      <c r="D93" s="329" t="s">
        <v>508</v>
      </c>
      <c r="H93" s="373"/>
      <c r="I93" s="894"/>
      <c r="J93" s="897"/>
      <c r="K93" s="1916"/>
      <c r="L93" s="894" t="str">
        <f>IF(N(K93)&lt;&gt;ROUNDDOWN(N(K93),0),1,"")</f>
        <v/>
      </c>
      <c r="M93" s="889"/>
      <c r="N93" s="889" t="str">
        <f>IF(H93+K93=0,"",H93+K93)</f>
        <v/>
      </c>
      <c r="O93" s="245"/>
      <c r="P93" s="245"/>
    </row>
    <row r="94" spans="3:26" ht="12.5" customHeight="1">
      <c r="D94" s="329"/>
      <c r="H94" s="896"/>
      <c r="I94" s="894"/>
      <c r="J94" s="892"/>
      <c r="K94" s="1922"/>
      <c r="L94" s="895"/>
      <c r="M94" s="895"/>
      <c r="N94" s="890"/>
      <c r="O94" s="245"/>
      <c r="P94" s="245"/>
    </row>
    <row r="95" spans="3:26" ht="12.75" customHeight="1">
      <c r="D95" s="270" t="s">
        <v>509</v>
      </c>
      <c r="E95" s="235"/>
      <c r="F95" s="235"/>
      <c r="G95" s="235"/>
      <c r="H95" s="373"/>
      <c r="I95" s="894"/>
      <c r="J95" s="897"/>
      <c r="K95" s="1915"/>
      <c r="L95" s="894" t="str">
        <f>IF(N(K95)&lt;&gt;ROUNDDOWN(N(K95),0),1,"")</f>
        <v/>
      </c>
      <c r="M95" s="889"/>
      <c r="N95" s="889" t="str">
        <f>IF(H95+K95=0,"",H95+K95)</f>
        <v/>
      </c>
      <c r="O95" s="245"/>
      <c r="P95" s="245"/>
      <c r="Q95" s="2419" t="s">
        <v>717</v>
      </c>
      <c r="R95" s="2419"/>
      <c r="S95" s="2419"/>
      <c r="T95" s="2419"/>
      <c r="U95" s="2419"/>
      <c r="V95" s="2419"/>
      <c r="W95" s="2419"/>
      <c r="X95" s="2419"/>
      <c r="Y95" s="2419"/>
      <c r="Z95" s="2419"/>
    </row>
    <row r="96" spans="3:26" ht="12.5" customHeight="1">
      <c r="D96" s="329"/>
      <c r="H96" s="896"/>
      <c r="I96" s="894"/>
      <c r="J96" s="892"/>
      <c r="K96" s="1922"/>
      <c r="L96" s="895"/>
      <c r="M96" s="895"/>
      <c r="N96" s="890"/>
      <c r="O96" s="245"/>
      <c r="P96" s="245"/>
      <c r="Q96" s="2419"/>
      <c r="R96" s="2419"/>
      <c r="S96" s="2419"/>
      <c r="T96" s="2419"/>
      <c r="U96" s="2419"/>
      <c r="V96" s="2419"/>
      <c r="W96" s="2419"/>
      <c r="X96" s="2419"/>
      <c r="Y96" s="2419"/>
      <c r="Z96" s="2419"/>
    </row>
    <row r="97" spans="4:26">
      <c r="D97" s="270" t="s">
        <v>510</v>
      </c>
      <c r="E97" s="235"/>
      <c r="F97" s="235"/>
      <c r="G97" s="235"/>
      <c r="H97" s="373"/>
      <c r="I97" s="894"/>
      <c r="J97" s="897"/>
      <c r="K97" s="1915"/>
      <c r="L97" s="894" t="str">
        <f>IF(N(K97)&lt;&gt;ROUNDDOWN(N(K97),0),1,"")</f>
        <v/>
      </c>
      <c r="M97" s="889"/>
      <c r="N97" s="889" t="str">
        <f>IF(H97+K97=0,"",H97+K97)</f>
        <v/>
      </c>
      <c r="O97" s="245"/>
      <c r="P97" s="245"/>
      <c r="Q97" s="2419" t="s">
        <v>716</v>
      </c>
      <c r="R97" s="2419"/>
      <c r="S97" s="2419"/>
      <c r="T97" s="2419"/>
      <c r="U97" s="2419"/>
      <c r="V97" s="2419"/>
      <c r="W97" s="2419"/>
      <c r="X97" s="2419"/>
      <c r="Y97" s="2419"/>
      <c r="Z97" s="2419"/>
    </row>
    <row r="98" spans="4:26" ht="12.5" customHeight="1">
      <c r="D98" s="329"/>
      <c r="H98" s="324"/>
      <c r="I98" s="320"/>
      <c r="J98" s="274"/>
      <c r="K98" s="1921"/>
      <c r="L98" s="275"/>
      <c r="M98" s="275"/>
      <c r="N98" s="363"/>
      <c r="O98" s="245"/>
      <c r="P98" s="245"/>
      <c r="Q98" s="2419"/>
      <c r="R98" s="2419"/>
      <c r="S98" s="2419"/>
      <c r="T98" s="2419"/>
      <c r="U98" s="2419"/>
      <c r="V98" s="2419"/>
      <c r="W98" s="2419"/>
      <c r="X98" s="2419"/>
      <c r="Y98" s="2419"/>
      <c r="Z98" s="2419"/>
    </row>
    <row r="99" spans="4:26">
      <c r="D99" s="270" t="s">
        <v>2108</v>
      </c>
      <c r="E99" s="235"/>
      <c r="F99" s="235"/>
      <c r="G99" s="654"/>
      <c r="H99" s="373"/>
      <c r="I99" s="320"/>
      <c r="J99" s="305"/>
      <c r="K99" s="1915"/>
      <c r="L99" s="894" t="str">
        <f>IF(N(K99)&lt;&gt;ROUNDDOWN(N(K99),0),1,"")</f>
        <v/>
      </c>
      <c r="M99" s="889"/>
      <c r="N99" s="891" t="str">
        <f>IF(H99+K99=0,"",H99+K99)</f>
        <v/>
      </c>
      <c r="O99" s="245"/>
      <c r="P99" s="245"/>
    </row>
    <row r="100" spans="4:26" ht="12.5" customHeight="1">
      <c r="D100" s="329"/>
      <c r="H100" s="896"/>
      <c r="I100" s="320"/>
      <c r="J100" s="274"/>
      <c r="K100" s="1922"/>
      <c r="L100" s="895"/>
      <c r="M100" s="895"/>
      <c r="N100" s="892"/>
      <c r="O100" s="245"/>
      <c r="P100" s="245"/>
    </row>
    <row r="101" spans="4:26" ht="13.5">
      <c r="D101" s="270" t="s">
        <v>2109</v>
      </c>
      <c r="E101" s="235"/>
      <c r="F101" s="235"/>
      <c r="G101" s="654"/>
      <c r="H101" s="373"/>
      <c r="I101" s="320"/>
      <c r="J101" s="305"/>
      <c r="K101" s="1915"/>
      <c r="L101" s="894" t="str">
        <f>IF(N(K101)&lt;&gt;ROUNDDOWN(N(K101),0),1,"")</f>
        <v/>
      </c>
      <c r="M101" s="889"/>
      <c r="N101" s="891" t="str">
        <f>IF(H101+K101=0,"",H101+K101)</f>
        <v/>
      </c>
      <c r="O101" s="245"/>
      <c r="P101" s="245"/>
      <c r="Q101" s="2423" t="s">
        <v>704</v>
      </c>
      <c r="R101" s="2423"/>
      <c r="S101" s="2423"/>
      <c r="T101" s="2423"/>
      <c r="U101" s="2423"/>
      <c r="V101" s="2423"/>
      <c r="W101" s="2423"/>
      <c r="X101" s="2423"/>
      <c r="Y101" s="2423"/>
      <c r="Z101" s="2423"/>
    </row>
    <row r="102" spans="4:26" ht="12.5" customHeight="1">
      <c r="D102" s="329"/>
      <c r="H102" s="896"/>
      <c r="I102" s="320"/>
      <c r="J102" s="274"/>
      <c r="K102" s="1922"/>
      <c r="L102" s="895"/>
      <c r="M102" s="895"/>
      <c r="N102" s="892"/>
      <c r="O102" s="245"/>
      <c r="P102" s="245"/>
      <c r="Q102" s="2423"/>
      <c r="R102" s="2423"/>
      <c r="S102" s="2423"/>
      <c r="T102" s="2423"/>
      <c r="U102" s="2423"/>
      <c r="V102" s="2423"/>
      <c r="W102" s="2423"/>
      <c r="X102" s="2423"/>
      <c r="Y102" s="2423"/>
      <c r="Z102" s="2423"/>
    </row>
    <row r="103" spans="4:26">
      <c r="D103" s="270" t="s">
        <v>2110</v>
      </c>
      <c r="E103" s="235"/>
      <c r="F103" s="235"/>
      <c r="G103" s="654"/>
      <c r="H103" s="373"/>
      <c r="I103" s="320"/>
      <c r="J103" s="305"/>
      <c r="K103" s="1915"/>
      <c r="L103" s="894" t="str">
        <f>IF(N(K103)&lt;&gt;ROUNDDOWN(N(K103),0),1,"")</f>
        <v/>
      </c>
      <c r="M103" s="889"/>
      <c r="N103" s="889" t="str">
        <f>IF(H103+K103=0,"",H103+K103)</f>
        <v/>
      </c>
      <c r="O103" s="245"/>
      <c r="P103" s="245"/>
    </row>
    <row r="104" spans="4:26" ht="12.5" customHeight="1">
      <c r="D104" s="329"/>
      <c r="H104" s="896"/>
      <c r="I104" s="320"/>
      <c r="J104" s="274"/>
      <c r="K104" s="1922"/>
      <c r="L104" s="895"/>
      <c r="M104" s="895"/>
      <c r="N104" s="890"/>
      <c r="O104" s="245"/>
      <c r="P104" s="245"/>
    </row>
    <row r="105" spans="4:26" ht="12.75" customHeight="1">
      <c r="D105" s="270" t="s">
        <v>2111</v>
      </c>
      <c r="E105" s="235"/>
      <c r="F105" s="235"/>
      <c r="G105" s="654"/>
      <c r="H105" s="373"/>
      <c r="I105" s="320"/>
      <c r="J105" s="305"/>
      <c r="K105" s="1915"/>
      <c r="L105" s="894" t="str">
        <f>IF(N(K105)&lt;&gt;ROUNDDOWN(N(K105),0),1,"")</f>
        <v/>
      </c>
      <c r="M105" s="889"/>
      <c r="N105" s="889" t="str">
        <f>IF(H105+K105=0,"",H105+K105)</f>
        <v/>
      </c>
      <c r="O105" s="245"/>
      <c r="P105" s="245"/>
      <c r="Q105" s="2423" t="s">
        <v>704</v>
      </c>
      <c r="R105" s="2423"/>
      <c r="S105" s="2423"/>
      <c r="T105" s="2423"/>
      <c r="U105" s="2423"/>
      <c r="V105" s="2423"/>
      <c r="W105" s="2423"/>
      <c r="X105" s="2423"/>
      <c r="Y105" s="2423"/>
      <c r="Z105" s="2423"/>
    </row>
    <row r="106" spans="4:26" ht="12.5" customHeight="1">
      <c r="D106" s="329"/>
      <c r="H106" s="896"/>
      <c r="I106" s="320"/>
      <c r="J106" s="274"/>
      <c r="K106" s="1922"/>
      <c r="L106" s="895"/>
      <c r="M106" s="895"/>
      <c r="N106" s="890"/>
      <c r="O106" s="245"/>
      <c r="P106" s="245"/>
      <c r="Q106" s="2423"/>
      <c r="R106" s="2423"/>
      <c r="S106" s="2423"/>
      <c r="T106" s="2423"/>
      <c r="U106" s="2423"/>
      <c r="V106" s="2423"/>
      <c r="W106" s="2423"/>
      <c r="X106" s="2423"/>
      <c r="Y106" s="2423"/>
      <c r="Z106" s="2423"/>
    </row>
    <row r="107" spans="4:26">
      <c r="D107" s="270" t="s">
        <v>511</v>
      </c>
      <c r="E107" s="235"/>
      <c r="H107" s="275"/>
      <c r="I107" s="275"/>
      <c r="J107" s="275"/>
      <c r="K107" s="1922"/>
      <c r="L107" s="895"/>
      <c r="M107" s="895"/>
      <c r="N107" s="892"/>
      <c r="O107" s="245"/>
      <c r="P107" s="245"/>
    </row>
    <row r="108" spans="4:26">
      <c r="D108" s="270"/>
      <c r="E108" s="235" t="s">
        <v>512</v>
      </c>
      <c r="H108" s="373"/>
      <c r="I108" s="320"/>
      <c r="J108" s="305"/>
      <c r="K108" s="1915"/>
      <c r="L108" s="894" t="str">
        <f>IF(N(K108)&lt;&gt;ROUNDDOWN(N(K108),0),1,"")</f>
        <v/>
      </c>
      <c r="M108" s="889"/>
      <c r="N108" s="889" t="str">
        <f>IF(H108+K108=0,"",H108+K108)</f>
        <v/>
      </c>
      <c r="O108" s="245"/>
      <c r="P108" s="245"/>
    </row>
    <row r="109" spans="4:26" ht="12.5" customHeight="1">
      <c r="D109" s="329"/>
      <c r="H109" s="324"/>
      <c r="I109" s="320"/>
      <c r="J109" s="274"/>
      <c r="K109" s="1922"/>
      <c r="L109" s="895"/>
      <c r="M109" s="895"/>
      <c r="N109" s="890"/>
      <c r="O109" s="245"/>
      <c r="P109" s="245"/>
    </row>
    <row r="110" spans="4:26">
      <c r="D110" s="322" t="s">
        <v>513</v>
      </c>
      <c r="E110" s="235"/>
      <c r="F110" s="235"/>
      <c r="G110" s="235"/>
      <c r="H110" s="326"/>
      <c r="I110" s="320"/>
      <c r="J110" s="305"/>
      <c r="K110" s="1915"/>
      <c r="L110" s="894" t="str">
        <f>IF(N(K110)&lt;&gt;ROUNDDOWN(N(K110),0),1,"")</f>
        <v/>
      </c>
      <c r="M110" s="889"/>
      <c r="N110" s="891" t="str">
        <f>IF(H110+K110=0,"",H110+K110)</f>
        <v/>
      </c>
      <c r="O110" s="245"/>
      <c r="P110" s="245"/>
      <c r="Q110" s="2424" t="s">
        <v>715</v>
      </c>
      <c r="R110" s="2424"/>
      <c r="S110" s="2424"/>
      <c r="T110" s="2424"/>
      <c r="U110" s="2424"/>
      <c r="V110" s="2424"/>
      <c r="W110" s="2424"/>
      <c r="X110" s="2424"/>
      <c r="Y110" s="2424"/>
      <c r="Z110" s="2424"/>
    </row>
    <row r="111" spans="4:26" ht="12.5" customHeight="1">
      <c r="D111" s="345"/>
      <c r="E111" s="299"/>
      <c r="F111" s="299"/>
      <c r="G111" s="299"/>
      <c r="H111" s="324"/>
      <c r="I111" s="320"/>
      <c r="J111" s="274"/>
      <c r="K111" s="1922"/>
      <c r="L111" s="899"/>
      <c r="M111" s="895"/>
      <c r="N111" s="892"/>
      <c r="O111" s="245"/>
      <c r="P111" s="245"/>
      <c r="Q111" s="2424"/>
      <c r="R111" s="2424"/>
      <c r="S111" s="2424"/>
      <c r="T111" s="2424"/>
      <c r="U111" s="2424"/>
      <c r="V111" s="2424"/>
      <c r="W111" s="2424"/>
      <c r="X111" s="2424"/>
      <c r="Y111" s="2424"/>
      <c r="Z111" s="2424"/>
    </row>
    <row r="112" spans="4:26">
      <c r="D112" s="270" t="s">
        <v>514</v>
      </c>
      <c r="E112" s="235"/>
      <c r="F112" s="235"/>
      <c r="G112" s="235"/>
      <c r="H112" s="373"/>
      <c r="I112" s="320"/>
      <c r="J112" s="305"/>
      <c r="K112" s="1915"/>
      <c r="L112" s="894" t="str">
        <f>IF(N(K112)&lt;&gt;ROUNDDOWN(N(K112),0),1,"")</f>
        <v/>
      </c>
      <c r="M112" s="889"/>
      <c r="N112" s="889" t="str">
        <f>IF(H112+K112=0,"",H112+K112)</f>
        <v/>
      </c>
      <c r="O112" s="245"/>
      <c r="P112" s="245"/>
      <c r="Q112" s="2423" t="s">
        <v>714</v>
      </c>
      <c r="R112" s="2423"/>
      <c r="S112" s="2423"/>
      <c r="T112" s="2423"/>
      <c r="U112" s="2423"/>
      <c r="V112" s="2423"/>
      <c r="W112" s="2423"/>
      <c r="X112" s="2423"/>
      <c r="Y112" s="2423"/>
      <c r="Z112" s="2423"/>
    </row>
    <row r="113" spans="4:29" ht="12.5" customHeight="1">
      <c r="D113" s="329"/>
      <c r="H113" s="324"/>
      <c r="I113" s="320"/>
      <c r="J113" s="274"/>
      <c r="K113" s="1922"/>
      <c r="L113" s="895"/>
      <c r="M113" s="895"/>
      <c r="N113" s="890"/>
      <c r="O113" s="245"/>
      <c r="P113" s="245"/>
      <c r="Q113" s="2423"/>
      <c r="R113" s="2423"/>
      <c r="S113" s="2423"/>
      <c r="T113" s="2423"/>
      <c r="U113" s="2423"/>
      <c r="V113" s="2423"/>
      <c r="W113" s="2423"/>
      <c r="X113" s="2423"/>
      <c r="Y113" s="2423"/>
      <c r="Z113" s="2423"/>
    </row>
    <row r="114" spans="4:29">
      <c r="D114" s="270" t="s">
        <v>515</v>
      </c>
      <c r="E114" s="235"/>
      <c r="F114" s="235"/>
      <c r="G114" s="235"/>
      <c r="H114" s="326"/>
      <c r="I114" s="320"/>
      <c r="J114" s="305"/>
      <c r="K114" s="1916"/>
      <c r="L114" s="894" t="str">
        <f>IF(N(K114)&lt;&gt;ROUNDDOWN(N(K114),0),1,"")</f>
        <v/>
      </c>
      <c r="M114" s="889"/>
      <c r="N114" s="889" t="str">
        <f>IF(H114+K114=0,"",H114+K114)</f>
        <v/>
      </c>
      <c r="O114" s="245"/>
      <c r="P114" s="245"/>
    </row>
    <row r="115" spans="4:29" ht="12.5" customHeight="1">
      <c r="D115" s="345"/>
      <c r="E115" s="299"/>
      <c r="F115" s="299"/>
      <c r="G115" s="299"/>
      <c r="H115" s="324"/>
      <c r="I115" s="320"/>
      <c r="J115" s="274"/>
      <c r="K115" s="1922"/>
      <c r="L115" s="899"/>
      <c r="M115" s="895"/>
      <c r="N115" s="890"/>
      <c r="O115" s="245"/>
      <c r="P115" s="245"/>
    </row>
    <row r="116" spans="4:29">
      <c r="D116" s="270" t="s">
        <v>516</v>
      </c>
      <c r="E116" s="235"/>
      <c r="F116" s="235"/>
      <c r="G116" s="235"/>
      <c r="H116" s="326"/>
      <c r="I116" s="320"/>
      <c r="J116" s="305"/>
      <c r="K116" s="1915"/>
      <c r="L116" s="894" t="str">
        <f>IF(N(K116)&lt;&gt;ROUNDDOWN(N(K116),0),1,"")</f>
        <v/>
      </c>
      <c r="M116" s="889"/>
      <c r="N116" s="891" t="str">
        <f>IF(H116+K116=0,"",H116+K116)</f>
        <v/>
      </c>
      <c r="O116" s="245"/>
      <c r="P116" s="245"/>
      <c r="Q116" s="2419" t="s">
        <v>713</v>
      </c>
      <c r="R116" s="2419"/>
      <c r="S116" s="2419"/>
      <c r="T116" s="2419"/>
      <c r="U116" s="2419"/>
      <c r="V116" s="2419"/>
      <c r="W116" s="2419"/>
      <c r="X116" s="2419"/>
      <c r="Y116" s="2419"/>
      <c r="Z116" s="2419"/>
    </row>
    <row r="117" spans="4:29" ht="12.5" customHeight="1">
      <c r="D117" s="329"/>
      <c r="H117" s="324"/>
      <c r="I117" s="320"/>
      <c r="J117" s="274"/>
      <c r="K117" s="1922"/>
      <c r="L117" s="895"/>
      <c r="M117" s="895"/>
      <c r="N117" s="892"/>
      <c r="O117" s="245"/>
      <c r="P117" s="245"/>
      <c r="Q117" s="2419"/>
      <c r="R117" s="2419"/>
      <c r="S117" s="2419"/>
      <c r="T117" s="2419"/>
      <c r="U117" s="2419"/>
      <c r="V117" s="2419"/>
      <c r="W117" s="2419"/>
      <c r="X117" s="2419"/>
      <c r="Y117" s="2419"/>
      <c r="Z117" s="2419"/>
    </row>
    <row r="118" spans="4:29">
      <c r="D118" s="270" t="s">
        <v>517</v>
      </c>
      <c r="E118" s="235"/>
      <c r="F118" s="235"/>
      <c r="G118" s="235"/>
      <c r="H118" s="326"/>
      <c r="I118" s="320"/>
      <c r="J118" s="305"/>
      <c r="K118" s="1915"/>
      <c r="L118" s="894" t="str">
        <f>IF(N(K118)&lt;&gt;ROUNDDOWN(N(K118),0),1,"")</f>
        <v/>
      </c>
      <c r="M118" s="889"/>
      <c r="N118" s="891" t="str">
        <f>IF(H118+K118=0,"",H118+K118)</f>
        <v/>
      </c>
      <c r="O118" s="245"/>
      <c r="P118" s="245"/>
      <c r="Q118" s="2419" t="s">
        <v>712</v>
      </c>
      <c r="R118" s="2419"/>
      <c r="S118" s="2419"/>
      <c r="T118" s="2419"/>
      <c r="U118" s="2419"/>
      <c r="V118" s="2419"/>
      <c r="W118" s="2419"/>
      <c r="X118" s="2419"/>
      <c r="Y118" s="2419"/>
      <c r="Z118" s="2419"/>
    </row>
    <row r="119" spans="4:29" ht="12.5" customHeight="1">
      <c r="D119" s="329"/>
      <c r="H119" s="324"/>
      <c r="I119" s="320"/>
      <c r="J119" s="274"/>
      <c r="K119" s="1922"/>
      <c r="L119" s="895"/>
      <c r="M119" s="895"/>
      <c r="N119" s="892"/>
      <c r="O119" s="245"/>
      <c r="P119" s="245"/>
      <c r="Q119" s="2419"/>
      <c r="R119" s="2419"/>
      <c r="S119" s="2419"/>
      <c r="T119" s="2419"/>
      <c r="U119" s="2419"/>
      <c r="V119" s="2419"/>
      <c r="W119" s="2419"/>
      <c r="X119" s="2419"/>
      <c r="Y119" s="2419"/>
      <c r="Z119" s="2419"/>
    </row>
    <row r="120" spans="4:29">
      <c r="D120" s="270" t="s">
        <v>518</v>
      </c>
      <c r="E120" s="235"/>
      <c r="F120" s="235"/>
      <c r="G120" s="235"/>
      <c r="H120" s="804"/>
      <c r="I120" s="320"/>
      <c r="J120" s="305"/>
      <c r="K120" s="1916"/>
      <c r="L120" s="894" t="str">
        <f>IF(N(K120)&lt;&gt;ROUNDDOWN(N(K120),0),1,"")</f>
        <v/>
      </c>
      <c r="M120" s="889"/>
      <c r="N120" s="891" t="str">
        <f>IF(H120+K120=0,"",H120+K120)</f>
        <v/>
      </c>
      <c r="O120" s="245"/>
      <c r="P120" s="245"/>
      <c r="Q120" s="2423" t="s">
        <v>704</v>
      </c>
      <c r="R120" s="2423"/>
      <c r="S120" s="2423"/>
      <c r="T120" s="2423"/>
      <c r="U120" s="2423"/>
      <c r="V120" s="2423"/>
      <c r="W120" s="2423"/>
      <c r="X120" s="2423"/>
      <c r="Y120" s="2423"/>
      <c r="Z120" s="2423"/>
    </row>
    <row r="121" spans="4:29" ht="12.5" customHeight="1">
      <c r="D121" s="329"/>
      <c r="H121" s="275"/>
      <c r="I121" s="320"/>
      <c r="J121" s="274"/>
      <c r="K121" s="1922"/>
      <c r="L121" s="895"/>
      <c r="M121" s="895"/>
      <c r="N121" s="892"/>
      <c r="O121" s="245"/>
      <c r="P121" s="245"/>
      <c r="Q121" s="2423"/>
      <c r="R121" s="2423"/>
      <c r="S121" s="2423"/>
      <c r="T121" s="2423"/>
      <c r="U121" s="2423"/>
      <c r="V121" s="2423"/>
      <c r="W121" s="2423"/>
      <c r="X121" s="2423"/>
      <c r="Y121" s="2423"/>
      <c r="Z121" s="2423"/>
    </row>
    <row r="122" spans="4:29" ht="12.75" customHeight="1">
      <c r="D122" s="270" t="s">
        <v>519</v>
      </c>
      <c r="E122" s="235"/>
      <c r="F122" s="235"/>
      <c r="G122" s="235"/>
      <c r="H122" s="373"/>
      <c r="I122" s="320"/>
      <c r="J122" s="305"/>
      <c r="K122" s="1916"/>
      <c r="L122" s="894" t="str">
        <f>IF(N(K122)&lt;&gt;ROUNDDOWN(N(K122),0),1,"")</f>
        <v/>
      </c>
      <c r="M122" s="889"/>
      <c r="N122" s="889" t="str">
        <f>IF(H122+K122=0,"",H122+K122)</f>
        <v/>
      </c>
      <c r="O122" s="245"/>
      <c r="P122" s="245"/>
      <c r="Q122" s="2419" t="s">
        <v>711</v>
      </c>
      <c r="R122" s="2419"/>
      <c r="S122" s="2419"/>
      <c r="T122" s="2419"/>
      <c r="U122" s="2419"/>
      <c r="V122" s="2419"/>
      <c r="W122" s="2419"/>
      <c r="X122" s="2419"/>
      <c r="Y122" s="2419"/>
      <c r="Z122" s="2419"/>
      <c r="AA122" s="343"/>
      <c r="AB122" s="343"/>
      <c r="AC122" s="343"/>
    </row>
    <row r="123" spans="4:29" ht="12.5" customHeight="1">
      <c r="D123" s="329"/>
      <c r="H123" s="324"/>
      <c r="I123" s="320"/>
      <c r="J123" s="274"/>
      <c r="K123" s="1922"/>
      <c r="L123" s="895"/>
      <c r="M123" s="895"/>
      <c r="N123" s="890"/>
      <c r="O123" s="245"/>
      <c r="P123" s="245"/>
      <c r="Q123" s="2419"/>
      <c r="R123" s="2419"/>
      <c r="S123" s="2419"/>
      <c r="T123" s="2419"/>
      <c r="U123" s="2419"/>
      <c r="V123" s="2419"/>
      <c r="W123" s="2419"/>
      <c r="X123" s="2419"/>
      <c r="Y123" s="2419"/>
      <c r="Z123" s="2419"/>
      <c r="AA123" s="343"/>
      <c r="AB123" s="343"/>
      <c r="AC123" s="343"/>
    </row>
    <row r="124" spans="4:29" ht="12.75" customHeight="1">
      <c r="D124" s="270" t="s">
        <v>520</v>
      </c>
      <c r="E124" s="235"/>
      <c r="F124" s="235"/>
      <c r="G124" s="235"/>
      <c r="H124" s="326"/>
      <c r="I124" s="320"/>
      <c r="J124" s="305"/>
      <c r="K124" s="1915"/>
      <c r="L124" s="894" t="str">
        <f>IF(N(K124)&lt;&gt;ROUNDDOWN(N(K124),0),1,"")</f>
        <v/>
      </c>
      <c r="M124" s="889"/>
      <c r="N124" s="891" t="str">
        <f>IF(H124+K124=0,"",H124+K124)</f>
        <v/>
      </c>
      <c r="O124" s="245"/>
      <c r="P124" s="245"/>
      <c r="Q124" s="2420" t="s">
        <v>710</v>
      </c>
      <c r="R124" s="2420"/>
      <c r="S124" s="2420"/>
      <c r="T124" s="2420"/>
      <c r="U124" s="2420"/>
      <c r="V124" s="2420"/>
      <c r="W124" s="2420"/>
      <c r="X124" s="2420"/>
      <c r="Y124" s="2420"/>
      <c r="Z124" s="2420"/>
      <c r="AA124" s="2420"/>
      <c r="AB124" s="2420"/>
      <c r="AC124" s="2420"/>
    </row>
    <row r="125" spans="4:29" ht="12.5" customHeight="1">
      <c r="D125" s="329"/>
      <c r="H125" s="324"/>
      <c r="I125" s="320"/>
      <c r="J125" s="274"/>
      <c r="K125" s="1921"/>
      <c r="L125" s="275"/>
      <c r="M125" s="275"/>
      <c r="N125" s="274"/>
      <c r="O125" s="245"/>
      <c r="P125" s="245"/>
      <c r="Q125" s="2420"/>
      <c r="R125" s="2420"/>
      <c r="S125" s="2420"/>
      <c r="T125" s="2420"/>
      <c r="U125" s="2420"/>
      <c r="V125" s="2420"/>
      <c r="W125" s="2420"/>
      <c r="X125" s="2420"/>
      <c r="Y125" s="2420"/>
      <c r="Z125" s="2420"/>
      <c r="AA125" s="2420"/>
      <c r="AB125" s="2420"/>
      <c r="AC125" s="2420"/>
    </row>
    <row r="126" spans="4:29">
      <c r="D126" s="270" t="s">
        <v>521</v>
      </c>
      <c r="E126" s="235"/>
      <c r="F126" s="235"/>
      <c r="G126" s="235"/>
      <c r="H126" s="373"/>
      <c r="I126" s="894"/>
      <c r="J126" s="897"/>
      <c r="K126" s="1915"/>
      <c r="L126" s="894" t="str">
        <f>IF(N(K126)&lt;&gt;ROUNDDOWN(N(K126),0),1,"")</f>
        <v/>
      </c>
      <c r="M126" s="889"/>
      <c r="N126" s="889" t="str">
        <f>IF(H126+K126=0,"",H126+K126)</f>
        <v/>
      </c>
      <c r="O126" s="245"/>
      <c r="P126" s="245"/>
      <c r="Q126" s="2419" t="s">
        <v>709</v>
      </c>
      <c r="R126" s="2419"/>
      <c r="S126" s="2419"/>
      <c r="T126" s="2419"/>
      <c r="U126" s="2419"/>
      <c r="V126" s="2419"/>
      <c r="W126" s="2419"/>
      <c r="X126" s="2419"/>
      <c r="Y126" s="2419"/>
      <c r="Z126" s="2419"/>
      <c r="AA126" s="344"/>
      <c r="AB126" s="344"/>
      <c r="AC126" s="344"/>
    </row>
    <row r="127" spans="4:29" ht="12.5" customHeight="1">
      <c r="D127" s="329"/>
      <c r="H127" s="896"/>
      <c r="I127" s="894"/>
      <c r="J127" s="892"/>
      <c r="K127" s="1922"/>
      <c r="L127" s="895"/>
      <c r="M127" s="895"/>
      <c r="N127" s="890"/>
      <c r="O127" s="245"/>
      <c r="P127" s="245"/>
      <c r="Q127" s="2419"/>
      <c r="R127" s="2419"/>
      <c r="S127" s="2419"/>
      <c r="T127" s="2419"/>
      <c r="U127" s="2419"/>
      <c r="V127" s="2419"/>
      <c r="W127" s="2419"/>
      <c r="X127" s="2419"/>
      <c r="Y127" s="2419"/>
      <c r="Z127" s="2419"/>
      <c r="AA127" s="343"/>
      <c r="AB127" s="343"/>
      <c r="AC127" s="343"/>
    </row>
    <row r="128" spans="4:29">
      <c r="D128" s="329" t="s">
        <v>522</v>
      </c>
      <c r="H128" s="373"/>
      <c r="I128" s="894"/>
      <c r="J128" s="897"/>
      <c r="K128" s="1916"/>
      <c r="L128" s="894" t="str">
        <f>IF(N(K128)&lt;&gt;ROUNDDOWN(N(K128),0),1,"")</f>
        <v/>
      </c>
      <c r="M128" s="889"/>
      <c r="N128" s="889" t="str">
        <f>IF(H128+K128=0,"",H128+K128)</f>
        <v/>
      </c>
      <c r="O128" s="245"/>
      <c r="P128" s="245"/>
      <c r="Q128" s="2421" t="s">
        <v>708</v>
      </c>
      <c r="R128" s="2421"/>
      <c r="S128" s="2421"/>
      <c r="T128" s="2421"/>
      <c r="U128" s="2421"/>
      <c r="V128" s="2421"/>
      <c r="W128" s="2421"/>
      <c r="X128" s="2421"/>
      <c r="Y128" s="2421"/>
      <c r="Z128" s="2421"/>
      <c r="AA128" s="343"/>
      <c r="AB128" s="343"/>
      <c r="AC128" s="343"/>
    </row>
    <row r="129" spans="1:29" ht="12.5" customHeight="1">
      <c r="D129" s="329"/>
      <c r="H129" s="896"/>
      <c r="I129" s="894"/>
      <c r="J129" s="892"/>
      <c r="K129" s="1922"/>
      <c r="L129" s="895"/>
      <c r="M129" s="895"/>
      <c r="N129" s="890"/>
      <c r="O129" s="245"/>
      <c r="P129" s="245"/>
      <c r="Q129" s="2422"/>
      <c r="R129" s="2422"/>
      <c r="S129" s="2422"/>
      <c r="T129" s="2422"/>
      <c r="U129" s="2422"/>
      <c r="V129" s="2422"/>
      <c r="W129" s="2422"/>
      <c r="X129" s="2422"/>
      <c r="Y129" s="2422"/>
      <c r="Z129" s="2422"/>
      <c r="AA129" s="343"/>
      <c r="AB129" s="343"/>
      <c r="AC129" s="343"/>
    </row>
    <row r="130" spans="1:29">
      <c r="D130" s="270" t="s">
        <v>523</v>
      </c>
      <c r="E130" s="235"/>
      <c r="F130" s="235"/>
      <c r="G130" s="235"/>
      <c r="H130" s="373"/>
      <c r="I130" s="894"/>
      <c r="J130" s="897"/>
      <c r="K130" s="1915"/>
      <c r="L130" s="894" t="str">
        <f>IF(N(K130)&lt;&gt;ROUNDDOWN(N(K130),0),1,"")</f>
        <v/>
      </c>
      <c r="M130" s="889"/>
      <c r="N130" s="889" t="str">
        <f>IF(H130+K130=0,"",H130+K130)</f>
        <v/>
      </c>
      <c r="O130" s="245"/>
      <c r="P130" s="245"/>
      <c r="Q130" s="2419" t="s">
        <v>707</v>
      </c>
      <c r="R130" s="2419"/>
      <c r="S130" s="2419"/>
      <c r="T130" s="2419"/>
      <c r="U130" s="2419"/>
      <c r="V130" s="2419"/>
      <c r="W130" s="2419"/>
      <c r="X130" s="2419"/>
      <c r="Y130" s="2419"/>
      <c r="Z130" s="2419"/>
    </row>
    <row r="131" spans="1:29" ht="12.5" customHeight="1">
      <c r="D131" s="329"/>
      <c r="H131" s="896"/>
      <c r="I131" s="894"/>
      <c r="J131" s="892"/>
      <c r="K131" s="1922"/>
      <c r="L131" s="895"/>
      <c r="M131" s="895"/>
      <c r="N131" s="890"/>
      <c r="O131" s="245"/>
      <c r="P131" s="245"/>
      <c r="Q131" s="2419"/>
      <c r="R131" s="2419"/>
      <c r="S131" s="2419"/>
      <c r="T131" s="2419"/>
      <c r="U131" s="2419"/>
      <c r="V131" s="2419"/>
      <c r="W131" s="2419"/>
      <c r="X131" s="2419"/>
      <c r="Y131" s="2419"/>
      <c r="Z131" s="2419"/>
    </row>
    <row r="132" spans="1:29">
      <c r="D132" s="270" t="s">
        <v>524</v>
      </c>
      <c r="E132" s="235"/>
      <c r="F132" s="235"/>
      <c r="G132" s="235"/>
      <c r="H132" s="373"/>
      <c r="I132" s="894"/>
      <c r="J132" s="897"/>
      <c r="K132" s="1915"/>
      <c r="L132" s="894" t="str">
        <f>IF(N(K132)&lt;&gt;ROUNDDOWN(N(K132),0),1,"")</f>
        <v/>
      </c>
      <c r="M132" s="889"/>
      <c r="N132" s="891" t="str">
        <f>IF(H132+K132=0,"",H132+K132)</f>
        <v/>
      </c>
      <c r="O132" s="245"/>
      <c r="P132" s="245"/>
    </row>
    <row r="133" spans="1:29" ht="12.5" customHeight="1">
      <c r="D133" s="329"/>
      <c r="H133" s="896"/>
      <c r="I133" s="894"/>
      <c r="J133" s="892"/>
      <c r="K133" s="1922"/>
      <c r="L133" s="895"/>
      <c r="M133" s="895"/>
      <c r="N133" s="892"/>
      <c r="O133" s="245"/>
      <c r="P133" s="245"/>
    </row>
    <row r="134" spans="1:29" ht="12.75" customHeight="1">
      <c r="D134" s="322" t="s">
        <v>492</v>
      </c>
      <c r="E134" s="235"/>
      <c r="F134" s="235"/>
      <c r="G134" s="235"/>
      <c r="H134" s="373"/>
      <c r="I134" s="894"/>
      <c r="J134" s="897"/>
      <c r="K134" s="1916"/>
      <c r="L134" s="894" t="str">
        <f>IF(N(K134)&lt;&gt;ROUNDDOWN(N(K134),0),1,"")</f>
        <v/>
      </c>
      <c r="M134" s="889"/>
      <c r="N134" s="889" t="str">
        <f>IF(H134+K134=0,"",H134+K134)</f>
        <v/>
      </c>
      <c r="O134" s="245"/>
      <c r="P134" s="245"/>
      <c r="Q134" s="2419" t="s">
        <v>706</v>
      </c>
      <c r="R134" s="2419"/>
      <c r="S134" s="2419"/>
      <c r="T134" s="2419"/>
      <c r="U134" s="2419"/>
      <c r="V134" s="2419"/>
      <c r="W134" s="2419"/>
      <c r="X134" s="2419"/>
      <c r="Y134" s="2419"/>
      <c r="Z134" s="2419"/>
    </row>
    <row r="135" spans="1:29" ht="12.5" customHeight="1">
      <c r="H135" s="896"/>
      <c r="I135" s="894"/>
      <c r="J135" s="892"/>
      <c r="K135" s="1922"/>
      <c r="L135" s="895"/>
      <c r="M135" s="895"/>
      <c r="N135" s="890"/>
      <c r="O135" s="245"/>
      <c r="P135" s="245"/>
      <c r="Q135" s="2419"/>
      <c r="R135" s="2419"/>
      <c r="S135" s="2419"/>
      <c r="T135" s="2419"/>
      <c r="U135" s="2419"/>
      <c r="V135" s="2419"/>
      <c r="W135" s="2419"/>
      <c r="X135" s="2419"/>
      <c r="Y135" s="2419"/>
      <c r="Z135" s="2419"/>
    </row>
    <row r="136" spans="1:29">
      <c r="B136" s="323" t="s">
        <v>525</v>
      </c>
      <c r="C136" s="339" t="s">
        <v>526</v>
      </c>
      <c r="D136" s="235"/>
      <c r="E136" s="235"/>
      <c r="F136" s="235"/>
      <c r="H136" s="895"/>
      <c r="I136" s="895"/>
      <c r="J136" s="895"/>
      <c r="K136" s="1922"/>
      <c r="L136" s="895"/>
      <c r="M136" s="895"/>
      <c r="N136" s="892"/>
      <c r="O136" s="245"/>
      <c r="P136" s="245"/>
    </row>
    <row r="137" spans="1:29">
      <c r="D137" s="339" t="s">
        <v>527</v>
      </c>
      <c r="G137" s="321" t="s">
        <v>495</v>
      </c>
      <c r="H137" s="891" t="str">
        <f>IF(SUM(H81:H134)=0,"",SUM(H81:H134))</f>
        <v/>
      </c>
      <c r="I137" s="894"/>
      <c r="J137" s="884"/>
      <c r="K137" s="1908"/>
      <c r="L137" s="894"/>
      <c r="M137" s="884" t="s">
        <v>495</v>
      </c>
      <c r="N137" s="893" t="str">
        <f>IF(N(H137)+N(K137)=0,"",N(H137)+N(K137))</f>
        <v/>
      </c>
      <c r="O137" s="245"/>
      <c r="P137" s="245"/>
    </row>
    <row r="138" spans="1:29" ht="12.5" customHeight="1">
      <c r="H138" s="275"/>
      <c r="I138" s="320"/>
      <c r="J138" s="274"/>
      <c r="K138" s="1921"/>
      <c r="N138" s="235"/>
      <c r="O138" s="245"/>
      <c r="P138" s="245"/>
      <c r="Q138" s="587"/>
      <c r="R138" s="587"/>
      <c r="S138" s="587"/>
    </row>
    <row r="139" spans="1:29" ht="12.75" customHeight="1">
      <c r="B139" s="328" t="s">
        <v>528</v>
      </c>
      <c r="C139" s="327" t="s">
        <v>2106</v>
      </c>
      <c r="G139" s="321" t="s">
        <v>495</v>
      </c>
      <c r="H139" s="326"/>
      <c r="I139" s="320"/>
      <c r="J139" s="884"/>
      <c r="K139" s="1915"/>
      <c r="L139" s="320" t="str">
        <f>IF(N(K139)&lt;&gt;ROUNDDOWN(N(K139),0),1,"")</f>
        <v/>
      </c>
      <c r="M139" s="323" t="s">
        <v>495</v>
      </c>
      <c r="N139" s="891" t="str">
        <f>IF(SUM(N(Contingency_Soft_eligible),N(Contingency_Soft_ineligible))=0,"",IF(SUM(N(Contingency_Soft_eligible),N(Contingency_Soft_ineligible))&gt;SCC_DollarMax,SCC_DollarMax,SUM(N(Contingency_Soft_eligible),N(Contingency_Soft_ineligible))))</f>
        <v/>
      </c>
      <c r="O139" s="245"/>
      <c r="P139" s="247" t="str">
        <f>IF($P$140="No","**","")</f>
        <v/>
      </c>
      <c r="Q139" s="2435" t="str">
        <f>IF(P140="No","Because the amount entered for 'Soft Cost Contingency' is too high by "&amp;TEXT(SUM(N(Contingency_Soft_eligible),N(Contingency_Soft_ineligible))-N(SCC_DollarMax),"$#,##0.00")&amp;", the maximum Total Soft Cost Contingency of "&amp;TEXT(N(SCC_DollarMax),"$#,##0.00")&amp;" has been utilized.","")</f>
        <v/>
      </c>
      <c r="R139" s="2435"/>
      <c r="S139" s="2435"/>
      <c r="T139" s="2435"/>
      <c r="U139" s="2435"/>
      <c r="V139" s="2435"/>
      <c r="W139" s="2435"/>
      <c r="X139" s="2435"/>
      <c r="Y139" s="2435"/>
      <c r="Z139" s="2435"/>
    </row>
    <row r="140" spans="1:29" ht="12.75" customHeight="1">
      <c r="D140" s="2534" t="str">
        <f>"Max SCC @ "&amp;TEXT(DS_MaxSCC,"#0%")&amp;":"</f>
        <v>Max SCC @ 5%:</v>
      </c>
      <c r="E140" s="2534"/>
      <c r="F140" s="945">
        <f>DS_MaxSCC*N(General_totaldevelopmentcost_total)</f>
        <v>0</v>
      </c>
      <c r="H140" s="324"/>
      <c r="I140" s="320"/>
      <c r="J140" s="274"/>
      <c r="K140" s="1921"/>
      <c r="N140" s="235"/>
      <c r="O140" s="245"/>
      <c r="P140" s="936" t="str">
        <f>IF(SUM(N(Contingency_Soft_eligible),N(Contingency_Soft_ineligible))&lt;=N(SCC_DollarMax),"Yes","No")</f>
        <v>Yes</v>
      </c>
      <c r="Q140" s="2438"/>
      <c r="R140" s="2438"/>
      <c r="S140" s="2438"/>
      <c r="T140" s="2438"/>
      <c r="U140" s="2438"/>
      <c r="V140" s="2438"/>
      <c r="W140" s="2438"/>
      <c r="X140" s="2438"/>
      <c r="Y140" s="2438"/>
      <c r="Z140" s="2438"/>
      <c r="AA140" s="660"/>
    </row>
    <row r="141" spans="1:29" ht="3.75" customHeight="1" thickBot="1">
      <c r="K141" s="1927"/>
      <c r="N141" s="235"/>
      <c r="O141" s="245"/>
      <c r="P141" s="245"/>
      <c r="Q141" s="951"/>
      <c r="R141" s="660"/>
      <c r="S141" s="660"/>
      <c r="T141" s="660"/>
      <c r="U141" s="660"/>
      <c r="V141" s="660"/>
      <c r="W141" s="660"/>
      <c r="X141" s="660"/>
      <c r="Y141" s="660"/>
      <c r="Z141" s="660"/>
      <c r="AA141" s="660"/>
    </row>
    <row r="142" spans="1:29" ht="3.75" customHeight="1">
      <c r="A142" s="246"/>
      <c r="B142" s="246"/>
      <c r="C142" s="246"/>
      <c r="D142" s="246"/>
      <c r="E142" s="246"/>
      <c r="F142" s="246"/>
      <c r="G142" s="246"/>
      <c r="H142" s="246"/>
      <c r="I142" s="246"/>
      <c r="J142" s="246"/>
      <c r="K142" s="1918"/>
      <c r="L142" s="246"/>
      <c r="M142" s="246"/>
      <c r="N142" s="364"/>
      <c r="O142" s="301"/>
      <c r="P142" s="301"/>
      <c r="Q142" s="660"/>
      <c r="R142" s="660"/>
      <c r="S142" s="660"/>
      <c r="T142" s="660"/>
      <c r="U142" s="660"/>
      <c r="V142" s="660"/>
      <c r="W142" s="660"/>
      <c r="X142" s="660"/>
      <c r="Y142" s="660"/>
      <c r="Z142" s="660"/>
      <c r="AA142" s="660"/>
    </row>
    <row r="143" spans="1:29" ht="13">
      <c r="B143" s="242" t="str">
        <f>B$2</f>
        <v>RFA 2023-102 DEVELOPMENT COST PRO FORMA</v>
      </c>
      <c r="H143" s="235"/>
      <c r="I143" s="235"/>
      <c r="J143" s="235"/>
      <c r="K143" s="1910"/>
      <c r="N143" s="235"/>
      <c r="O143" s="245"/>
      <c r="P143" s="244" t="str">
        <f>IF($P$422=1,"(Page 3 of 8)","(Page 3 of 7)")</f>
        <v>(Page 3 of 7)</v>
      </c>
      <c r="Q143" s="660"/>
      <c r="R143" s="660"/>
      <c r="S143" s="660"/>
      <c r="T143" s="660"/>
      <c r="U143" s="660"/>
      <c r="V143" s="660"/>
      <c r="W143" s="660"/>
      <c r="X143" s="660"/>
      <c r="Y143" s="660"/>
      <c r="Z143" s="660"/>
      <c r="AA143" s="660"/>
    </row>
    <row r="144" spans="1:29">
      <c r="H144" s="342">
        <f>H41</f>
        <v>1</v>
      </c>
      <c r="I144" s="235"/>
      <c r="J144" s="235"/>
      <c r="K144" s="1925"/>
      <c r="L144" s="235"/>
      <c r="M144" s="313"/>
      <c r="N144" s="342">
        <f>N41</f>
        <v>3</v>
      </c>
      <c r="O144" s="245"/>
      <c r="P144" s="245"/>
    </row>
    <row r="145" spans="3:26" ht="23.15" customHeight="1">
      <c r="H145" s="347" t="str">
        <f>H42</f>
        <v>PROPOSED
COSTS</v>
      </c>
      <c r="I145" s="372"/>
      <c r="J145" s="372"/>
      <c r="K145" s="1928"/>
      <c r="L145" s="340"/>
      <c r="M145" s="341"/>
      <c r="N145" s="347" t="str">
        <f>N42</f>
        <v>TOTAL
COSTS</v>
      </c>
      <c r="O145" s="245"/>
      <c r="P145" s="245"/>
    </row>
    <row r="146" spans="3:26" ht="13">
      <c r="C146" s="336" t="s">
        <v>529</v>
      </c>
      <c r="K146" s="1918"/>
      <c r="N146" s="235"/>
      <c r="O146" s="245"/>
      <c r="P146" s="245"/>
    </row>
    <row r="147" spans="3:26" ht="13">
      <c r="C147" s="336"/>
      <c r="D147" s="329" t="s">
        <v>530</v>
      </c>
      <c r="E147" s="329"/>
      <c r="K147" s="1918"/>
      <c r="N147" s="235"/>
      <c r="O147" s="245"/>
      <c r="P147" s="245"/>
    </row>
    <row r="148" spans="3:26" ht="13">
      <c r="C148" s="336"/>
      <c r="D148" s="329"/>
      <c r="E148" s="329" t="s">
        <v>531</v>
      </c>
      <c r="H148" s="326"/>
      <c r="I148" s="320"/>
      <c r="J148" s="305"/>
      <c r="K148" s="1915"/>
      <c r="L148" s="894" t="str">
        <f>IF(N(K148)&lt;&gt;ROUNDDOWN(N(K148),0),1,"")</f>
        <v/>
      </c>
      <c r="M148" s="892"/>
      <c r="N148" s="889" t="str">
        <f>IF(H148+K148=0,"",H148+K148)</f>
        <v/>
      </c>
      <c r="O148" s="245"/>
      <c r="P148" s="245"/>
    </row>
    <row r="149" spans="3:26" ht="12.5" customHeight="1">
      <c r="C149" s="336"/>
      <c r="D149" s="329"/>
      <c r="E149" s="329"/>
      <c r="H149" s="324"/>
      <c r="I149" s="320"/>
      <c r="J149" s="274"/>
      <c r="K149" s="1922"/>
      <c r="L149" s="895"/>
      <c r="M149" s="895"/>
      <c r="N149" s="890"/>
      <c r="O149" s="245"/>
      <c r="P149" s="245"/>
    </row>
    <row r="150" spans="3:26">
      <c r="D150" s="329" t="s">
        <v>532</v>
      </c>
      <c r="E150" s="329"/>
      <c r="H150" s="275"/>
      <c r="I150" s="275"/>
      <c r="J150" s="275"/>
      <c r="K150" s="1922"/>
      <c r="L150" s="895"/>
      <c r="M150" s="895"/>
      <c r="N150" s="892"/>
      <c r="O150" s="245"/>
      <c r="P150" s="245"/>
    </row>
    <row r="151" spans="3:26">
      <c r="D151" s="329"/>
      <c r="E151" s="329" t="s">
        <v>533</v>
      </c>
      <c r="H151" s="326"/>
      <c r="I151" s="320"/>
      <c r="J151" s="305"/>
      <c r="K151" s="1916"/>
      <c r="L151" s="894" t="str">
        <f>IF(N(K151)&lt;&gt;ROUNDDOWN(N(K151),0),1,"")</f>
        <v/>
      </c>
      <c r="M151" s="892"/>
      <c r="N151" s="891" t="str">
        <f>IF(H151+K151=0,"",H151+K151)</f>
        <v/>
      </c>
      <c r="O151" s="245"/>
      <c r="P151" s="245"/>
    </row>
    <row r="152" spans="3:26" ht="12.5" customHeight="1">
      <c r="D152" s="329"/>
      <c r="E152" s="329"/>
      <c r="H152" s="324"/>
      <c r="I152" s="320"/>
      <c r="J152" s="274"/>
      <c r="K152" s="1922"/>
      <c r="L152" s="895"/>
      <c r="M152" s="895"/>
      <c r="N152" s="892"/>
      <c r="O152" s="245"/>
      <c r="P152" s="245"/>
    </row>
    <row r="153" spans="3:26">
      <c r="D153" s="329" t="s">
        <v>534</v>
      </c>
      <c r="E153" s="329"/>
      <c r="H153" s="326"/>
      <c r="I153" s="320"/>
      <c r="J153" s="305"/>
      <c r="K153" s="1915"/>
      <c r="L153" s="894" t="str">
        <f>IF(N(K153)&lt;&gt;ROUNDDOWN(N(K153),0),1,"")</f>
        <v/>
      </c>
      <c r="M153" s="892"/>
      <c r="N153" s="891" t="str">
        <f>IF(H153+K153=0,"",H153+K153)</f>
        <v/>
      </c>
      <c r="O153" s="245"/>
      <c r="P153" s="245"/>
    </row>
    <row r="154" spans="3:26" ht="12.5" customHeight="1">
      <c r="D154" s="329"/>
      <c r="E154" s="329"/>
      <c r="H154" s="324"/>
      <c r="I154" s="320"/>
      <c r="J154" s="274"/>
      <c r="K154" s="1922"/>
      <c r="L154" s="895"/>
      <c r="M154" s="895"/>
      <c r="N154" s="654"/>
      <c r="O154" s="245"/>
      <c r="P154" s="245"/>
    </row>
    <row r="155" spans="3:26">
      <c r="D155" s="329" t="s">
        <v>535</v>
      </c>
      <c r="E155" s="329"/>
      <c r="H155" s="275"/>
      <c r="I155" s="275"/>
      <c r="J155" s="275"/>
      <c r="K155" s="1922"/>
      <c r="L155" s="895"/>
      <c r="M155" s="895"/>
      <c r="N155" s="892"/>
      <c r="O155" s="245"/>
      <c r="P155" s="245"/>
    </row>
    <row r="156" spans="3:26" ht="12.75" customHeight="1">
      <c r="D156" s="329"/>
      <c r="E156" s="329" t="s">
        <v>536</v>
      </c>
      <c r="H156" s="326"/>
      <c r="I156" s="320"/>
      <c r="J156" s="305"/>
      <c r="K156" s="1916"/>
      <c r="L156" s="894" t="str">
        <f>IF(N(K156)&lt;&gt;ROUNDDOWN(N(K156),0),1,"")</f>
        <v/>
      </c>
      <c r="M156" s="892"/>
      <c r="N156" s="891" t="str">
        <f>IF(H156+K156=0,"",H156+K156)</f>
        <v/>
      </c>
      <c r="O156" s="245"/>
      <c r="P156" s="998"/>
      <c r="Q156" s="2423" t="s">
        <v>705</v>
      </c>
      <c r="R156" s="2423"/>
      <c r="S156" s="2423"/>
      <c r="T156" s="2423"/>
      <c r="U156" s="2423"/>
      <c r="V156" s="2423"/>
      <c r="W156" s="2423"/>
      <c r="X156" s="2423"/>
      <c r="Y156" s="2423"/>
      <c r="Z156" s="2423"/>
    </row>
    <row r="157" spans="3:26" ht="12.5" customHeight="1">
      <c r="D157" s="329"/>
      <c r="E157" s="329"/>
      <c r="H157" s="324"/>
      <c r="I157" s="320"/>
      <c r="J157" s="274"/>
      <c r="K157" s="1922"/>
      <c r="L157" s="895"/>
      <c r="M157" s="895"/>
      <c r="N157" s="654"/>
      <c r="O157" s="245"/>
      <c r="P157" s="998"/>
      <c r="Q157" s="2423"/>
      <c r="R157" s="2423"/>
      <c r="S157" s="2423"/>
      <c r="T157" s="2423"/>
      <c r="U157" s="2423"/>
      <c r="V157" s="2423"/>
      <c r="W157" s="2423"/>
      <c r="X157" s="2423"/>
      <c r="Y157" s="2423"/>
      <c r="Z157" s="2423"/>
    </row>
    <row r="158" spans="3:26">
      <c r="D158" s="329" t="s">
        <v>537</v>
      </c>
      <c r="E158" s="329"/>
      <c r="H158" s="275"/>
      <c r="I158" s="275"/>
      <c r="J158" s="275"/>
      <c r="K158" s="1922"/>
      <c r="L158" s="895"/>
      <c r="M158" s="895"/>
      <c r="N158" s="892"/>
      <c r="O158" s="245"/>
      <c r="P158" s="998"/>
      <c r="Q158" s="2423" t="s">
        <v>704</v>
      </c>
      <c r="R158" s="2423"/>
      <c r="S158" s="2423"/>
      <c r="T158" s="2423"/>
      <c r="U158" s="2423"/>
      <c r="V158" s="2423"/>
      <c r="W158" s="2423"/>
      <c r="X158" s="2423"/>
      <c r="Y158" s="2423"/>
      <c r="Z158" s="2423"/>
    </row>
    <row r="159" spans="3:26">
      <c r="D159" s="329"/>
      <c r="E159" s="329" t="s">
        <v>531</v>
      </c>
      <c r="H159" s="1896"/>
      <c r="I159" s="320"/>
      <c r="J159" s="305"/>
      <c r="K159" s="1916"/>
      <c r="L159" s="894" t="str">
        <f>IF(N(K159)&lt;&gt;ROUNDDOWN(N(K159),0),1,"")</f>
        <v/>
      </c>
      <c r="M159" s="892"/>
      <c r="N159" s="889" t="str">
        <f>IF(H159+K159=0,"",H159+K159)</f>
        <v/>
      </c>
      <c r="O159" s="245"/>
      <c r="P159" s="998"/>
      <c r="Q159" s="2423"/>
      <c r="R159" s="2423"/>
      <c r="S159" s="2423"/>
      <c r="T159" s="2423"/>
      <c r="U159" s="2423"/>
      <c r="V159" s="2423"/>
      <c r="W159" s="2423"/>
      <c r="X159" s="2423"/>
      <c r="Y159" s="2423"/>
      <c r="Z159" s="2423"/>
    </row>
    <row r="160" spans="3:26" ht="12.5" customHeight="1">
      <c r="D160" s="329"/>
      <c r="E160" s="329"/>
      <c r="H160" s="324"/>
      <c r="I160" s="320"/>
      <c r="J160" s="274"/>
      <c r="K160" s="1922"/>
      <c r="L160" s="895"/>
      <c r="M160" s="895"/>
      <c r="N160" s="890"/>
      <c r="O160" s="245"/>
      <c r="P160" s="245"/>
    </row>
    <row r="161" spans="2:26">
      <c r="D161" s="329" t="s">
        <v>538</v>
      </c>
      <c r="E161" s="329"/>
      <c r="H161" s="275"/>
      <c r="I161" s="275"/>
      <c r="J161" s="275"/>
      <c r="K161" s="1922"/>
      <c r="L161" s="895"/>
      <c r="M161" s="895"/>
      <c r="N161" s="892"/>
      <c r="O161" s="245"/>
      <c r="P161" s="245"/>
    </row>
    <row r="162" spans="2:26">
      <c r="D162" s="329"/>
      <c r="E162" s="329" t="s">
        <v>533</v>
      </c>
      <c r="H162" s="804"/>
      <c r="I162" s="320"/>
      <c r="J162" s="305"/>
      <c r="K162" s="1916"/>
      <c r="L162" s="894" t="str">
        <f>IF(N(K162)&lt;&gt;ROUNDDOWN(N(K162),0),1,"")</f>
        <v/>
      </c>
      <c r="M162" s="892"/>
      <c r="N162" s="889" t="str">
        <f>IF(H162+K162=0,"",H162+K162)</f>
        <v/>
      </c>
      <c r="O162" s="245"/>
      <c r="P162" s="245"/>
    </row>
    <row r="163" spans="2:26" ht="12.5" customHeight="1">
      <c r="D163" s="329"/>
      <c r="E163" s="329"/>
      <c r="H163" s="275"/>
      <c r="I163" s="320"/>
      <c r="J163" s="274"/>
      <c r="K163" s="1922"/>
      <c r="L163" s="895"/>
      <c r="M163" s="895"/>
      <c r="N163" s="890"/>
      <c r="O163" s="245"/>
      <c r="P163" s="245"/>
    </row>
    <row r="164" spans="2:26">
      <c r="D164" s="329" t="s">
        <v>539</v>
      </c>
      <c r="E164" s="329"/>
      <c r="H164" s="1896"/>
      <c r="I164" s="320"/>
      <c r="J164" s="305"/>
      <c r="K164" s="1916"/>
      <c r="L164" s="894" t="str">
        <f>IF(N(K164)&lt;&gt;ROUNDDOWN(N(K164),0),1,"")</f>
        <v/>
      </c>
      <c r="M164" s="892"/>
      <c r="N164" s="889" t="str">
        <f>IF(H164+K164=0,"",H164+K164)</f>
        <v/>
      </c>
      <c r="O164" s="245"/>
      <c r="P164" s="245"/>
      <c r="Q164" s="2423" t="s">
        <v>704</v>
      </c>
      <c r="R164" s="2423"/>
      <c r="S164" s="2423"/>
      <c r="T164" s="2423"/>
      <c r="U164" s="2423"/>
      <c r="V164" s="2423"/>
      <c r="W164" s="2423"/>
      <c r="X164" s="2423"/>
      <c r="Y164" s="2423"/>
      <c r="Z164" s="2423"/>
    </row>
    <row r="165" spans="2:26" ht="12.5" customHeight="1">
      <c r="D165" s="329"/>
      <c r="E165" s="329"/>
      <c r="H165" s="324"/>
      <c r="I165" s="320"/>
      <c r="J165" s="274"/>
      <c r="K165" s="1922"/>
      <c r="L165" s="895"/>
      <c r="M165" s="895"/>
      <c r="N165" s="890"/>
      <c r="O165" s="245"/>
      <c r="P165" s="245"/>
      <c r="Q165" s="2423"/>
      <c r="R165" s="2423"/>
      <c r="S165" s="2423"/>
      <c r="T165" s="2423"/>
      <c r="U165" s="2423"/>
      <c r="V165" s="2423"/>
      <c r="W165" s="2423"/>
      <c r="X165" s="2423"/>
      <c r="Y165" s="2423"/>
      <c r="Z165" s="2423"/>
    </row>
    <row r="166" spans="2:26">
      <c r="D166" s="329" t="s">
        <v>540</v>
      </c>
      <c r="E166" s="329"/>
      <c r="H166" s="275"/>
      <c r="I166" s="275"/>
      <c r="J166" s="275"/>
      <c r="K166" s="1922"/>
      <c r="L166" s="895"/>
      <c r="M166" s="895"/>
      <c r="N166" s="892"/>
      <c r="O166" s="245"/>
      <c r="P166" s="245"/>
    </row>
    <row r="167" spans="2:26">
      <c r="D167" s="329"/>
      <c r="E167" s="329" t="s">
        <v>531</v>
      </c>
      <c r="H167" s="326"/>
      <c r="I167" s="320"/>
      <c r="J167" s="305"/>
      <c r="K167" s="1916"/>
      <c r="L167" s="894" t="str">
        <f>IF(N(K167)&lt;&gt;ROUNDDOWN(N(K167),0),1,"")</f>
        <v/>
      </c>
      <c r="M167" s="892"/>
      <c r="N167" s="889" t="str">
        <f>IF(H167+K167=0,"",H167+K167)</f>
        <v/>
      </c>
      <c r="O167" s="245"/>
      <c r="P167" s="245"/>
    </row>
    <row r="168" spans="2:26" ht="12.5" customHeight="1">
      <c r="D168" s="329"/>
      <c r="E168" s="329"/>
      <c r="H168" s="324"/>
      <c r="I168" s="320"/>
      <c r="J168" s="274"/>
      <c r="K168" s="1922"/>
      <c r="L168" s="895"/>
      <c r="M168" s="895"/>
      <c r="N168" s="890"/>
      <c r="O168" s="245"/>
      <c r="P168" s="245"/>
    </row>
    <row r="169" spans="2:26">
      <c r="D169" s="329" t="s">
        <v>541</v>
      </c>
      <c r="E169" s="329"/>
      <c r="H169" s="326"/>
      <c r="I169" s="320"/>
      <c r="J169" s="305"/>
      <c r="K169" s="1916"/>
      <c r="L169" s="894" t="str">
        <f>IF(N(K169)&lt;&gt;ROUNDDOWN(N(K169),0),1,"")</f>
        <v/>
      </c>
      <c r="M169" s="892"/>
      <c r="N169" s="889" t="str">
        <f>IF(H169+K169=0,"",H169+K169)</f>
        <v/>
      </c>
      <c r="O169" s="245"/>
      <c r="P169" s="245"/>
    </row>
    <row r="170" spans="2:26" ht="12.5" customHeight="1">
      <c r="D170" s="329"/>
      <c r="E170" s="329"/>
      <c r="H170" s="324"/>
      <c r="I170" s="320"/>
      <c r="J170" s="274"/>
      <c r="K170" s="1922"/>
      <c r="L170" s="895"/>
      <c r="M170" s="895"/>
      <c r="N170" s="890"/>
      <c r="O170" s="245"/>
      <c r="P170" s="245"/>
    </row>
    <row r="171" spans="2:26" ht="12.75" customHeight="1">
      <c r="D171" s="339" t="s">
        <v>492</v>
      </c>
      <c r="E171" s="270"/>
      <c r="F171" s="235"/>
      <c r="G171" s="235"/>
      <c r="H171" s="326"/>
      <c r="I171" s="320"/>
      <c r="J171" s="305"/>
      <c r="K171" s="1916"/>
      <c r="L171" s="894" t="str">
        <f>IF(N(K171)&lt;&gt;ROUNDDOWN(N(K171),0),1,"")</f>
        <v/>
      </c>
      <c r="M171" s="892"/>
      <c r="N171" s="891" t="str">
        <f>IF(H171+K171=0,"",H171+K171)</f>
        <v/>
      </c>
      <c r="O171" s="245"/>
      <c r="P171" s="245"/>
      <c r="Q171" s="2419" t="s">
        <v>703</v>
      </c>
      <c r="R171" s="2419"/>
      <c r="S171" s="2419"/>
      <c r="T171" s="2419"/>
      <c r="U171" s="2419"/>
      <c r="V171" s="2419"/>
      <c r="W171" s="2419"/>
      <c r="X171" s="2419"/>
      <c r="Y171" s="2419"/>
      <c r="Z171" s="2419"/>
    </row>
    <row r="172" spans="2:26" ht="12.5" customHeight="1">
      <c r="H172" s="324"/>
      <c r="I172" s="320"/>
      <c r="J172" s="274"/>
      <c r="K172" s="1922"/>
      <c r="L172" s="895"/>
      <c r="M172" s="895"/>
      <c r="N172" s="892"/>
      <c r="O172" s="245"/>
      <c r="P172" s="245"/>
      <c r="Q172" s="2419"/>
      <c r="R172" s="2419"/>
      <c r="S172" s="2419"/>
      <c r="T172" s="2419"/>
      <c r="U172" s="2419"/>
      <c r="V172" s="2419"/>
      <c r="W172" s="2419"/>
      <c r="X172" s="2419"/>
      <c r="Y172" s="2419"/>
      <c r="Z172" s="2419"/>
    </row>
    <row r="173" spans="2:26">
      <c r="B173" s="323" t="s">
        <v>542</v>
      </c>
      <c r="C173" s="339" t="s">
        <v>543</v>
      </c>
      <c r="G173" s="321" t="s">
        <v>495</v>
      </c>
      <c r="H173" s="891" t="str">
        <f>IF(SUM(H148:H171)=0,"",SUM(H148:H171))</f>
        <v/>
      </c>
      <c r="I173" s="320"/>
      <c r="J173" s="321"/>
      <c r="K173" s="1908"/>
      <c r="L173" s="894"/>
      <c r="M173" s="884" t="s">
        <v>495</v>
      </c>
      <c r="N173" s="893" t="str">
        <f>IF(N(H173)+N(K173)=0,"",N(H173)+N(K173))</f>
        <v/>
      </c>
      <c r="O173" s="245"/>
      <c r="P173" s="245"/>
    </row>
    <row r="174" spans="2:26" ht="12.5" customHeight="1">
      <c r="H174" s="275"/>
      <c r="I174" s="320"/>
      <c r="J174" s="274"/>
      <c r="K174" s="1921"/>
      <c r="L174" s="275"/>
      <c r="M174" s="275"/>
      <c r="N174" s="274"/>
      <c r="O174" s="245"/>
      <c r="P174" s="245"/>
    </row>
    <row r="175" spans="2:26" ht="13">
      <c r="B175" s="323"/>
      <c r="C175" s="319" t="s">
        <v>544</v>
      </c>
      <c r="D175" s="270"/>
      <c r="E175" s="270"/>
      <c r="F175" s="270"/>
      <c r="G175" s="270"/>
      <c r="H175" s="305"/>
      <c r="I175" s="305"/>
      <c r="J175" s="305"/>
      <c r="K175" s="1929"/>
      <c r="L175" s="305"/>
      <c r="M175" s="305"/>
      <c r="N175" s="305"/>
      <c r="O175" s="245"/>
      <c r="P175" s="245"/>
    </row>
    <row r="176" spans="2:26" ht="13">
      <c r="B176" s="270"/>
      <c r="C176" s="319" t="s">
        <v>545</v>
      </c>
      <c r="D176" s="322"/>
      <c r="E176" s="242"/>
      <c r="F176" s="242"/>
      <c r="G176" s="235"/>
      <c r="H176" s="305"/>
      <c r="I176" s="274"/>
      <c r="J176" s="305"/>
      <c r="K176" s="1929"/>
      <c r="L176" s="287"/>
      <c r="M176" s="287"/>
      <c r="N176" s="287"/>
      <c r="O176" s="245"/>
      <c r="P176" s="245"/>
      <c r="Q176" s="242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76" s="2424"/>
      <c r="S176" s="2424"/>
      <c r="T176" s="2424"/>
      <c r="U176" s="2424"/>
      <c r="V176" s="2424"/>
      <c r="W176" s="2424"/>
      <c r="X176" s="2424"/>
      <c r="Y176" s="2424"/>
      <c r="Z176" s="2424"/>
    </row>
    <row r="177" spans="1:30" ht="12.75" customHeight="1">
      <c r="B177" s="235"/>
      <c r="C177" s="330"/>
      <c r="D177" s="270" t="s">
        <v>546</v>
      </c>
      <c r="E177" s="235"/>
      <c r="F177" s="235"/>
      <c r="G177" s="323"/>
      <c r="H177" s="373"/>
      <c r="I177" s="894"/>
      <c r="J177" s="897"/>
      <c r="K177" s="1916"/>
      <c r="L177" s="894" t="str">
        <f>IF(N(K177)&lt;&gt;ROUNDDOWN(N(K177),0),1,"")</f>
        <v/>
      </c>
      <c r="M177" s="884"/>
      <c r="N177" s="891" t="str">
        <f>IF(H177+K177=0,"",H177+K177)</f>
        <v/>
      </c>
      <c r="O177" s="245"/>
      <c r="P177" s="245"/>
      <c r="Q177" s="2424"/>
      <c r="R177" s="2424"/>
      <c r="S177" s="2424"/>
      <c r="T177" s="2424"/>
      <c r="U177" s="2424"/>
      <c r="V177" s="2424"/>
      <c r="W177" s="2424"/>
      <c r="X177" s="2424"/>
      <c r="Y177" s="2424"/>
      <c r="Z177" s="2424"/>
    </row>
    <row r="178" spans="1:30" ht="12.5" customHeight="1">
      <c r="C178" s="330"/>
      <c r="D178" s="270"/>
      <c r="E178" s="235"/>
      <c r="F178" s="235"/>
      <c r="G178" s="235"/>
      <c r="H178" s="896"/>
      <c r="I178" s="894"/>
      <c r="J178" s="892"/>
      <c r="K178" s="1922"/>
      <c r="L178" s="889"/>
      <c r="M178" s="889"/>
      <c r="N178" s="889"/>
      <c r="O178" s="245"/>
      <c r="P178" s="245"/>
      <c r="Q178" s="2458" t="s">
        <v>702</v>
      </c>
      <c r="R178" s="2458"/>
      <c r="S178" s="2458"/>
      <c r="T178" s="2458"/>
      <c r="U178" s="2458"/>
      <c r="V178" s="2458"/>
      <c r="W178" s="2458"/>
      <c r="X178" s="2458"/>
      <c r="Y178" s="2458"/>
      <c r="Z178" s="2458"/>
    </row>
    <row r="179" spans="1:30">
      <c r="B179" s="323"/>
      <c r="C179" s="322"/>
      <c r="D179" s="322" t="s">
        <v>492</v>
      </c>
      <c r="E179" s="316"/>
      <c r="F179" s="316"/>
      <c r="G179" s="323"/>
      <c r="H179" s="373"/>
      <c r="I179" s="894"/>
      <c r="J179" s="897"/>
      <c r="K179" s="1916"/>
      <c r="L179" s="894" t="str">
        <f>IF(N(K179)&lt;&gt;ROUNDDOWN(N(K179),0),1,"")</f>
        <v/>
      </c>
      <c r="M179" s="884"/>
      <c r="N179" s="889" t="str">
        <f>IF(H179+K179=0,"",H179+K179)</f>
        <v/>
      </c>
      <c r="O179" s="245"/>
      <c r="P179" s="245"/>
      <c r="Q179" s="2459"/>
      <c r="R179" s="2459"/>
      <c r="S179" s="2459"/>
      <c r="T179" s="2459"/>
      <c r="U179" s="2459"/>
      <c r="V179" s="2459"/>
      <c r="W179" s="2459"/>
      <c r="X179" s="2459"/>
      <c r="Y179" s="2459"/>
      <c r="Z179" s="2459"/>
    </row>
    <row r="180" spans="1:30" ht="12.5" customHeight="1">
      <c r="B180" s="330"/>
      <c r="C180" s="235"/>
      <c r="D180" s="270"/>
      <c r="E180" s="235"/>
      <c r="F180" s="235"/>
      <c r="G180" s="316"/>
      <c r="H180" s="896"/>
      <c r="I180" s="894"/>
      <c r="J180" s="892"/>
      <c r="K180" s="1922"/>
      <c r="L180" s="900"/>
      <c r="M180" s="900"/>
      <c r="N180" s="901"/>
      <c r="O180" s="245"/>
      <c r="P180" s="245"/>
      <c r="Q180" s="2460"/>
      <c r="R180" s="2460"/>
      <c r="S180" s="2460"/>
      <c r="T180" s="2460"/>
      <c r="U180" s="2460"/>
      <c r="V180" s="2460"/>
      <c r="W180" s="2460"/>
      <c r="X180" s="2460"/>
      <c r="Y180" s="2460"/>
      <c r="Z180" s="2460"/>
    </row>
    <row r="181" spans="1:30">
      <c r="B181" s="323" t="s">
        <v>547</v>
      </c>
      <c r="C181" s="322" t="s">
        <v>548</v>
      </c>
      <c r="D181" s="270"/>
      <c r="E181" s="235"/>
      <c r="F181" s="235"/>
      <c r="G181" s="316"/>
      <c r="H181" s="902"/>
      <c r="I181" s="903"/>
      <c r="J181" s="904"/>
      <c r="K181" s="1914"/>
      <c r="L181" s="900"/>
      <c r="M181" s="900"/>
      <c r="N181" s="900"/>
      <c r="O181" s="245"/>
      <c r="P181" s="245"/>
      <c r="Q181" s="242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81" s="2424"/>
      <c r="S181" s="2424"/>
      <c r="T181" s="2424"/>
      <c r="U181" s="2424"/>
      <c r="V181" s="2424"/>
      <c r="W181" s="2424"/>
      <c r="X181" s="2424"/>
      <c r="Y181" s="2424"/>
      <c r="Z181" s="2424"/>
    </row>
    <row r="182" spans="1:30">
      <c r="B182" s="323"/>
      <c r="C182" s="322" t="s">
        <v>545</v>
      </c>
      <c r="D182" s="270"/>
      <c r="E182" s="235"/>
      <c r="F182" s="235"/>
      <c r="G182" s="321" t="s">
        <v>495</v>
      </c>
      <c r="H182" s="891" t="str">
        <f>IF(SUM(H177:H180)=0,"",SUM(H177:H180))</f>
        <v/>
      </c>
      <c r="I182" s="894"/>
      <c r="J182" s="884"/>
      <c r="K182" s="1908"/>
      <c r="L182" s="894"/>
      <c r="M182" s="884" t="s">
        <v>495</v>
      </c>
      <c r="N182" s="893" t="str">
        <f>IF(N(H182)+N(K182)=0,"",N(H182)+N(K182))</f>
        <v/>
      </c>
      <c r="O182" s="245"/>
      <c r="P182" s="245"/>
      <c r="Q182" s="2424"/>
      <c r="R182" s="2424"/>
      <c r="S182" s="2424"/>
      <c r="T182" s="2424"/>
      <c r="U182" s="2424"/>
      <c r="V182" s="2424"/>
      <c r="W182" s="2424"/>
      <c r="X182" s="2424"/>
      <c r="Y182" s="2424"/>
      <c r="Z182" s="2424"/>
    </row>
    <row r="183" spans="1:30" ht="12.5" customHeight="1">
      <c r="B183" s="330"/>
      <c r="C183" s="235"/>
      <c r="D183" s="270"/>
      <c r="E183" s="235"/>
      <c r="F183" s="235"/>
      <c r="G183" s="332"/>
      <c r="H183" s="895"/>
      <c r="I183" s="894"/>
      <c r="J183" s="900"/>
      <c r="K183" s="1922"/>
      <c r="L183" s="900"/>
      <c r="M183" s="900"/>
      <c r="N183" s="900"/>
      <c r="O183" s="245"/>
      <c r="P183" s="314"/>
    </row>
    <row r="184" spans="1:30" ht="13">
      <c r="B184" s="323" t="s">
        <v>549</v>
      </c>
      <c r="C184" s="322" t="s">
        <v>550</v>
      </c>
      <c r="D184" s="322"/>
      <c r="E184" s="242"/>
      <c r="F184" s="242"/>
      <c r="G184" s="321" t="s">
        <v>495</v>
      </c>
      <c r="H184" s="891" t="str">
        <f>IF(SUM(H71,H73,H137,H139,H173,H182)=0,"",SUM(H71,H73,H137,H139,H173,H182))</f>
        <v/>
      </c>
      <c r="I184" s="894"/>
      <c r="J184" s="884"/>
      <c r="K184" s="1908"/>
      <c r="L184" s="894"/>
      <c r="M184" s="884" t="s">
        <v>495</v>
      </c>
      <c r="N184" s="891" t="str">
        <f>IF(SUM(N71,N73,N137,N139,N173,N182)=0,"",SUM(N71,N73,N137,N139,N173,N182))</f>
        <v/>
      </c>
      <c r="O184" s="245"/>
      <c r="P184" s="314"/>
    </row>
    <row r="185" spans="1:30">
      <c r="B185" s="233"/>
      <c r="C185" s="235"/>
      <c r="D185" s="270" t="s">
        <v>551</v>
      </c>
      <c r="E185" s="235"/>
      <c r="F185" s="235"/>
      <c r="G185" s="235"/>
      <c r="H185" s="275"/>
      <c r="I185" s="320"/>
      <c r="J185" s="274"/>
      <c r="K185" s="1921"/>
      <c r="L185" s="287"/>
      <c r="M185" s="287"/>
      <c r="N185" s="287"/>
      <c r="O185" s="245"/>
      <c r="P185" s="314"/>
      <c r="Q185" s="628"/>
    </row>
    <row r="186" spans="1:30" ht="12.5" customHeight="1">
      <c r="B186" s="338"/>
      <c r="C186" s="337"/>
      <c r="D186" s="316"/>
      <c r="E186" s="316"/>
      <c r="F186" s="316"/>
      <c r="G186" s="316"/>
      <c r="H186" s="333"/>
      <c r="I186" s="335"/>
      <c r="J186" s="334"/>
      <c r="K186" s="1930"/>
      <c r="L186" s="332"/>
      <c r="M186" s="332"/>
      <c r="N186" s="332"/>
      <c r="O186" s="245"/>
      <c r="P186" s="314"/>
      <c r="Q186" s="922"/>
      <c r="R186" s="614"/>
      <c r="S186" s="614"/>
      <c r="T186" s="614"/>
      <c r="U186" s="614"/>
      <c r="V186" s="614"/>
      <c r="W186" s="614"/>
      <c r="X186" s="614"/>
      <c r="Y186" s="614"/>
      <c r="Z186" s="614"/>
      <c r="AA186" s="614"/>
      <c r="AB186" s="614"/>
      <c r="AC186" s="614"/>
      <c r="AD186" s="614"/>
    </row>
    <row r="187" spans="1:30" ht="14">
      <c r="C187" s="336" t="s">
        <v>648</v>
      </c>
      <c r="D187" s="322"/>
      <c r="E187" s="235"/>
      <c r="F187" s="235"/>
      <c r="G187" s="316"/>
      <c r="H187" s="333"/>
      <c r="I187" s="335"/>
      <c r="J187" s="334"/>
      <c r="K187" s="1930"/>
      <c r="L187" s="332"/>
      <c r="M187" s="332"/>
      <c r="N187" s="332"/>
      <c r="O187" s="245"/>
      <c r="P187" s="314"/>
      <c r="Q187" s="922" t="s">
        <v>701</v>
      </c>
      <c r="R187" s="614"/>
      <c r="S187" s="614"/>
      <c r="T187" s="614"/>
      <c r="U187" s="614"/>
      <c r="V187" s="614"/>
      <c r="W187" s="614"/>
      <c r="X187" s="614"/>
      <c r="Y187" s="614"/>
      <c r="Z187" s="614"/>
    </row>
    <row r="188" spans="1:30" ht="13">
      <c r="B188" s="331"/>
      <c r="C188" s="330"/>
      <c r="D188" s="270" t="s">
        <v>552</v>
      </c>
      <c r="E188" s="270"/>
      <c r="F188" s="270"/>
      <c r="G188" s="316"/>
      <c r="H188" s="373"/>
      <c r="I188" s="894"/>
      <c r="J188" s="897"/>
      <c r="K188" s="1916"/>
      <c r="L188" s="894" t="str">
        <f>IF(N(K188)&lt;&gt;ROUNDDOWN(N(K188),0),1,"")</f>
        <v/>
      </c>
      <c r="M188" s="892"/>
      <c r="N188" s="1968">
        <f>IF(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88" s="245"/>
      <c r="P188" s="990" t="str">
        <f>IF(P189="No","**","")</f>
        <v/>
      </c>
      <c r="Q188" s="2439" t="str">
        <f>IF(P189="No","Because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f>
        <v/>
      </c>
      <c r="R188" s="2440"/>
      <c r="S188" s="2440"/>
      <c r="T188" s="2440"/>
      <c r="U188" s="2440"/>
      <c r="V188" s="2440"/>
      <c r="W188" s="2440"/>
      <c r="X188" s="2440"/>
      <c r="Y188" s="2440"/>
      <c r="Z188" s="2440"/>
    </row>
    <row r="189" spans="1:30">
      <c r="B189" s="331"/>
      <c r="C189" s="330"/>
      <c r="D189" s="2379" t="str">
        <f>"Max DF @ "&amp;TEXT(DS_MaxDevFeeAcq_Percent,"#0%")&amp;":"</f>
        <v>Max DF @ 16%:</v>
      </c>
      <c r="E189" s="2379"/>
      <c r="F189" s="1528">
        <f>ROUNDDOWN(N(DS_MaxDevFeeAcq_Percent)*N(Acquisition_total),0)</f>
        <v>0</v>
      </c>
      <c r="G189" s="316"/>
      <c r="H189" s="896"/>
      <c r="I189" s="894"/>
      <c r="J189" s="892"/>
      <c r="K189" s="1922"/>
      <c r="L189" s="900"/>
      <c r="M189" s="900"/>
      <c r="N189" s="900"/>
      <c r="O189" s="245"/>
      <c r="P189" s="936" t="str">
        <f>IF(AND(N(Acquisition_total)&gt;0,N(Developer_fee_acq_total)=0,N(Developer_fee_total)=0),"No",IF(SUM(N(Developer_fee_acq_eligible),N(Developer_fee_acq_ineligible))&gt;ROUNDDOWN(N(Acquisition_total)*IF(N(DS_MaxDevFeeAcq_Percent)=21%,16%,N(DS_MaxDevFeeAcq_Percent)),0),"No","Yes"))</f>
        <v>Yes</v>
      </c>
      <c r="Q189" s="2440"/>
      <c r="R189" s="2440"/>
      <c r="S189" s="2440"/>
      <c r="T189" s="2440"/>
      <c r="U189" s="2440"/>
      <c r="V189" s="2440"/>
      <c r="W189" s="2440"/>
      <c r="X189" s="2440"/>
      <c r="Y189" s="2440"/>
      <c r="Z189" s="2440"/>
    </row>
    <row r="190" spans="1:30" ht="13">
      <c r="B190" s="331"/>
      <c r="C190" s="330"/>
      <c r="D190" s="270" t="s">
        <v>553</v>
      </c>
      <c r="E190" s="270"/>
      <c r="F190" s="270"/>
      <c r="G190" s="316"/>
      <c r="H190" s="804"/>
      <c r="I190" s="894"/>
      <c r="J190" s="897"/>
      <c r="K190" s="1915"/>
      <c r="L190" s="894" t="str">
        <f>IF(N(K190)&lt;&gt;ROUNDDOWN(N(K190),0),1,"")</f>
        <v/>
      </c>
      <c r="M190" s="892"/>
      <c r="N190" s="1966">
        <f>IF(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90" s="245"/>
      <c r="P190" s="990" t="str">
        <f>IF(P191="No","**","")</f>
        <v/>
      </c>
      <c r="Q190" s="2441" t="str">
        <f>IF(P191="No","Because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f>
        <v/>
      </c>
      <c r="R190" s="2442"/>
      <c r="S190" s="2442"/>
      <c r="T190" s="2442"/>
      <c r="U190" s="2442"/>
      <c r="V190" s="2442"/>
      <c r="W190" s="2442"/>
      <c r="X190" s="2442"/>
      <c r="Y190" s="2442"/>
      <c r="Z190" s="2442"/>
    </row>
    <row r="191" spans="1:30">
      <c r="B191" s="331"/>
      <c r="C191" s="330"/>
      <c r="D191" s="2379" t="str">
        <f>"Max DF @ "&amp;TEXT(DS_MaxDevFeeNonAcq_Percent,"#0%")&amp;":"</f>
        <v>Max DF @ 16%:</v>
      </c>
      <c r="E191" s="2379"/>
      <c r="F191" s="1528">
        <f>ROUNDDOWN(N(DS_MaxDevFeeNonAcq_Percent)*(N(Development_Cost_total)-N(Acquisition_total)),0)</f>
        <v>0</v>
      </c>
      <c r="G191" s="316"/>
      <c r="H191" s="896"/>
      <c r="I191" s="894"/>
      <c r="J191" s="892"/>
      <c r="K191" s="1922"/>
      <c r="L191" s="889"/>
      <c r="M191" s="892"/>
      <c r="N191" s="905"/>
      <c r="O191" s="245"/>
      <c r="P191" s="936" t="str">
        <f>IF(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Yes")</f>
        <v>Yes</v>
      </c>
      <c r="Q191" s="2442"/>
      <c r="R191" s="2442"/>
      <c r="S191" s="2442"/>
      <c r="T191" s="2442"/>
      <c r="U191" s="2442"/>
      <c r="V191" s="2442"/>
      <c r="W191" s="2442"/>
      <c r="X191" s="2442"/>
      <c r="Y191" s="2442"/>
      <c r="Z191" s="2442"/>
    </row>
    <row r="192" spans="1:30" ht="13" hidden="1">
      <c r="A192" s="614"/>
      <c r="B192" s="1898"/>
      <c r="C192" s="797"/>
      <c r="D192" s="798" t="s">
        <v>1090</v>
      </c>
      <c r="E192" s="798"/>
      <c r="F192" s="798"/>
      <c r="G192" s="316"/>
      <c r="H192" s="906"/>
      <c r="I192" s="907"/>
      <c r="J192" s="889"/>
      <c r="K192" s="1916"/>
      <c r="L192" s="889"/>
      <c r="M192" s="892"/>
      <c r="N192" s="889"/>
      <c r="O192" s="245"/>
      <c r="P192" s="314"/>
      <c r="Q192" s="1967"/>
      <c r="R192" s="887"/>
      <c r="S192" s="887"/>
      <c r="T192" s="887"/>
      <c r="U192" s="887"/>
      <c r="V192" s="887"/>
      <c r="W192" s="887"/>
      <c r="X192" s="887"/>
      <c r="Y192" s="887"/>
      <c r="Z192" s="887"/>
      <c r="AA192" s="614"/>
      <c r="AB192" s="614"/>
      <c r="AC192" s="614"/>
      <c r="AD192" s="614"/>
    </row>
    <row r="193" spans="1:29" ht="15" hidden="1" customHeight="1">
      <c r="A193" s="614"/>
      <c r="B193" s="1898"/>
      <c r="C193" s="797"/>
      <c r="D193" s="798" t="s">
        <v>1091</v>
      </c>
      <c r="E193" s="798"/>
      <c r="F193" s="798"/>
      <c r="G193" s="316"/>
      <c r="H193" s="937" t="str">
        <f>IF(N(N184)=0,"",IF((DS_MaxDevFeeAcq_Percent+DS_MaxDevFeeODR_Percent)=21%,ROUNDDOWN(5%*N(N184),0),""))</f>
        <v/>
      </c>
      <c r="I193" s="907"/>
      <c r="J193" s="889"/>
      <c r="K193" s="1908"/>
      <c r="L193" s="889"/>
      <c r="M193" s="892"/>
      <c r="N193" s="893" t="str">
        <f>IF(N(H193)+N(K193)=0,"",N(H193)+N(K193))</f>
        <v/>
      </c>
      <c r="O193" s="245"/>
      <c r="P193" s="314"/>
      <c r="Q193" s="2425" t="str">
        <f>IF((Data3!G164+Data3!G166)=21%,"If 21% is selected for Max. Dev. Fee % above, the 5% operating deficit reserve portion will be automatically entered on this row and is considered to be in addition to the amount(s) listed on the other Developer Fee line item(s).","")</f>
        <v/>
      </c>
      <c r="R193" s="2425"/>
      <c r="S193" s="2425"/>
      <c r="T193" s="2425"/>
      <c r="U193" s="2425"/>
      <c r="V193" s="2425"/>
      <c r="W193" s="2425"/>
      <c r="X193" s="2425"/>
      <c r="Y193" s="2425"/>
      <c r="Z193" s="2425"/>
    </row>
    <row r="194" spans="1:29" ht="15" hidden="1" customHeight="1">
      <c r="B194" s="1898"/>
      <c r="C194" s="330"/>
      <c r="D194" s="2379" t="str">
        <f>"Max DF @ "&amp;TEXT(DS_MaxDevFeeODR_Percent,"#0%")&amp;":"</f>
        <v>Max DF @ 0%:</v>
      </c>
      <c r="E194" s="2379"/>
      <c r="F194" s="1528">
        <f>ROUNDDOWN(N(DS_MaxDevFeeODR_Percent)*N(Development_Cost_total),0)</f>
        <v>0</v>
      </c>
      <c r="G194" s="316"/>
      <c r="H194" s="906"/>
      <c r="I194" s="907"/>
      <c r="J194" s="889"/>
      <c r="K194" s="1916"/>
      <c r="L194" s="889"/>
      <c r="M194" s="892"/>
      <c r="N194" s="889"/>
      <c r="O194" s="245"/>
      <c r="P194" s="314"/>
      <c r="Q194" s="2425"/>
      <c r="R194" s="2425"/>
      <c r="S194" s="2425"/>
      <c r="T194" s="2425"/>
      <c r="U194" s="2425"/>
      <c r="V194" s="2425"/>
      <c r="W194" s="2425"/>
      <c r="X194" s="2425"/>
      <c r="Y194" s="2425"/>
      <c r="Z194" s="2425"/>
    </row>
    <row r="195" spans="1:29" ht="13">
      <c r="B195" s="323" t="s">
        <v>554</v>
      </c>
      <c r="C195" s="322" t="s">
        <v>555</v>
      </c>
      <c r="D195" s="322"/>
      <c r="E195" s="270"/>
      <c r="F195" s="270"/>
      <c r="G195" s="321" t="s">
        <v>495</v>
      </c>
      <c r="H195" s="891" t="str">
        <f>IF(SUM(H188:H193)=0,"",SUM(H188:H193))</f>
        <v/>
      </c>
      <c r="I195" s="907"/>
      <c r="J195" s="884"/>
      <c r="K195" s="1908"/>
      <c r="L195" s="894"/>
      <c r="M195" s="884" t="s">
        <v>495</v>
      </c>
      <c r="N195" s="893" t="str">
        <f>IF(SUM(N(Developer_fee_eligible),N(Developer_fee_ineligible))=0,Dev_Fee_Max_Total,IF(SUM(N(Developer_fee_eligible),N(Developer_fee_ineligible))&gt;N(Dev_Fee_Max_Total),N(Dev_Fee_Max_Total),SUM(N(Developer_fee_acq_total),N(Developer_fee_non_acq_total))))</f>
        <v/>
      </c>
      <c r="O195" s="245"/>
      <c r="P195" s="990" t="str">
        <f>IF(P196="No","**","")</f>
        <v/>
      </c>
      <c r="Q195" s="2441" t="str">
        <f>IF(P196="No",IF(AND(N(Development_Cost_total)&gt;0,SUM(N(Developer_fee_eligible),N(Developer_fee_ineligible))=0),"A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f>
        <v/>
      </c>
      <c r="R195" s="2442"/>
      <c r="S195" s="2442"/>
      <c r="T195" s="2442"/>
      <c r="U195" s="2442"/>
      <c r="V195" s="2442"/>
      <c r="W195" s="2442"/>
      <c r="X195" s="2442"/>
      <c r="Y195" s="2442"/>
      <c r="Z195" s="2442"/>
      <c r="AA195" s="660"/>
      <c r="AB195" s="660"/>
    </row>
    <row r="196" spans="1:29">
      <c r="B196" s="329"/>
      <c r="C196" s="329"/>
      <c r="D196" s="2379" t="s">
        <v>1142</v>
      </c>
      <c r="E196" s="2379"/>
      <c r="F196" s="1528" t="str">
        <f>IF(SUM(N(F189)+N(F191)+N(F194))=0,"",SUM(N(F189)+N(F191)+N(F194)))</f>
        <v/>
      </c>
      <c r="H196" s="895"/>
      <c r="I196" s="894"/>
      <c r="J196" s="614"/>
      <c r="K196" s="1922"/>
      <c r="L196" s="614"/>
      <c r="M196" s="614"/>
      <c r="N196" s="654"/>
      <c r="O196" s="245"/>
      <c r="P196" s="936" t="str">
        <f>IF(OR(AND(SUM(N(Developer_fee_eligible),N(Developer_fee_ineligible))=0,N(Development_Cost_total)&gt;0),SUM(N(Developer_fee_eligible),N(Developer_fee_ineligible))&gt;Dev_Fee_Max_Total),"No","Yes")</f>
        <v>Yes</v>
      </c>
      <c r="Q196" s="2442"/>
      <c r="R196" s="2442"/>
      <c r="S196" s="2442"/>
      <c r="T196" s="2442"/>
      <c r="U196" s="2442"/>
      <c r="V196" s="2442"/>
      <c r="W196" s="2442"/>
      <c r="X196" s="2442"/>
      <c r="Y196" s="2442"/>
      <c r="Z196" s="2442"/>
      <c r="AA196" s="660"/>
      <c r="AB196" s="660"/>
    </row>
    <row r="197" spans="1:29" ht="14">
      <c r="B197" s="873" t="s">
        <v>556</v>
      </c>
      <c r="C197" s="874" t="s">
        <v>2103</v>
      </c>
      <c r="D197" s="614"/>
      <c r="E197" s="614"/>
      <c r="F197" s="614"/>
      <c r="G197" s="323" t="s">
        <v>495</v>
      </c>
      <c r="H197" s="1897"/>
      <c r="I197" s="894"/>
      <c r="J197" s="908"/>
      <c r="K197" s="1911"/>
      <c r="L197" s="894"/>
      <c r="M197" s="908" t="s">
        <v>495</v>
      </c>
      <c r="N197" s="999" t="str">
        <f>IF(H197+K197=0,"",IF(N(ODR_eligible)&gt;N(ODR_Max),N(ODR_Max),N(ODR_eligible)))</f>
        <v/>
      </c>
      <c r="O197" s="245"/>
      <c r="P197" s="687" t="str">
        <f>IF($P$198="No","**","")</f>
        <v/>
      </c>
      <c r="Q197" s="2461" t="str">
        <f>IF(P198="No","Because the amount entered for 'Operating Deficit Reserves' is too high by "&amp;TEXT(SUM(N(ODR_eligible),N(ODR_ineligible))-N(ODR_Max),"$#,##0.00")&amp;", the maximum Total Operating Deficit Reserve of "&amp;TEXT(N(ODR_Max),"$#,##0.00")&amp;" has been utilized. This will impact the Total Development Cost.","")</f>
        <v/>
      </c>
      <c r="R197" s="2462"/>
      <c r="S197" s="2462"/>
      <c r="T197" s="2462"/>
      <c r="U197" s="2462"/>
      <c r="V197" s="2462"/>
      <c r="W197" s="2462"/>
      <c r="X197" s="2462"/>
      <c r="Y197" s="2462"/>
      <c r="Z197" s="2462"/>
    </row>
    <row r="198" spans="1:29" ht="13.5" customHeight="1">
      <c r="B198" s="233"/>
      <c r="C198" s="235"/>
      <c r="D198" s="2379" t="s">
        <v>2100</v>
      </c>
      <c r="E198" s="2379"/>
      <c r="F198" s="1528">
        <f>ROUNDDOWN(N(DS_Max_ODR)*N(Development_Cost_total),0)</f>
        <v>0</v>
      </c>
      <c r="G198" s="287"/>
      <c r="H198" s="895"/>
      <c r="I198" s="894"/>
      <c r="J198" s="889"/>
      <c r="K198" s="1922"/>
      <c r="L198" s="889"/>
      <c r="M198" s="889"/>
      <c r="N198" s="889"/>
      <c r="O198" s="245"/>
      <c r="P198" s="1899" t="str">
        <f>IF(SUM(N(ODR_eligible),N(ODR_ineligible))&lt;=N(ODR_Max),"Yes","No")</f>
        <v>Yes</v>
      </c>
      <c r="Q198" s="2463"/>
      <c r="R198" s="2463"/>
      <c r="S198" s="2463"/>
      <c r="T198" s="2463"/>
      <c r="U198" s="2463"/>
      <c r="V198" s="2463"/>
      <c r="W198" s="2463"/>
      <c r="X198" s="2463"/>
      <c r="Y198" s="2463"/>
      <c r="Z198" s="2463"/>
    </row>
    <row r="199" spans="1:29" ht="12.75" customHeight="1">
      <c r="B199" s="323" t="s">
        <v>557</v>
      </c>
      <c r="C199" s="322" t="s">
        <v>558</v>
      </c>
      <c r="D199" s="322"/>
      <c r="E199" s="235"/>
      <c r="F199" s="235"/>
      <c r="G199" s="321" t="s">
        <v>495</v>
      </c>
      <c r="H199" s="1896"/>
      <c r="I199" s="894"/>
      <c r="J199" s="884"/>
      <c r="K199" s="1916"/>
      <c r="L199" s="894" t="str">
        <f>IF(N(K199)&lt;&gt;ROUNDDOWN(N(K199),0),1,"")</f>
        <v/>
      </c>
      <c r="M199" s="884" t="s">
        <v>495</v>
      </c>
      <c r="N199" s="891" t="str">
        <f>IF(N(H199)+N(K199)=0,"",H199+K199)</f>
        <v/>
      </c>
      <c r="O199" s="245"/>
      <c r="P199" s="245"/>
      <c r="Q199" s="2515" t="str">
        <f>"The amount to be recognized for the "&amp;IF(N(N182)&gt;0,"allocation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99" s="2515"/>
      <c r="S199" s="2515"/>
      <c r="T199" s="2515"/>
      <c r="U199" s="2515"/>
      <c r="V199" s="2515"/>
      <c r="W199" s="2515"/>
      <c r="X199" s="2515"/>
      <c r="Y199" s="2515"/>
      <c r="Z199" s="2515"/>
      <c r="AA199" s="991"/>
      <c r="AB199" s="991"/>
      <c r="AC199" s="991"/>
    </row>
    <row r="200" spans="1:29" ht="12.5" customHeight="1">
      <c r="B200" s="233"/>
      <c r="C200" s="235"/>
      <c r="D200" s="325"/>
      <c r="E200" s="235"/>
      <c r="F200" s="235"/>
      <c r="G200" s="287"/>
      <c r="H200" s="896"/>
      <c r="I200" s="894"/>
      <c r="J200" s="889"/>
      <c r="K200" s="1895"/>
      <c r="L200" s="889"/>
      <c r="M200" s="889"/>
      <c r="N200" s="889"/>
      <c r="O200" s="245"/>
      <c r="P200" s="245"/>
      <c r="Q200" s="2516"/>
      <c r="R200" s="2516"/>
      <c r="S200" s="2516"/>
      <c r="T200" s="2516"/>
      <c r="U200" s="2516"/>
      <c r="V200" s="2516"/>
      <c r="W200" s="2516"/>
      <c r="X200" s="2516"/>
      <c r="Y200" s="2516"/>
      <c r="Z200" s="2516"/>
      <c r="AA200" s="991"/>
      <c r="AB200" s="991"/>
      <c r="AC200" s="991"/>
    </row>
    <row r="201" spans="1:29" ht="14">
      <c r="B201" s="323" t="s">
        <v>559</v>
      </c>
      <c r="C201" s="322" t="s">
        <v>2104</v>
      </c>
      <c r="D201" s="322"/>
      <c r="E201" s="235"/>
      <c r="F201" s="235"/>
      <c r="G201" s="321" t="s">
        <v>495</v>
      </c>
      <c r="H201" s="891" t="str">
        <f>IF(SUM(H184,H195,H197,H199)=0,"",SUM(H184,H195,H197,H199))</f>
        <v/>
      </c>
      <c r="I201" s="894"/>
      <c r="J201" s="884"/>
      <c r="K201" s="1894"/>
      <c r="L201" s="894"/>
      <c r="M201" s="884" t="s">
        <v>495</v>
      </c>
      <c r="N201" s="891" t="str">
        <f>IF(SUM(N184,N195,N197,N199)=0,"",SUM(N184,N195,N197,N199))</f>
        <v/>
      </c>
      <c r="O201" s="245"/>
      <c r="P201" s="245"/>
      <c r="Q201" s="237"/>
    </row>
    <row r="202" spans="1:29">
      <c r="B202" s="235"/>
      <c r="C202" s="235"/>
      <c r="D202" s="235" t="s">
        <v>560</v>
      </c>
      <c r="E202" s="235"/>
      <c r="F202" s="235"/>
      <c r="G202" s="235"/>
      <c r="H202" s="275"/>
      <c r="I202" s="320"/>
      <c r="J202" s="274"/>
      <c r="K202" s="1893"/>
      <c r="L202" s="235"/>
      <c r="M202" s="235"/>
      <c r="N202" s="235"/>
      <c r="O202" s="245"/>
      <c r="P202" s="245"/>
      <c r="S202" s="235"/>
    </row>
    <row r="203" spans="1:29" ht="3.75" customHeight="1" thickBot="1">
      <c r="B203" s="235"/>
      <c r="C203" s="235"/>
      <c r="D203" s="235"/>
      <c r="E203" s="235"/>
      <c r="F203" s="235"/>
      <c r="G203" s="235"/>
      <c r="H203" s="235"/>
      <c r="I203" s="235"/>
      <c r="J203" s="235"/>
      <c r="K203" s="235"/>
      <c r="L203" s="235"/>
      <c r="M203" s="235"/>
      <c r="N203" s="235"/>
      <c r="O203" s="245"/>
      <c r="P203" s="245"/>
    </row>
    <row r="204" spans="1:29" ht="3.75" customHeight="1">
      <c r="A204" s="246"/>
      <c r="B204" s="246"/>
      <c r="C204" s="246"/>
      <c r="D204" s="246"/>
      <c r="E204" s="246"/>
      <c r="F204" s="246"/>
      <c r="G204" s="246"/>
      <c r="H204" s="246"/>
      <c r="I204" s="246"/>
      <c r="J204" s="246"/>
      <c r="K204" s="246"/>
      <c r="L204" s="246"/>
      <c r="M204" s="246"/>
      <c r="N204" s="246"/>
      <c r="O204" s="301"/>
      <c r="P204" s="301"/>
    </row>
    <row r="205" spans="1:29" ht="13">
      <c r="B205" s="242" t="str">
        <f>B$2</f>
        <v>RFA 2023-102 DEVELOPMENT COST PRO FORMA</v>
      </c>
      <c r="O205" s="245"/>
      <c r="P205" s="244" t="str">
        <f>IF($P$422=1,"(Page 4 of 8)","(Page 4 of 7)")</f>
        <v>(Page 4 of 7)</v>
      </c>
    </row>
    <row r="206" spans="1:29">
      <c r="O206" s="245"/>
      <c r="P206" s="245"/>
      <c r="Q206" s="239"/>
      <c r="S206" s="235"/>
    </row>
    <row r="207" spans="1:29" ht="13">
      <c r="B207" s="242" t="s">
        <v>561</v>
      </c>
      <c r="C207" s="235"/>
      <c r="D207" s="235"/>
      <c r="E207" s="235"/>
      <c r="F207" s="235"/>
      <c r="G207" s="235"/>
      <c r="H207" s="235"/>
      <c r="I207" s="235"/>
      <c r="J207" s="235"/>
      <c r="K207" s="235"/>
      <c r="L207" s="235"/>
      <c r="M207" s="235"/>
      <c r="N207" s="235"/>
      <c r="O207" s="314"/>
      <c r="P207" s="245"/>
      <c r="Q207" s="239"/>
    </row>
    <row r="208" spans="1:29" ht="12.75" customHeight="1">
      <c r="B208" s="242"/>
      <c r="C208" s="235"/>
      <c r="D208" s="235"/>
      <c r="E208" s="235"/>
      <c r="F208" s="235"/>
      <c r="G208" s="235"/>
      <c r="H208" s="235"/>
      <c r="I208" s="235"/>
      <c r="J208" s="235"/>
      <c r="K208" s="235"/>
      <c r="L208" s="235"/>
      <c r="M208" s="235"/>
      <c r="N208" s="235"/>
      <c r="O208" s="314"/>
      <c r="P208" s="245"/>
      <c r="S208" s="235"/>
    </row>
    <row r="209" spans="2:19" ht="13">
      <c r="B209" s="242" t="s">
        <v>562</v>
      </c>
      <c r="C209" s="235"/>
      <c r="D209" s="235"/>
      <c r="E209" s="235"/>
      <c r="F209" s="235"/>
      <c r="G209" s="235"/>
      <c r="H209" s="235"/>
      <c r="I209" s="235"/>
      <c r="J209" s="235"/>
      <c r="K209" s="235"/>
      <c r="L209" s="235"/>
      <c r="M209" s="235"/>
      <c r="N209" s="235"/>
      <c r="O209" s="314"/>
      <c r="P209" s="245"/>
      <c r="Q209" s="239"/>
      <c r="S209" s="235"/>
    </row>
    <row r="210" spans="2:19" ht="13">
      <c r="B210" s="242" t="s">
        <v>563</v>
      </c>
      <c r="C210" s="235"/>
      <c r="D210" s="235"/>
      <c r="E210" s="235"/>
      <c r="F210" s="235"/>
      <c r="G210" s="235"/>
      <c r="H210" s="235"/>
      <c r="I210" s="235"/>
      <c r="J210" s="235"/>
      <c r="K210" s="235"/>
      <c r="L210" s="235"/>
      <c r="M210" s="235"/>
      <c r="N210" s="235"/>
      <c r="O210" s="314"/>
      <c r="P210" s="245"/>
      <c r="Q210" s="239"/>
    </row>
    <row r="211" spans="2:19">
      <c r="B211" s="235"/>
      <c r="C211" s="235"/>
      <c r="D211" s="235"/>
      <c r="E211" s="235"/>
      <c r="F211" s="235"/>
      <c r="G211" s="235"/>
      <c r="H211" s="235"/>
      <c r="I211" s="235"/>
      <c r="J211" s="235"/>
      <c r="K211" s="235"/>
      <c r="L211" s="235"/>
      <c r="M211" s="235"/>
      <c r="N211" s="235"/>
      <c r="O211" s="314"/>
      <c r="P211" s="245"/>
    </row>
    <row r="212" spans="2:19" ht="13">
      <c r="B212" s="242" t="s">
        <v>482</v>
      </c>
      <c r="C212" s="235"/>
      <c r="D212" s="235"/>
      <c r="E212" s="235"/>
      <c r="F212" s="235"/>
      <c r="G212" s="235"/>
      <c r="H212" s="235"/>
      <c r="I212" s="235"/>
      <c r="J212" s="235"/>
      <c r="K212" s="235"/>
      <c r="L212" s="235"/>
      <c r="M212" s="235"/>
      <c r="N212" s="235"/>
      <c r="O212" s="314"/>
      <c r="P212" s="245"/>
    </row>
    <row r="213" spans="2:19">
      <c r="B213" s="235"/>
      <c r="C213" s="235"/>
      <c r="D213" s="235"/>
      <c r="E213" s="235"/>
      <c r="F213" s="235"/>
      <c r="G213" s="235"/>
      <c r="H213" s="235"/>
      <c r="I213" s="235"/>
      <c r="J213" s="235"/>
      <c r="K213" s="235"/>
      <c r="L213" s="235"/>
      <c r="M213" s="235"/>
      <c r="N213" s="235"/>
      <c r="O213" s="314"/>
      <c r="P213" s="245"/>
    </row>
    <row r="214" spans="2:19" ht="13">
      <c r="C214" s="307" t="s">
        <v>564</v>
      </c>
      <c r="D214" s="242"/>
      <c r="E214" s="242"/>
      <c r="F214" s="242"/>
      <c r="G214" s="235"/>
      <c r="H214" s="235"/>
      <c r="I214" s="235"/>
      <c r="J214" s="235"/>
      <c r="K214" s="235"/>
      <c r="L214" s="235"/>
      <c r="M214" s="235"/>
      <c r="N214" s="235"/>
      <c r="O214" s="314"/>
      <c r="P214" s="245"/>
    </row>
    <row r="215" spans="2:19">
      <c r="C215" s="317" t="s">
        <v>565</v>
      </c>
      <c r="D215" s="235"/>
      <c r="E215" s="235"/>
      <c r="F215" s="235"/>
      <c r="G215" s="235"/>
      <c r="H215" s="235"/>
      <c r="I215" s="235"/>
      <c r="J215" s="235"/>
      <c r="K215" s="235"/>
      <c r="L215" s="235"/>
      <c r="M215" s="235"/>
      <c r="N215" s="235"/>
      <c r="O215" s="314"/>
      <c r="P215" s="245"/>
    </row>
    <row r="216" spans="2:19" ht="13">
      <c r="C216" s="293"/>
      <c r="D216" s="235"/>
      <c r="E216" s="235"/>
      <c r="F216" s="235"/>
      <c r="G216" s="235"/>
      <c r="H216" s="235"/>
      <c r="I216" s="235"/>
      <c r="J216" s="235"/>
      <c r="K216" s="235"/>
      <c r="L216" s="235"/>
      <c r="M216" s="235"/>
      <c r="N216" s="235"/>
      <c r="O216" s="314"/>
      <c r="P216" s="245"/>
    </row>
    <row r="217" spans="2:19" ht="13">
      <c r="D217" s="235" t="s">
        <v>566</v>
      </c>
      <c r="E217" s="235"/>
      <c r="F217" s="2410"/>
      <c r="G217" s="2426"/>
      <c r="H217" s="2426"/>
      <c r="I217" s="2426"/>
      <c r="J217" s="2426"/>
      <c r="K217" s="2426"/>
      <c r="L217" s="2426"/>
      <c r="M217" s="2426"/>
      <c r="N217" s="2426"/>
      <c r="O217" s="2427"/>
      <c r="P217" s="247" t="str">
        <f>IF(AND(F217="",N53&lt;&gt;""),"**","")</f>
        <v/>
      </c>
    </row>
    <row r="218" spans="2:19">
      <c r="D218" s="235"/>
      <c r="E218" s="235"/>
      <c r="F218" s="2428"/>
      <c r="G218" s="2429"/>
      <c r="H218" s="2429"/>
      <c r="I218" s="2429"/>
      <c r="J218" s="2429"/>
      <c r="K218" s="2429"/>
      <c r="L218" s="2429"/>
      <c r="M218" s="2429"/>
      <c r="N218" s="2429"/>
      <c r="O218" s="2430"/>
      <c r="P218" s="749"/>
    </row>
    <row r="219" spans="2:19">
      <c r="D219" s="235"/>
      <c r="E219" s="235"/>
      <c r="F219" s="2431"/>
      <c r="G219" s="2432"/>
      <c r="H219" s="2432"/>
      <c r="I219" s="2432"/>
      <c r="J219" s="2432"/>
      <c r="K219" s="2432"/>
      <c r="L219" s="2432"/>
      <c r="M219" s="2432"/>
      <c r="N219" s="2432"/>
      <c r="O219" s="2433"/>
      <c r="P219" s="245"/>
    </row>
    <row r="220" spans="2:19">
      <c r="D220" s="235"/>
      <c r="E220" s="235"/>
      <c r="F220" s="235"/>
      <c r="G220" s="235"/>
      <c r="H220" s="235"/>
      <c r="I220" s="235"/>
      <c r="J220" s="235"/>
      <c r="K220" s="235"/>
      <c r="L220" s="235"/>
      <c r="M220" s="235"/>
      <c r="N220" s="235"/>
      <c r="O220" s="314"/>
      <c r="P220" s="245"/>
    </row>
    <row r="221" spans="2:19" ht="13">
      <c r="D221" s="235" t="s">
        <v>567</v>
      </c>
      <c r="E221" s="235"/>
      <c r="F221" s="2410"/>
      <c r="G221" s="2426"/>
      <c r="H221" s="2426"/>
      <c r="I221" s="2426"/>
      <c r="J221" s="2426"/>
      <c r="K221" s="2426"/>
      <c r="L221" s="2426"/>
      <c r="M221" s="2426"/>
      <c r="N221" s="2426"/>
      <c r="O221" s="2427"/>
      <c r="P221" s="247" t="str">
        <f>IF(AND(F221="",N63&lt;&gt;""),"**","")</f>
        <v/>
      </c>
    </row>
    <row r="222" spans="2:19">
      <c r="C222" s="235"/>
      <c r="D222" s="235"/>
      <c r="E222" s="235"/>
      <c r="F222" s="2428"/>
      <c r="G222" s="2429"/>
      <c r="H222" s="2429"/>
      <c r="I222" s="2429"/>
      <c r="J222" s="2429"/>
      <c r="K222" s="2429"/>
      <c r="L222" s="2429"/>
      <c r="M222" s="2429"/>
      <c r="N222" s="2429"/>
      <c r="O222" s="2430"/>
      <c r="P222" s="245"/>
    </row>
    <row r="223" spans="2:19">
      <c r="C223" s="235"/>
      <c r="D223" s="235"/>
      <c r="E223" s="235"/>
      <c r="F223" s="2431"/>
      <c r="G223" s="2432"/>
      <c r="H223" s="2432"/>
      <c r="I223" s="2432"/>
      <c r="J223" s="2432"/>
      <c r="K223" s="2432"/>
      <c r="L223" s="2432"/>
      <c r="M223" s="2432"/>
      <c r="N223" s="2432"/>
      <c r="O223" s="2433"/>
      <c r="P223" s="245"/>
    </row>
    <row r="224" spans="2:19">
      <c r="C224" s="235"/>
      <c r="D224" s="235"/>
      <c r="E224" s="235"/>
      <c r="F224" s="235"/>
      <c r="G224" s="235"/>
      <c r="H224" s="235"/>
      <c r="I224" s="235"/>
      <c r="J224" s="235"/>
      <c r="K224" s="235"/>
      <c r="L224" s="235"/>
      <c r="M224" s="235"/>
      <c r="N224" s="235"/>
      <c r="O224" s="314"/>
      <c r="P224" s="245"/>
    </row>
    <row r="225" spans="3:22" ht="13">
      <c r="C225" s="307" t="s">
        <v>501</v>
      </c>
      <c r="D225" s="242"/>
      <c r="E225" s="242"/>
      <c r="F225" s="242"/>
      <c r="G225" s="235"/>
      <c r="H225" s="235"/>
      <c r="I225" s="235"/>
      <c r="J225" s="235"/>
      <c r="K225" s="235"/>
      <c r="L225" s="235"/>
      <c r="M225" s="235"/>
      <c r="N225" s="235"/>
      <c r="O225" s="314"/>
      <c r="P225" s="245"/>
      <c r="V225" s="239"/>
    </row>
    <row r="226" spans="3:22">
      <c r="C226" s="317" t="s">
        <v>568</v>
      </c>
      <c r="D226" s="235"/>
      <c r="E226" s="235"/>
      <c r="F226" s="235"/>
      <c r="G226" s="235"/>
      <c r="H226" s="235"/>
      <c r="I226" s="235"/>
      <c r="J226" s="235"/>
      <c r="K226" s="235"/>
      <c r="L226" s="235"/>
      <c r="M226" s="235"/>
      <c r="N226" s="235"/>
      <c r="O226" s="314"/>
      <c r="P226" s="245"/>
    </row>
    <row r="227" spans="3:22" ht="13">
      <c r="C227" s="319"/>
      <c r="D227" s="235"/>
      <c r="E227" s="235"/>
      <c r="F227" s="235"/>
      <c r="G227" s="235"/>
      <c r="H227" s="235"/>
      <c r="I227" s="235"/>
      <c r="J227" s="235"/>
      <c r="K227" s="235"/>
      <c r="L227" s="235"/>
      <c r="M227" s="235"/>
      <c r="N227" s="235"/>
      <c r="O227" s="314"/>
      <c r="P227" s="245"/>
    </row>
    <row r="228" spans="3:22" ht="12.65" customHeight="1">
      <c r="D228" s="235" t="s">
        <v>569</v>
      </c>
      <c r="E228" s="235"/>
      <c r="F228" s="2410"/>
      <c r="G228" s="2411"/>
      <c r="H228" s="2411"/>
      <c r="I228" s="2411"/>
      <c r="J228" s="2411"/>
      <c r="K228" s="2411"/>
      <c r="L228" s="2411"/>
      <c r="M228" s="2411"/>
      <c r="N228" s="2411"/>
      <c r="O228" s="2412"/>
      <c r="P228" s="247" t="str">
        <f>IF(AND(F228="",N110&lt;&gt;""),"**","")</f>
        <v/>
      </c>
    </row>
    <row r="229" spans="3:22">
      <c r="D229" s="235"/>
      <c r="E229" s="235"/>
      <c r="F229" s="2413"/>
      <c r="G229" s="2414"/>
      <c r="H229" s="2414"/>
      <c r="I229" s="2414"/>
      <c r="J229" s="2414"/>
      <c r="K229" s="2414"/>
      <c r="L229" s="2414"/>
      <c r="M229" s="2414"/>
      <c r="N229" s="2414"/>
      <c r="O229" s="2415"/>
      <c r="P229" s="245"/>
    </row>
    <row r="230" spans="3:22">
      <c r="D230" s="235"/>
      <c r="E230" s="235"/>
      <c r="F230" s="2413"/>
      <c r="G230" s="2414"/>
      <c r="H230" s="2414"/>
      <c r="I230" s="2414"/>
      <c r="J230" s="2414"/>
      <c r="K230" s="2414"/>
      <c r="L230" s="2414"/>
      <c r="M230" s="2414"/>
      <c r="N230" s="2414"/>
      <c r="O230" s="2415"/>
      <c r="P230" s="245"/>
    </row>
    <row r="231" spans="3:22">
      <c r="D231" s="235"/>
      <c r="E231" s="235"/>
      <c r="F231" s="2413"/>
      <c r="G231" s="2414"/>
      <c r="H231" s="2414"/>
      <c r="I231" s="2414"/>
      <c r="J231" s="2414"/>
      <c r="K231" s="2414"/>
      <c r="L231" s="2414"/>
      <c r="M231" s="2414"/>
      <c r="N231" s="2414"/>
      <c r="O231" s="2415"/>
      <c r="P231" s="245"/>
    </row>
    <row r="232" spans="3:22">
      <c r="D232" s="235"/>
      <c r="E232" s="235"/>
      <c r="F232" s="2416"/>
      <c r="G232" s="2417"/>
      <c r="H232" s="2417"/>
      <c r="I232" s="2417"/>
      <c r="J232" s="2417"/>
      <c r="K232" s="2417"/>
      <c r="L232" s="2417"/>
      <c r="M232" s="2417"/>
      <c r="N232" s="2417"/>
      <c r="O232" s="2418"/>
      <c r="P232" s="245"/>
    </row>
    <row r="233" spans="3:22">
      <c r="D233" s="235"/>
      <c r="E233" s="235"/>
      <c r="F233" s="235"/>
      <c r="G233" s="235"/>
      <c r="H233" s="235"/>
      <c r="I233" s="235"/>
      <c r="J233" s="235"/>
      <c r="K233" s="235"/>
      <c r="L233" s="235"/>
      <c r="M233" s="235"/>
      <c r="N233" s="235"/>
      <c r="O233" s="314"/>
      <c r="P233" s="245"/>
    </row>
    <row r="234" spans="3:22" ht="12.65" customHeight="1">
      <c r="D234" s="235" t="s">
        <v>567</v>
      </c>
      <c r="E234" s="235"/>
      <c r="F234" s="2410"/>
      <c r="G234" s="2411"/>
      <c r="H234" s="2411"/>
      <c r="I234" s="2411"/>
      <c r="J234" s="2411"/>
      <c r="K234" s="2411"/>
      <c r="L234" s="2411"/>
      <c r="M234" s="2411"/>
      <c r="N234" s="2411"/>
      <c r="O234" s="2412"/>
      <c r="P234" s="247" t="str">
        <f>IF(AND(F234="",N134&lt;&gt;""),"**","")</f>
        <v/>
      </c>
    </row>
    <row r="235" spans="3:22">
      <c r="C235" s="235"/>
      <c r="D235" s="235"/>
      <c r="E235" s="235"/>
      <c r="F235" s="2413"/>
      <c r="G235" s="2414"/>
      <c r="H235" s="2414"/>
      <c r="I235" s="2414"/>
      <c r="J235" s="2414"/>
      <c r="K235" s="2414"/>
      <c r="L235" s="2414"/>
      <c r="M235" s="2414"/>
      <c r="N235" s="2414"/>
      <c r="O235" s="2415"/>
      <c r="P235" s="245"/>
    </row>
    <row r="236" spans="3:22">
      <c r="C236" s="235"/>
      <c r="D236" s="235"/>
      <c r="E236" s="235"/>
      <c r="F236" s="2413"/>
      <c r="G236" s="2414"/>
      <c r="H236" s="2414"/>
      <c r="I236" s="2414"/>
      <c r="J236" s="2414"/>
      <c r="K236" s="2414"/>
      <c r="L236" s="2414"/>
      <c r="M236" s="2414"/>
      <c r="N236" s="2414"/>
      <c r="O236" s="2415"/>
      <c r="P236" s="245"/>
    </row>
    <row r="237" spans="3:22">
      <c r="C237" s="235"/>
      <c r="D237" s="235"/>
      <c r="E237" s="235"/>
      <c r="F237" s="2413"/>
      <c r="G237" s="2414"/>
      <c r="H237" s="2414"/>
      <c r="I237" s="2414"/>
      <c r="J237" s="2414"/>
      <c r="K237" s="2414"/>
      <c r="L237" s="2414"/>
      <c r="M237" s="2414"/>
      <c r="N237" s="2414"/>
      <c r="O237" s="2415"/>
      <c r="P237" s="245"/>
    </row>
    <row r="238" spans="3:22">
      <c r="C238" s="235"/>
      <c r="D238" s="235"/>
      <c r="E238" s="235"/>
      <c r="F238" s="2416"/>
      <c r="G238" s="2417"/>
      <c r="H238" s="2417"/>
      <c r="I238" s="2417"/>
      <c r="J238" s="2417"/>
      <c r="K238" s="2417"/>
      <c r="L238" s="2417"/>
      <c r="M238" s="2417"/>
      <c r="N238" s="2417"/>
      <c r="O238" s="2418"/>
      <c r="P238" s="245"/>
    </row>
    <row r="239" spans="3:22">
      <c r="O239" s="245"/>
      <c r="P239" s="245"/>
    </row>
    <row r="240" spans="3:22" ht="13">
      <c r="C240" s="307" t="s">
        <v>570</v>
      </c>
      <c r="D240" s="242"/>
      <c r="E240" s="242"/>
      <c r="F240" s="242"/>
      <c r="G240" s="235"/>
      <c r="H240" s="235"/>
      <c r="I240" s="235"/>
      <c r="J240" s="235"/>
      <c r="K240" s="235"/>
      <c r="L240" s="235"/>
      <c r="M240" s="235"/>
      <c r="N240" s="235"/>
      <c r="O240" s="314"/>
      <c r="P240" s="245"/>
    </row>
    <row r="241" spans="1:26">
      <c r="C241" s="317" t="s">
        <v>571</v>
      </c>
      <c r="D241" s="235"/>
      <c r="E241" s="235"/>
      <c r="F241" s="235"/>
      <c r="G241" s="316"/>
      <c r="H241" s="316"/>
      <c r="I241" s="316"/>
      <c r="J241" s="316"/>
      <c r="K241" s="316"/>
      <c r="L241" s="316"/>
      <c r="M241" s="316"/>
      <c r="N241" s="316"/>
      <c r="O241" s="315"/>
      <c r="P241" s="245"/>
    </row>
    <row r="242" spans="1:26" ht="13">
      <c r="C242" s="293"/>
      <c r="D242" s="235"/>
      <c r="E242" s="235"/>
      <c r="F242" s="235"/>
      <c r="G242" s="316"/>
      <c r="H242" s="316"/>
      <c r="I242" s="316"/>
      <c r="J242" s="316"/>
      <c r="K242" s="316"/>
      <c r="L242" s="316"/>
      <c r="M242" s="316"/>
      <c r="N242" s="316"/>
      <c r="O242" s="315"/>
      <c r="P242" s="245"/>
    </row>
    <row r="243" spans="1:26" ht="13">
      <c r="D243" s="235" t="s">
        <v>572</v>
      </c>
      <c r="E243" s="235"/>
      <c r="F243" s="2410"/>
      <c r="G243" s="2411"/>
      <c r="H243" s="2411"/>
      <c r="I243" s="2411"/>
      <c r="J243" s="2411"/>
      <c r="K243" s="2411"/>
      <c r="L243" s="2411"/>
      <c r="M243" s="2411"/>
      <c r="N243" s="2411"/>
      <c r="O243" s="2412"/>
      <c r="P243" s="247" t="str">
        <f>IF(AND(F243="",N171&lt;&gt;""),"**","")</f>
        <v/>
      </c>
    </row>
    <row r="244" spans="1:26">
      <c r="D244" s="235"/>
      <c r="E244" s="235"/>
      <c r="F244" s="2413"/>
      <c r="G244" s="2414"/>
      <c r="H244" s="2414"/>
      <c r="I244" s="2414"/>
      <c r="J244" s="2414"/>
      <c r="K244" s="2414"/>
      <c r="L244" s="2414"/>
      <c r="M244" s="2414"/>
      <c r="N244" s="2414"/>
      <c r="O244" s="2415"/>
      <c r="P244" s="245"/>
    </row>
    <row r="245" spans="1:26">
      <c r="D245" s="235"/>
      <c r="E245" s="235"/>
      <c r="F245" s="2416"/>
      <c r="G245" s="2417"/>
      <c r="H245" s="2417"/>
      <c r="I245" s="2417"/>
      <c r="J245" s="2417"/>
      <c r="K245" s="2417"/>
      <c r="L245" s="2417"/>
      <c r="M245" s="2417"/>
      <c r="N245" s="2417"/>
      <c r="O245" s="2418"/>
      <c r="P245" s="245"/>
    </row>
    <row r="246" spans="1:26">
      <c r="C246" s="316"/>
      <c r="D246" s="316"/>
      <c r="E246" s="316"/>
      <c r="F246" s="318"/>
      <c r="G246" s="316"/>
      <c r="H246" s="316"/>
      <c r="I246" s="316"/>
      <c r="J246" s="316"/>
      <c r="K246" s="316"/>
      <c r="L246" s="316"/>
      <c r="M246" s="316"/>
      <c r="N246" s="316"/>
      <c r="O246" s="315"/>
      <c r="P246" s="245"/>
    </row>
    <row r="247" spans="1:26" ht="13">
      <c r="C247" s="307" t="s">
        <v>573</v>
      </c>
      <c r="D247" s="242"/>
      <c r="E247" s="242"/>
      <c r="F247" s="242"/>
      <c r="G247" s="242"/>
      <c r="H247" s="242"/>
      <c r="I247" s="235"/>
      <c r="J247" s="235"/>
      <c r="K247" s="235"/>
      <c r="L247" s="235"/>
      <c r="M247" s="235"/>
      <c r="N247" s="235"/>
      <c r="O247" s="314"/>
      <c r="P247" s="245"/>
    </row>
    <row r="248" spans="1:26">
      <c r="C248" s="317" t="s">
        <v>574</v>
      </c>
      <c r="D248" s="235"/>
      <c r="E248" s="235"/>
      <c r="F248" s="235"/>
      <c r="G248" s="235"/>
      <c r="H248" s="235"/>
      <c r="I248" s="235"/>
      <c r="J248" s="235"/>
      <c r="K248" s="235"/>
      <c r="L248" s="235"/>
      <c r="M248" s="235"/>
      <c r="N248" s="235"/>
      <c r="O248" s="314"/>
      <c r="P248" s="245"/>
    </row>
    <row r="249" spans="1:26">
      <c r="C249" s="317"/>
      <c r="D249" s="235"/>
      <c r="E249" s="235"/>
      <c r="F249" s="235"/>
      <c r="G249" s="235"/>
      <c r="H249" s="235"/>
      <c r="I249" s="235"/>
      <c r="J249" s="235"/>
      <c r="K249" s="235"/>
      <c r="L249" s="235"/>
      <c r="M249" s="235"/>
      <c r="N249" s="235"/>
      <c r="O249" s="314"/>
      <c r="P249" s="245"/>
    </row>
    <row r="250" spans="1:26" ht="13">
      <c r="D250" s="235" t="s">
        <v>567</v>
      </c>
      <c r="E250" s="235"/>
      <c r="F250" s="2410"/>
      <c r="G250" s="2411"/>
      <c r="H250" s="2411"/>
      <c r="I250" s="2411"/>
      <c r="J250" s="2411"/>
      <c r="K250" s="2411"/>
      <c r="L250" s="2411"/>
      <c r="M250" s="2411"/>
      <c r="N250" s="2411"/>
      <c r="O250" s="2412"/>
      <c r="P250" s="247" t="str">
        <f>IF(AND(F250="",N179&lt;&gt;""),"**","")</f>
        <v/>
      </c>
    </row>
    <row r="251" spans="1:26">
      <c r="B251" s="235"/>
      <c r="C251" s="235"/>
      <c r="D251" s="235"/>
      <c r="E251" s="235"/>
      <c r="F251" s="2413"/>
      <c r="G251" s="2414"/>
      <c r="H251" s="2414"/>
      <c r="I251" s="2414"/>
      <c r="J251" s="2414"/>
      <c r="K251" s="2414"/>
      <c r="L251" s="2414"/>
      <c r="M251" s="2414"/>
      <c r="N251" s="2414"/>
      <c r="O251" s="2415"/>
      <c r="P251" s="245"/>
      <c r="Q251" s="1688"/>
      <c r="R251" s="1688"/>
      <c r="S251" s="1688"/>
      <c r="T251" s="1688"/>
      <c r="U251" s="1688"/>
      <c r="V251" s="1688"/>
      <c r="W251" s="1688"/>
      <c r="X251" s="1688"/>
      <c r="Y251" s="1688"/>
      <c r="Z251" s="1688"/>
    </row>
    <row r="252" spans="1:26">
      <c r="B252" s="235"/>
      <c r="C252" s="235"/>
      <c r="D252" s="235"/>
      <c r="E252" s="235"/>
      <c r="F252" s="2416"/>
      <c r="G252" s="2417"/>
      <c r="H252" s="2417"/>
      <c r="I252" s="2417"/>
      <c r="J252" s="2417"/>
      <c r="K252" s="2417"/>
      <c r="L252" s="2417"/>
      <c r="M252" s="2417"/>
      <c r="N252" s="2417"/>
      <c r="O252" s="2418"/>
      <c r="P252" s="245"/>
      <c r="Q252" s="1688"/>
      <c r="R252" s="1688"/>
      <c r="S252" s="1688"/>
      <c r="T252" s="1688"/>
      <c r="U252" s="1688"/>
      <c r="V252" s="1688"/>
      <c r="W252" s="1688"/>
      <c r="X252" s="1688"/>
      <c r="Y252" s="1688"/>
      <c r="Z252" s="1688"/>
    </row>
    <row r="253" spans="1:26">
      <c r="B253" s="316"/>
      <c r="C253" s="316"/>
      <c r="D253" s="316"/>
      <c r="E253" s="316"/>
      <c r="F253" s="316"/>
      <c r="G253" s="316"/>
      <c r="H253" s="316"/>
      <c r="I253" s="316"/>
      <c r="J253" s="316"/>
      <c r="K253" s="316"/>
      <c r="L253" s="316"/>
      <c r="M253" s="316"/>
      <c r="N253" s="316"/>
      <c r="O253" s="315"/>
      <c r="P253" s="245"/>
      <c r="Q253" s="1688"/>
      <c r="R253" s="1688"/>
      <c r="S253" s="1688"/>
      <c r="T253" s="1688"/>
      <c r="U253" s="1688"/>
      <c r="V253" s="1688"/>
      <c r="W253" s="1688"/>
      <c r="X253" s="1688"/>
      <c r="Y253" s="1688"/>
      <c r="Z253" s="1688"/>
    </row>
    <row r="254" spans="1:26" ht="3.75" customHeight="1" thickBot="1">
      <c r="O254" s="245"/>
      <c r="P254" s="245"/>
      <c r="Q254" s="1688"/>
      <c r="R254" s="1688"/>
      <c r="S254" s="1688"/>
      <c r="T254" s="1688"/>
      <c r="U254" s="1688"/>
      <c r="V254" s="1688"/>
      <c r="W254" s="1688"/>
      <c r="X254" s="1688"/>
      <c r="Y254" s="1688"/>
      <c r="Z254" s="1688"/>
    </row>
    <row r="255" spans="1:26" ht="3.75" customHeight="1">
      <c r="A255" s="246"/>
      <c r="B255" s="246"/>
      <c r="C255" s="246"/>
      <c r="D255" s="246"/>
      <c r="E255" s="246"/>
      <c r="F255" s="246"/>
      <c r="G255" s="246"/>
      <c r="H255" s="246"/>
      <c r="I255" s="246"/>
      <c r="J255" s="246"/>
      <c r="K255" s="246"/>
      <c r="L255" s="246"/>
      <c r="M255" s="246"/>
      <c r="N255" s="246"/>
      <c r="O255" s="301"/>
      <c r="P255" s="301"/>
      <c r="Q255" s="2449" t="s">
        <v>700</v>
      </c>
      <c r="R255" s="2450"/>
      <c r="S255" s="2450"/>
      <c r="T255" s="2450"/>
      <c r="U255" s="2450"/>
      <c r="V255" s="2450"/>
      <c r="W255" s="2450"/>
      <c r="X255" s="2450"/>
      <c r="Y255" s="2450"/>
      <c r="Z255" s="2451"/>
    </row>
    <row r="256" spans="1:26" ht="13.5" customHeight="1">
      <c r="A256" s="614"/>
      <c r="B256" s="888" t="str">
        <f>B$2</f>
        <v>RFA 2023-102 DEVELOPMENT COST PRO FORMA</v>
      </c>
      <c r="C256" s="614"/>
      <c r="D256" s="614"/>
      <c r="E256" s="614"/>
      <c r="F256" s="614"/>
      <c r="G256" s="614"/>
      <c r="H256" s="614"/>
      <c r="I256" s="614"/>
      <c r="J256" s="614"/>
      <c r="K256" s="614"/>
      <c r="L256" s="614"/>
      <c r="M256" s="614"/>
      <c r="N256" s="614"/>
      <c r="O256" s="711"/>
      <c r="P256" s="244" t="str">
        <f>IF($P$422=1,"(Page 5 of 8)","(Page 5 of 7)")</f>
        <v>(Page 5 of 7)</v>
      </c>
      <c r="Q256" s="2452"/>
      <c r="R256" s="2453"/>
      <c r="S256" s="2453"/>
      <c r="T256" s="2453"/>
      <c r="U256" s="2453"/>
      <c r="V256" s="2453"/>
      <c r="W256" s="2453"/>
      <c r="X256" s="2453"/>
      <c r="Y256" s="2453"/>
      <c r="Z256" s="2454"/>
    </row>
    <row r="257" spans="2:35">
      <c r="O257" s="245"/>
      <c r="P257" s="245"/>
      <c r="Q257" s="2452"/>
      <c r="R257" s="2453"/>
      <c r="S257" s="2453"/>
      <c r="T257" s="2453"/>
      <c r="U257" s="2453"/>
      <c r="V257" s="2453"/>
      <c r="W257" s="2453"/>
      <c r="X257" s="2453"/>
      <c r="Y257" s="2453"/>
      <c r="Z257" s="2454"/>
    </row>
    <row r="258" spans="2:35" ht="13" thickBot="1">
      <c r="O258" s="245"/>
      <c r="P258" s="245"/>
      <c r="Q258" s="2455"/>
      <c r="R258" s="2456"/>
      <c r="S258" s="2456"/>
      <c r="T258" s="2456"/>
      <c r="U258" s="2456"/>
      <c r="V258" s="2456"/>
      <c r="W258" s="2456"/>
      <c r="X258" s="2456"/>
      <c r="Y258" s="2456"/>
      <c r="Z258" s="2457"/>
    </row>
    <row r="259" spans="2:35" ht="13">
      <c r="B259" s="242" t="s">
        <v>575</v>
      </c>
      <c r="C259" s="235"/>
      <c r="D259" s="235"/>
      <c r="E259" s="235"/>
      <c r="F259" s="235"/>
      <c r="G259" s="235"/>
      <c r="H259" s="235"/>
      <c r="I259" s="235"/>
      <c r="J259" s="235"/>
      <c r="K259" s="298"/>
      <c r="L259" s="299"/>
      <c r="M259" s="299"/>
      <c r="O259" s="245"/>
      <c r="P259" s="245"/>
      <c r="Q259" s="1688"/>
      <c r="R259" s="1688"/>
      <c r="S259" s="1688"/>
      <c r="T259" s="1688"/>
      <c r="U259" s="1688"/>
      <c r="V259" s="1688"/>
      <c r="W259" s="1688"/>
      <c r="X259" s="1688"/>
      <c r="Y259" s="1688"/>
      <c r="Z259" s="1688"/>
    </row>
    <row r="260" spans="2:35" ht="15.75" customHeight="1">
      <c r="B260" s="242"/>
      <c r="C260" s="235"/>
      <c r="D260" s="235"/>
      <c r="E260" s="235"/>
      <c r="F260" s="235"/>
      <c r="G260" s="235"/>
      <c r="H260" s="298" t="s">
        <v>576</v>
      </c>
      <c r="I260" s="298"/>
      <c r="J260" s="235"/>
      <c r="K260" s="2464" t="s">
        <v>577</v>
      </c>
      <c r="L260" s="2464"/>
      <c r="M260" s="2464"/>
      <c r="N260" s="2464"/>
      <c r="O260" s="245"/>
      <c r="P260" s="312"/>
      <c r="Q260" s="1689"/>
      <c r="R260" s="1688"/>
      <c r="S260" s="1688"/>
      <c r="T260" s="1688"/>
      <c r="U260" s="1688"/>
      <c r="V260" s="1688"/>
      <c r="W260" s="1689"/>
      <c r="X260" s="1689"/>
      <c r="Y260" s="1689"/>
      <c r="Z260" s="1689"/>
    </row>
    <row r="261" spans="2:35" ht="18" customHeight="1">
      <c r="B261" s="235"/>
      <c r="C261" s="235"/>
      <c r="D261" s="235"/>
      <c r="E261" s="235"/>
      <c r="F261" s="235"/>
      <c r="G261" s="235"/>
      <c r="H261" s="235"/>
      <c r="I261" s="235"/>
      <c r="J261" s="235"/>
      <c r="K261" s="235"/>
      <c r="L261" s="235"/>
      <c r="M261" s="235"/>
      <c r="O261" s="239"/>
      <c r="P261" s="239"/>
      <c r="Q261" s="1689"/>
      <c r="R261" s="1688"/>
      <c r="S261" s="1688"/>
      <c r="T261" s="1688"/>
      <c r="U261" s="1688"/>
      <c r="V261" s="1688"/>
      <c r="W261" s="1688"/>
      <c r="X261" s="1688"/>
      <c r="Y261" s="1688"/>
      <c r="Z261" s="1688"/>
    </row>
    <row r="262" spans="2:35" ht="12.75" customHeight="1">
      <c r="B262" s="272" t="s">
        <v>578</v>
      </c>
      <c r="C262" s="242" t="s">
        <v>579</v>
      </c>
      <c r="D262" s="235"/>
      <c r="E262" s="235"/>
      <c r="F262" s="235"/>
      <c r="G262" s="272" t="s">
        <v>495</v>
      </c>
      <c r="H262" s="893" t="str">
        <f>IF(N201="","",N201)</f>
        <v/>
      </c>
      <c r="I262" s="235"/>
      <c r="J262" s="270"/>
      <c r="O262" s="239"/>
      <c r="P262" s="239"/>
      <c r="Q262" s="1689"/>
      <c r="R262" s="1688"/>
      <c r="S262" s="1688"/>
      <c r="T262" s="1688"/>
      <c r="U262" s="1688"/>
      <c r="V262" s="1688"/>
      <c r="W262" s="1688"/>
      <c r="X262" s="1688"/>
      <c r="Y262" s="1688"/>
      <c r="Z262" s="1688"/>
      <c r="AA262" s="236"/>
      <c r="AB262" s="236"/>
    </row>
    <row r="263" spans="2:35">
      <c r="B263" s="235"/>
      <c r="C263" s="235"/>
      <c r="D263" s="235"/>
      <c r="E263" s="235"/>
      <c r="F263" s="235"/>
      <c r="G263" s="235"/>
      <c r="H263" s="305"/>
      <c r="I263" s="235"/>
      <c r="J263" s="270"/>
      <c r="K263" s="270"/>
      <c r="L263" s="270"/>
      <c r="M263" s="270"/>
      <c r="O263" s="239"/>
      <c r="P263" s="239"/>
      <c r="Q263" s="1689"/>
      <c r="R263" s="1688"/>
      <c r="S263" s="1688"/>
      <c r="T263" s="1688"/>
      <c r="U263" s="1688"/>
      <c r="V263" s="1688"/>
      <c r="W263" s="1688"/>
      <c r="X263" s="1688"/>
      <c r="Y263" s="1688"/>
      <c r="Z263" s="1688"/>
      <c r="AD263" s="239"/>
      <c r="AE263" s="239"/>
      <c r="AF263" s="239"/>
      <c r="AG263" s="239"/>
      <c r="AH263" s="239"/>
      <c r="AI263" s="239"/>
    </row>
    <row r="264" spans="2:35" ht="13">
      <c r="B264" s="272" t="s">
        <v>547</v>
      </c>
      <c r="C264" s="242" t="s">
        <v>580</v>
      </c>
      <c r="D264" s="235"/>
      <c r="E264" s="235"/>
      <c r="F264" s="235"/>
      <c r="G264" s="235"/>
      <c r="H264" s="305"/>
      <c r="I264" s="235"/>
      <c r="J264" s="270"/>
      <c r="K264" s="270"/>
      <c r="L264" s="270"/>
      <c r="M264" s="270"/>
      <c r="O264" s="239"/>
      <c r="P264" s="239"/>
      <c r="Q264" s="311" t="s">
        <v>699</v>
      </c>
      <c r="R264" s="1688"/>
      <c r="S264" s="1688"/>
      <c r="T264" s="1688"/>
      <c r="U264" s="1688"/>
      <c r="V264" s="1688"/>
      <c r="W264" s="1688"/>
      <c r="X264" s="1688"/>
      <c r="Y264" s="1688"/>
      <c r="Z264" s="1688"/>
      <c r="AA264" s="235"/>
      <c r="AB264" s="235"/>
      <c r="AD264" s="239"/>
      <c r="AE264" s="239"/>
      <c r="AF264" s="239"/>
      <c r="AG264" s="239"/>
      <c r="AH264" s="239"/>
      <c r="AI264" s="239"/>
    </row>
    <row r="265" spans="2:35">
      <c r="B265" s="235"/>
      <c r="C265" s="235"/>
      <c r="D265" s="235"/>
      <c r="E265" s="235"/>
      <c r="F265" s="235"/>
      <c r="G265" s="233"/>
      <c r="H265" s="305"/>
      <c r="I265" s="235"/>
      <c r="J265" s="270"/>
      <c r="K265" s="270"/>
      <c r="L265" s="270"/>
      <c r="M265" s="270"/>
      <c r="O265" s="239"/>
      <c r="P265" s="239"/>
      <c r="Q265" s="1689"/>
      <c r="R265" s="1690"/>
      <c r="S265" s="1690"/>
      <c r="T265" s="1690"/>
      <c r="U265" s="1690"/>
      <c r="V265" s="1690"/>
      <c r="W265" s="1690"/>
      <c r="X265" s="1688"/>
      <c r="Y265" s="1688"/>
      <c r="Z265" s="1688"/>
      <c r="AA265" s="235"/>
      <c r="AB265" s="235"/>
      <c r="AD265" s="239"/>
      <c r="AE265" s="239"/>
      <c r="AF265" s="239"/>
      <c r="AG265" s="239"/>
      <c r="AH265" s="239"/>
      <c r="AI265" s="239"/>
    </row>
    <row r="266" spans="2:35" ht="12.75" customHeight="1">
      <c r="B266" s="281">
        <f>MAX(B$265:B265)+1</f>
        <v>1</v>
      </c>
      <c r="C266" s="235" t="s">
        <v>581</v>
      </c>
      <c r="D266" s="235"/>
      <c r="E266" s="235"/>
      <c r="F266" s="235"/>
      <c r="G266" s="233" t="s">
        <v>495</v>
      </c>
      <c r="H266" s="280"/>
      <c r="I266" s="235"/>
      <c r="J266" s="270"/>
      <c r="K266" s="2446" t="s">
        <v>190</v>
      </c>
      <c r="L266" s="2446"/>
      <c r="M266" s="2446"/>
      <c r="N266" s="2446"/>
      <c r="O266" s="239"/>
      <c r="P266" s="687" t="str">
        <f>IF(OR(AND(Funding!L188=1,ConstrAnalysis__1st_Type&lt;&gt;"FHFC - MMRB",ConstrAnalysis__1st_Type&lt;&gt;"Local HFA Bonds"),AND(Funding!L252=1,ConstrAnalysis__1st_Type="FHFC - MMRB",ConstrAnalysis__1st_Mtg&lt;&gt;MMRB_Request_Amount)),"**","")</f>
        <v/>
      </c>
      <c r="Q266" s="277">
        <f>IF(N(K$39)=0,0,N(H266)/K$39)</f>
        <v>0</v>
      </c>
      <c r="R266" s="2488" t="str">
        <f>IF(AND(Funding!L188=1,ConstrAnalysis__1st_Type&lt;&gt;"FHFC - MMRB",ConstrAnalysis__1st_Type&lt;&gt;"Local HFA Bonds"),"The Applicant indicates a Non-Competetive Housing Credit Request amount. Please designate the First Mortgage Financing as FHFC - MMRB or Local HFA Bonds as applicable.",IF(AND(Funding!L252=1,ConstrAnalysis__1st_Type="FHFC - MMRB",ConstrAnalysis__1st_Mtg&lt;&gt;MMRB_Request_Amount),"The First Mortgage Finacing amount entered does not match the Corporation-Issued MMRB Loan Request Amount on the Funding Tab.",IF(AND(Funding!L252=1,ConstrAnalysis__1st_Type&lt;&gt;"FHFC - MMRB",N(MMRB_Request_Amount)&gt;0),"An MMRB Loan Request Amount has been provided on the Funding Tab but the Lender/Type of Funds does not identify as such for the First Mortgage Financing in teh Construction Funding Sources.", "")))</f>
        <v/>
      </c>
      <c r="S266" s="2488"/>
      <c r="T266" s="2488"/>
      <c r="U266" s="2488"/>
      <c r="V266" s="2488"/>
      <c r="W266" s="2488"/>
      <c r="X266" s="2488"/>
      <c r="Y266" s="1688"/>
      <c r="Z266" s="1688"/>
      <c r="AA266" s="235"/>
      <c r="AB266" s="235"/>
      <c r="AD266" s="239"/>
      <c r="AE266" s="239"/>
      <c r="AF266" s="239"/>
      <c r="AG266" s="239"/>
      <c r="AH266" s="239"/>
      <c r="AI266" s="239"/>
    </row>
    <row r="267" spans="2:35" ht="12.75" customHeight="1">
      <c r="B267" s="310"/>
      <c r="C267" s="235"/>
      <c r="D267" s="235"/>
      <c r="E267" s="235"/>
      <c r="F267" s="235"/>
      <c r="G267" s="233"/>
      <c r="H267" s="305"/>
      <c r="I267" s="235"/>
      <c r="J267" s="270"/>
      <c r="K267" s="270"/>
      <c r="L267" s="270"/>
      <c r="M267" s="270"/>
      <c r="O267" s="239"/>
      <c r="P267" s="239"/>
      <c r="Q267" s="1689"/>
      <c r="R267" s="2488"/>
      <c r="S267" s="2488"/>
      <c r="T267" s="2488"/>
      <c r="U267" s="2488"/>
      <c r="V267" s="2488"/>
      <c r="W267" s="2488"/>
      <c r="X267" s="2488"/>
      <c r="Y267" s="1688"/>
      <c r="Z267" s="1688"/>
      <c r="AA267" s="309"/>
      <c r="AB267" s="309"/>
      <c r="AD267" s="239"/>
      <c r="AE267" s="239"/>
      <c r="AF267" s="239"/>
      <c r="AG267" s="239"/>
      <c r="AH267" s="239"/>
      <c r="AI267" s="239"/>
    </row>
    <row r="268" spans="2:35" ht="12.75" customHeight="1">
      <c r="B268" s="281">
        <f>MAX(B$265:B267)+1</f>
        <v>2</v>
      </c>
      <c r="C268" s="235" t="s">
        <v>582</v>
      </c>
      <c r="D268" s="235"/>
      <c r="E268" s="235"/>
      <c r="F268" s="235"/>
      <c r="G268" s="233" t="s">
        <v>495</v>
      </c>
      <c r="H268" s="280"/>
      <c r="I268" s="235"/>
      <c r="J268" s="270"/>
      <c r="K268" s="2446" t="s">
        <v>190</v>
      </c>
      <c r="L268" s="2446"/>
      <c r="M268" s="2446"/>
      <c r="N268" s="2446"/>
      <c r="O268" s="239"/>
      <c r="P268" s="239"/>
      <c r="Q268" s="277">
        <f>IF(N(K$39)=0,0,N(H268)/K$39)</f>
        <v>0</v>
      </c>
      <c r="R268" s="2488"/>
      <c r="S268" s="2488"/>
      <c r="T268" s="2488"/>
      <c r="U268" s="2488"/>
      <c r="V268" s="2488"/>
      <c r="W268" s="2488"/>
      <c r="X268" s="2488"/>
      <c r="Y268" s="1691"/>
      <c r="Z268" s="1691"/>
      <c r="AA268" s="308"/>
      <c r="AB268" s="308"/>
      <c r="AD268" s="239"/>
      <c r="AE268" s="239"/>
      <c r="AF268" s="239"/>
      <c r="AG268" s="239"/>
      <c r="AH268" s="239"/>
      <c r="AI268" s="239"/>
    </row>
    <row r="269" spans="2:35" ht="12.75" customHeight="1">
      <c r="B269" s="235"/>
      <c r="C269" s="235"/>
      <c r="D269" s="235"/>
      <c r="E269" s="235"/>
      <c r="F269" s="235"/>
      <c r="G269" s="233"/>
      <c r="H269" s="305"/>
      <c r="I269" s="235"/>
      <c r="J269" s="270"/>
      <c r="K269" s="270"/>
      <c r="L269" s="270"/>
      <c r="M269" s="270"/>
      <c r="O269" s="239"/>
      <c r="P269" s="239"/>
      <c r="Q269" s="1689"/>
      <c r="R269" s="1691"/>
      <c r="S269" s="1691"/>
      <c r="T269" s="1691"/>
      <c r="U269" s="1691"/>
      <c r="V269" s="1691"/>
      <c r="W269" s="1691"/>
      <c r="X269" s="1691"/>
      <c r="Y269" s="1691"/>
      <c r="Z269" s="1691"/>
      <c r="AA269" s="308"/>
      <c r="AB269" s="308"/>
      <c r="AD269" s="239"/>
      <c r="AE269" s="239"/>
      <c r="AF269" s="239"/>
      <c r="AG269" s="239"/>
      <c r="AH269" s="239"/>
      <c r="AI269" s="239"/>
    </row>
    <row r="270" spans="2:35" ht="13">
      <c r="B270" s="281">
        <f>MAX(B$265:B269)+1</f>
        <v>3</v>
      </c>
      <c r="C270" s="235" t="s">
        <v>583</v>
      </c>
      <c r="D270" s="235"/>
      <c r="E270" s="235"/>
      <c r="F270" s="235"/>
      <c r="G270" s="233" t="s">
        <v>495</v>
      </c>
      <c r="H270" s="280"/>
      <c r="I270" s="235"/>
      <c r="J270" s="270"/>
      <c r="K270" s="2446" t="s">
        <v>190</v>
      </c>
      <c r="L270" s="2446"/>
      <c r="M270" s="2446"/>
      <c r="N270" s="2446"/>
      <c r="O270" s="239"/>
      <c r="P270" s="239"/>
      <c r="Q270" s="277">
        <f>IF(N(K$39)=0,0,N(H270)/K$39)</f>
        <v>0</v>
      </c>
      <c r="R270" s="1692"/>
      <c r="S270" s="1691"/>
      <c r="T270" s="1691"/>
      <c r="U270" s="1693"/>
      <c r="V270" s="1693"/>
      <c r="W270" s="1693"/>
      <c r="X270" s="1691"/>
      <c r="Y270" s="1691"/>
      <c r="Z270" s="1691"/>
      <c r="AA270" s="235"/>
      <c r="AB270" s="235"/>
      <c r="AD270" s="239"/>
      <c r="AE270" s="239"/>
      <c r="AF270" s="239"/>
      <c r="AG270" s="239"/>
      <c r="AH270" s="239"/>
      <c r="AI270" s="239"/>
    </row>
    <row r="271" spans="2:35" ht="13">
      <c r="B271" s="235"/>
      <c r="C271" s="235"/>
      <c r="D271" s="235"/>
      <c r="E271" s="235"/>
      <c r="F271" s="235"/>
      <c r="G271" s="233"/>
      <c r="H271" s="305"/>
      <c r="I271" s="235"/>
      <c r="J271" s="270"/>
      <c r="K271" s="270"/>
      <c r="L271" s="270"/>
      <c r="M271" s="270"/>
      <c r="O271" s="239"/>
      <c r="P271" s="239"/>
      <c r="Q271" s="1689"/>
      <c r="R271" s="997"/>
      <c r="S271" s="997"/>
      <c r="T271" s="997"/>
      <c r="U271" s="996"/>
      <c r="V271" s="1693"/>
      <c r="W271" s="1693"/>
      <c r="X271" s="1691"/>
      <c r="Y271" s="1691"/>
      <c r="Z271" s="1691"/>
      <c r="AA271" s="235"/>
      <c r="AB271" s="235"/>
      <c r="AC271" s="239"/>
      <c r="AD271" s="239"/>
      <c r="AE271" s="239"/>
      <c r="AF271" s="239"/>
      <c r="AG271" s="239"/>
      <c r="AH271" s="239"/>
      <c r="AI271" s="239"/>
    </row>
    <row r="272" spans="2:35" ht="12.75" customHeight="1">
      <c r="B272" s="281">
        <f>MAX(B$265:B271)+1</f>
        <v>4</v>
      </c>
      <c r="C272" s="235" t="s">
        <v>584</v>
      </c>
      <c r="D272" s="235"/>
      <c r="E272" s="235"/>
      <c r="F272" s="235"/>
      <c r="G272" s="233" t="s">
        <v>495</v>
      </c>
      <c r="H272" s="280"/>
      <c r="I272" s="235"/>
      <c r="J272" s="270"/>
      <c r="K272" s="2446" t="s">
        <v>190</v>
      </c>
      <c r="L272" s="2446"/>
      <c r="M272" s="2446"/>
      <c r="N272" s="2446"/>
      <c r="O272" s="239"/>
      <c r="P272" s="239"/>
      <c r="Q272" s="277">
        <f>IF(N(K$39)=0,0,N(H272)/K$39)</f>
        <v>0</v>
      </c>
      <c r="R272" s="996"/>
      <c r="S272" s="996"/>
      <c r="T272" s="996"/>
      <c r="U272" s="996"/>
      <c r="V272" s="996"/>
      <c r="W272" s="996"/>
      <c r="X272" s="996"/>
      <c r="Y272" s="996"/>
      <c r="Z272" s="996"/>
      <c r="AA272" s="996"/>
      <c r="AB272" s="996"/>
      <c r="AC272" s="239"/>
      <c r="AD272" s="239"/>
      <c r="AE272" s="239"/>
      <c r="AF272" s="239"/>
      <c r="AG272" s="239"/>
      <c r="AH272" s="239"/>
      <c r="AI272" s="239"/>
    </row>
    <row r="273" spans="2:35" ht="12.75" customHeight="1">
      <c r="B273" s="235"/>
      <c r="C273" s="235"/>
      <c r="D273" s="235"/>
      <c r="E273" s="235"/>
      <c r="F273" s="235"/>
      <c r="G273" s="233"/>
      <c r="H273" s="305"/>
      <c r="I273" s="235"/>
      <c r="J273" s="270"/>
      <c r="K273" s="270"/>
      <c r="L273" s="270"/>
      <c r="M273" s="270"/>
      <c r="O273" s="239"/>
      <c r="P273" s="239"/>
      <c r="Q273" s="1689"/>
      <c r="R273" s="1691"/>
      <c r="S273" s="1691"/>
      <c r="T273" s="1691"/>
      <c r="U273" s="1691"/>
      <c r="V273" s="1691"/>
      <c r="W273" s="1691"/>
      <c r="X273" s="1691"/>
      <c r="Y273" s="1691"/>
      <c r="Z273" s="1691"/>
      <c r="AA273" s="235"/>
      <c r="AB273" s="235"/>
      <c r="AC273" s="239"/>
      <c r="AD273" s="239"/>
      <c r="AE273" s="239"/>
      <c r="AF273" s="239"/>
      <c r="AG273" s="239"/>
      <c r="AH273" s="239"/>
      <c r="AI273" s="239"/>
    </row>
    <row r="274" spans="2:35">
      <c r="B274" s="281">
        <f>MAX(B$265:B273)+1</f>
        <v>5</v>
      </c>
      <c r="C274" s="235" t="s">
        <v>585</v>
      </c>
      <c r="D274" s="235"/>
      <c r="E274" s="235"/>
      <c r="F274" s="235"/>
      <c r="G274" s="233" t="s">
        <v>495</v>
      </c>
      <c r="H274" s="280"/>
      <c r="I274" s="235"/>
      <c r="J274" s="270"/>
      <c r="K274" s="2446" t="s">
        <v>190</v>
      </c>
      <c r="L274" s="2446"/>
      <c r="M274" s="2446"/>
      <c r="N274" s="2446"/>
      <c r="O274" s="239"/>
      <c r="P274" s="239"/>
      <c r="Q274" s="277">
        <f>IF(N(K$39)=0,0,N(H274)/K$39)</f>
        <v>0</v>
      </c>
      <c r="R274" s="1693"/>
      <c r="S274" s="1693"/>
      <c r="T274" s="1693"/>
      <c r="U274" s="1693"/>
      <c r="V274" s="1693"/>
      <c r="W274" s="1693"/>
      <c r="X274" s="1693"/>
      <c r="Y274" s="1693"/>
      <c r="Z274" s="1693"/>
      <c r="AA274" s="306"/>
      <c r="AB274" s="306"/>
      <c r="AC274" s="239"/>
      <c r="AD274" s="239"/>
      <c r="AE274" s="239"/>
      <c r="AF274" s="239"/>
      <c r="AG274" s="239"/>
      <c r="AH274" s="239"/>
      <c r="AI274" s="239"/>
    </row>
    <row r="275" spans="2:35">
      <c r="B275" s="235"/>
      <c r="C275" s="235"/>
      <c r="D275" s="235"/>
      <c r="E275" s="235"/>
      <c r="F275" s="235"/>
      <c r="G275" s="233"/>
      <c r="H275" s="305"/>
      <c r="I275" s="235"/>
      <c r="J275" s="270"/>
      <c r="K275" s="270"/>
      <c r="L275" s="270"/>
      <c r="M275" s="270"/>
      <c r="O275" s="239"/>
      <c r="P275" s="239"/>
      <c r="Q275" s="1689"/>
      <c r="R275" s="1688"/>
      <c r="S275" s="1688"/>
      <c r="T275" s="1688"/>
      <c r="U275" s="1688"/>
      <c r="V275" s="1688"/>
      <c r="W275" s="1688"/>
      <c r="X275" s="1689"/>
      <c r="Y275" s="1689"/>
      <c r="Z275" s="1689"/>
      <c r="AA275" s="239"/>
      <c r="AB275" s="239"/>
      <c r="AC275" s="239"/>
      <c r="AD275" s="239"/>
      <c r="AE275" s="239"/>
      <c r="AF275" s="239"/>
      <c r="AG275" s="239"/>
      <c r="AH275" s="239"/>
      <c r="AI275" s="239"/>
    </row>
    <row r="276" spans="2:35" ht="12.75" customHeight="1">
      <c r="B276" s="281">
        <f>MAX(B$265:B275)+1</f>
        <v>6</v>
      </c>
      <c r="C276" s="228" t="s">
        <v>586</v>
      </c>
      <c r="G276" s="233" t="s">
        <v>495</v>
      </c>
      <c r="H276" s="280"/>
      <c r="I276" s="235"/>
      <c r="J276" s="234"/>
      <c r="K276" s="2446" t="s">
        <v>190</v>
      </c>
      <c r="L276" s="2446"/>
      <c r="M276" s="2446"/>
      <c r="N276" s="2446"/>
      <c r="O276" s="239"/>
      <c r="P276" s="239"/>
      <c r="Q276" s="277">
        <f>IF(N(K$39)=0,0,N(H276)/K$39)</f>
        <v>0</v>
      </c>
      <c r="R276" s="1688"/>
      <c r="S276" s="1688"/>
      <c r="T276" s="1688"/>
      <c r="U276" s="1688"/>
      <c r="V276" s="1688"/>
      <c r="W276" s="1688"/>
      <c r="X276" s="1689"/>
      <c r="Y276" s="1689"/>
      <c r="Z276" s="1689"/>
      <c r="AA276" s="239"/>
      <c r="AB276" s="239"/>
      <c r="AC276" s="239"/>
      <c r="AD276" s="239"/>
      <c r="AE276" s="239"/>
      <c r="AF276" s="239"/>
      <c r="AG276" s="239"/>
      <c r="AH276" s="239"/>
      <c r="AI276" s="239"/>
    </row>
    <row r="277" spans="2:35" ht="12.75" customHeight="1">
      <c r="B277" s="235"/>
      <c r="C277" s="235"/>
      <c r="D277" s="235"/>
      <c r="E277" s="235"/>
      <c r="F277" s="235"/>
      <c r="G277" s="233"/>
      <c r="H277" s="305"/>
      <c r="I277" s="235"/>
      <c r="J277" s="270"/>
      <c r="K277" s="270"/>
      <c r="L277" s="270"/>
      <c r="M277" s="270"/>
      <c r="O277" s="239"/>
      <c r="P277" s="239"/>
      <c r="Q277" s="1689"/>
      <c r="R277" s="1689"/>
      <c r="S277" s="1689"/>
      <c r="T277" s="1689"/>
      <c r="U277" s="1689"/>
      <c r="V277" s="1689"/>
      <c r="W277" s="1689"/>
      <c r="X277" s="1689"/>
      <c r="Y277" s="1689"/>
      <c r="Z277" s="1689"/>
      <c r="AA277" s="239"/>
      <c r="AB277" s="239"/>
      <c r="AC277" s="239"/>
      <c r="AD277" s="239"/>
      <c r="AE277" s="239"/>
      <c r="AF277" s="239"/>
      <c r="AG277" s="239"/>
      <c r="AH277" s="239"/>
      <c r="AI277" s="239"/>
    </row>
    <row r="278" spans="2:35" ht="12.75" customHeight="1">
      <c r="B278" s="281" t="str">
        <f>IF(DS_FHFC_Source_1_Name="","",MAX(B$265:B277)+1)</f>
        <v/>
      </c>
      <c r="C278" s="235" t="str">
        <f>IF(DS_FHFC_Source_1_Name="","",DS_FHFC_Source_1_Name)&amp;" Financing"</f>
        <v xml:space="preserve"> Financing</v>
      </c>
      <c r="D278" s="235"/>
      <c r="E278" s="235"/>
      <c r="F278" s="235"/>
      <c r="G278" s="233" t="s">
        <v>495</v>
      </c>
      <c r="H278" s="1931" t="str">
        <f>IF(DS_FHFC_Source_1_Name="","",MIN(N(DS_FHFC_Source_1_Amt),N(DS_FHFC_Source_1_Max_Amt)))</f>
        <v/>
      </c>
      <c r="I278" s="1906"/>
      <c r="J278" s="1909"/>
      <c r="K278" s="2447" t="str">
        <f>DS_FHFC_Source_1_Label</f>
        <v>Enter request on Funding Tab</v>
      </c>
      <c r="L278" s="2447"/>
      <c r="M278" s="2447"/>
      <c r="N278" s="2447"/>
      <c r="O278" s="239"/>
      <c r="P278" s="239"/>
      <c r="Q278" s="277">
        <f>IF(N(K$39)=0,0,N(H278)/K$39)</f>
        <v>0</v>
      </c>
      <c r="R278" s="1689" t="str">
        <f>IF(OR(AND(ConstrAnalysis__7th_Type="FHFC - Workforce",ConstrAnalysis__7th_Mtg&gt;Max_Workforce),AND(ConstrAnalysis__7th_Type="FHFC - SAIL",ConstrAnalysis__7th_Mtg&gt;Max_SAIL),AND(ConstrAnalysis__7th_Type="FHFC - SAIL ELI",ConstrAnalysis__7th_Mtg&gt;Funding!$H$50),AND(ConstrAnalysis__7th_Type="FHFC - HOME",ConstrAnalysis__7th_Mtg&gt;Funding!$H$69),AND(ConstrAnalysis__7th_Type="FHFC - Grant",ConstrAnalysis__7th_Mtg&gt;Funding!$H$122),AND(ConstrAnalysis__7th_Type="FHFC - TBD",ConstrAnalysis__7th_Mtg&gt;Funding!$H$159)),"The Request Amount is greater than the maximum allowed.","")</f>
        <v/>
      </c>
      <c r="S278" s="1689"/>
      <c r="T278" s="1689"/>
      <c r="U278" s="1689"/>
      <c r="V278" s="1689"/>
      <c r="W278" s="1689"/>
      <c r="X278" s="1689"/>
      <c r="Y278" s="1689"/>
      <c r="Z278" s="1689"/>
      <c r="AA278" s="239"/>
      <c r="AB278" s="239"/>
      <c r="AC278" s="239"/>
      <c r="AD278" s="239"/>
      <c r="AE278" s="239"/>
      <c r="AF278" s="239"/>
      <c r="AG278" s="239"/>
      <c r="AH278" s="239"/>
      <c r="AI278" s="239"/>
    </row>
    <row r="279" spans="2:35" ht="12.75" customHeight="1">
      <c r="B279" s="235"/>
      <c r="C279" s="235"/>
      <c r="D279" s="235"/>
      <c r="E279" s="235"/>
      <c r="F279" s="235"/>
      <c r="G279" s="233"/>
      <c r="H279" s="1907"/>
      <c r="I279" s="1906"/>
      <c r="J279" s="1909"/>
      <c r="K279" s="1909"/>
      <c r="L279" s="1909"/>
      <c r="M279" s="1909"/>
      <c r="N279" s="1913"/>
      <c r="O279" s="239"/>
      <c r="P279" s="239"/>
      <c r="Q279" s="1689"/>
      <c r="R279" s="1689"/>
      <c r="S279" s="1689"/>
      <c r="T279" s="1689"/>
      <c r="U279" s="1689"/>
      <c r="V279" s="1689"/>
      <c r="W279" s="1689"/>
      <c r="X279" s="1689"/>
      <c r="Y279" s="1689"/>
      <c r="Z279" s="1689"/>
      <c r="AA279" s="239"/>
      <c r="AB279" s="239"/>
      <c r="AC279" s="239"/>
      <c r="AD279" s="239"/>
      <c r="AE279" s="239"/>
      <c r="AF279" s="239"/>
      <c r="AG279" s="239"/>
      <c r="AH279" s="239"/>
      <c r="AI279" s="239"/>
    </row>
    <row r="280" spans="2:35" ht="12.75" customHeight="1">
      <c r="B280" s="281" t="str">
        <f>IF(DS_FHFC_Source_2_Name="","",MAX(B$265:B279)+1)</f>
        <v/>
      </c>
      <c r="C280" s="235" t="str">
        <f>IF(DS_FHFC_Source_2_Name="","",DS_FHFC_Source_2_Name)&amp;" Financing"</f>
        <v xml:space="preserve"> Financing</v>
      </c>
      <c r="D280" s="235"/>
      <c r="E280" s="235"/>
      <c r="F280" s="235"/>
      <c r="G280" s="233" t="s">
        <v>495</v>
      </c>
      <c r="H280" s="1931" t="str">
        <f>IF(DS_FHFC_Source_2_Name="","",MIN(N(DS_FHFC_Source_2_Amt),N(DS_FHFC_Source_2_Max_Amt)))</f>
        <v/>
      </c>
      <c r="I280" s="1906"/>
      <c r="J280" s="1909"/>
      <c r="K280" s="2447" t="str">
        <f>DS_FHFC_Source_2_Label</f>
        <v>Enter request on Funding Tab</v>
      </c>
      <c r="L280" s="2447"/>
      <c r="M280" s="2447"/>
      <c r="N280" s="2447"/>
      <c r="O280" s="239"/>
      <c r="P280" s="239"/>
      <c r="Q280" s="277">
        <f>IF(N(K$39)=0,0,N(H280)/K$39)</f>
        <v>0</v>
      </c>
      <c r="R280" s="1689" t="str">
        <f>IF(OR(AND(ConstrAnalysis__8th_Type="FHFC - Workforce",ConstrAnalysis__8th_Mtg&gt;Max_Workforce),AND(ConstrAnalysis__8th_Type="FHFC - SAIL",ConstrAnalysis__8th_Mtg&gt;Max_SAIL),AND(ConstrAnalysis__8th_Type="FHFC - SAIL ELI",ConstrAnalysis__8th_Mtg&gt;Funding!$H$50),AND(ConstrAnalysis__8th_Type="FHFC - HOME",ConstrAnalysis__8th_Mtg&gt;Funding!$H$69),AND(ConstrAnalysis__8th_Type="FHFC - Grant",ConstrAnalysis__8th_Mtg&gt;Funding!$H$122),AND(ConstrAnalysis__8th_Type="FHFC - TBD",ConstrAnalysis__8th_Mtg&gt;Funding!$H$159)),"The Request Amount is greater than the maximum allowed.","")</f>
        <v/>
      </c>
      <c r="S280" s="1689"/>
      <c r="T280" s="1689"/>
      <c r="U280" s="1689"/>
      <c r="V280" s="1689"/>
      <c r="W280" s="1689"/>
      <c r="X280" s="1689"/>
      <c r="Y280" s="1689"/>
      <c r="Z280" s="1689"/>
      <c r="AA280" s="239"/>
      <c r="AB280" s="239"/>
      <c r="AC280" s="239"/>
      <c r="AD280" s="239"/>
      <c r="AE280" s="239"/>
      <c r="AF280" s="239"/>
      <c r="AG280" s="239"/>
      <c r="AH280" s="239"/>
      <c r="AI280" s="239"/>
    </row>
    <row r="281" spans="2:35" ht="12.75" customHeight="1">
      <c r="B281" s="235"/>
      <c r="C281" s="235"/>
      <c r="D281" s="235"/>
      <c r="E281" s="235"/>
      <c r="F281" s="235"/>
      <c r="G281" s="233"/>
      <c r="H281" s="1907"/>
      <c r="I281" s="1906"/>
      <c r="J281" s="1909"/>
      <c r="K281" s="1909"/>
      <c r="L281" s="1909"/>
      <c r="M281" s="1909"/>
      <c r="N281" s="1913"/>
      <c r="O281" s="239"/>
      <c r="P281" s="239"/>
      <c r="Q281" s="1689"/>
      <c r="R281" s="1688"/>
      <c r="S281" s="1689"/>
      <c r="T281" s="1689"/>
      <c r="U281" s="1689"/>
      <c r="V281" s="1689"/>
      <c r="W281" s="1689"/>
      <c r="X281" s="1689"/>
      <c r="Y281" s="1689"/>
      <c r="Z281" s="1689"/>
      <c r="AA281" s="239"/>
      <c r="AB281" s="239"/>
      <c r="AC281" s="239"/>
      <c r="AD281" s="239"/>
      <c r="AE281" s="239"/>
      <c r="AF281" s="239"/>
      <c r="AG281" s="239"/>
      <c r="AH281" s="239"/>
      <c r="AI281" s="239"/>
    </row>
    <row r="282" spans="2:35" ht="12.75" customHeight="1">
      <c r="B282" s="281" t="str">
        <f>IF(DS_FHFC_Source_3_Name="","",MAX(B$265:B281)+1)</f>
        <v/>
      </c>
      <c r="C282" s="235" t="str">
        <f>IF(DS_FHFC_Source_3_Name="","",DS_FHFC_Source_3_Name)&amp;" Financing"</f>
        <v xml:space="preserve"> Financing</v>
      </c>
      <c r="D282" s="235"/>
      <c r="E282" s="235"/>
      <c r="F282" s="235"/>
      <c r="G282" s="233" t="s">
        <v>495</v>
      </c>
      <c r="H282" s="1931" t="str">
        <f>IF(DS_FHFC_Source_3_Name="","",MIN(N(DS_FHFC_Source_3_Amt),N(DS_FHFC_Source_3_Max_Amt)))</f>
        <v/>
      </c>
      <c r="I282" s="1906"/>
      <c r="J282" s="1909"/>
      <c r="K282" s="2447" t="str">
        <f>DS_FHFC_Source_3_Label</f>
        <v>Enter request on Funding Tab</v>
      </c>
      <c r="L282" s="2447"/>
      <c r="M282" s="2447"/>
      <c r="N282" s="2447"/>
      <c r="O282" s="239"/>
      <c r="P282" s="239"/>
      <c r="Q282" s="277">
        <f>IF(N(K$39)=0,0,N(H282)/K$39)</f>
        <v>0</v>
      </c>
      <c r="R282" s="1689" t="str">
        <f>IF(OR(AND(ConstrAnalysis__9th_Type="FHFC - Workforce",ConstrAnalysis__9th_Mtg&gt;Max_Workforce),AND(ConstrAnalysis__9th_Type="FHFC - SAIL",ConstrAnalysis__9th_Mtg&gt;Max_SAIL),AND(ConstrAnalysis__9th_Type="FHFC - SAIL ELI",ConstrAnalysis__9th_Mtg&gt;Funding!$H$50),AND(ConstrAnalysis__9th_Type="FHFC - HOME",ConstrAnalysis__9th_Mtg&gt;Funding!$H$69),AND(ConstrAnalysis__9th_Type="FHFC - Grant",ConstrAnalysis__9th_Mtg&gt;Funding!$H$122),AND(ConstrAnalysis__9th_Type="FHFC - TBD",ConstrAnalysis__9th_Mtg&gt;Funding!$H$159)),"The Request Amount is greater than the maximum allowed.","")</f>
        <v/>
      </c>
      <c r="S282" s="1689"/>
      <c r="T282" s="1689"/>
      <c r="U282" s="1689"/>
      <c r="V282" s="1689"/>
      <c r="W282" s="1689"/>
      <c r="X282" s="1689"/>
      <c r="Y282" s="1689"/>
      <c r="Z282" s="1689"/>
      <c r="AA282" s="239"/>
      <c r="AB282" s="239"/>
      <c r="AC282" s="239"/>
      <c r="AD282" s="239"/>
      <c r="AE282" s="239"/>
      <c r="AF282" s="239"/>
      <c r="AG282" s="239"/>
      <c r="AH282" s="239"/>
      <c r="AI282" s="239"/>
    </row>
    <row r="283" spans="2:35" ht="12.75" customHeight="1">
      <c r="B283" s="235"/>
      <c r="C283" s="235"/>
      <c r="D283" s="235"/>
      <c r="E283" s="235"/>
      <c r="F283" s="235"/>
      <c r="G283" s="233"/>
      <c r="H283" s="1907"/>
      <c r="I283" s="1906"/>
      <c r="J283" s="1909"/>
      <c r="K283" s="1909"/>
      <c r="L283" s="1909"/>
      <c r="M283" s="1909"/>
      <c r="N283" s="1913"/>
      <c r="O283" s="239"/>
      <c r="P283" s="239"/>
      <c r="Q283" s="239"/>
      <c r="S283" s="239"/>
      <c r="T283" s="239"/>
      <c r="U283" s="239"/>
      <c r="V283" s="239"/>
      <c r="W283" s="239"/>
      <c r="X283" s="239"/>
      <c r="Y283" s="239"/>
      <c r="Z283" s="239"/>
      <c r="AA283" s="239"/>
      <c r="AB283" s="239"/>
      <c r="AC283" s="239"/>
      <c r="AD283" s="239"/>
      <c r="AE283" s="239"/>
      <c r="AF283" s="239"/>
      <c r="AG283" s="239"/>
      <c r="AH283" s="239"/>
      <c r="AI283" s="239"/>
    </row>
    <row r="284" spans="2:35" ht="12.75" customHeight="1">
      <c r="B284" s="281" t="str">
        <f>IF(DS_FHFC_Source_4_Name="","",MAX(B$265:B283)+1)</f>
        <v/>
      </c>
      <c r="C284" s="235" t="str">
        <f>IF(DS_FHFC_Source_4_Name="","",DS_FHFC_Source_4_Name)&amp;" Financing"</f>
        <v xml:space="preserve"> Financing</v>
      </c>
      <c r="D284" s="235"/>
      <c r="E284" s="235"/>
      <c r="F284" s="235"/>
      <c r="G284" s="233" t="s">
        <v>495</v>
      </c>
      <c r="H284" s="1931" t="str">
        <f>IF(DS_FHFC_Source_4_Name="","",MIN(N(DS_FHFC_Source_4_Amt),N(DS_FHFC_Source_4_Max_Amt)))</f>
        <v/>
      </c>
      <c r="I284" s="1906"/>
      <c r="J284" s="1909"/>
      <c r="K284" s="2489" t="str">
        <f>DS_FHFC_Source_4_Label</f>
        <v>Enter request on Funding Tab</v>
      </c>
      <c r="L284" s="2489"/>
      <c r="M284" s="2489"/>
      <c r="N284" s="2489"/>
      <c r="O284" s="239"/>
      <c r="P284" s="239"/>
      <c r="Q284" s="277">
        <f>IF(N(K$39)=0,0,N(H284)/K$39)</f>
        <v>0</v>
      </c>
      <c r="R284" s="239" t="str">
        <f>IF(OR(AND(ConstrAnalysis_10th_Type="FHFC - Workforce",ConstrAnalysis_10th_Mtg&gt;Max_Workforce),AND(ConstrAnalysis_10th_Type="FHFC - SAIL",ConstrAnalysis_10th_Mtg&gt;Max_SAIL),AND(ConstrAnalysis_10th_Type="FHFC - SAIL ELI",ConstrAnalysis_10th_Mtg&gt;Funding!$H$50),AND(ConstrAnalysis_10th_Type="FHFC - HOME",ConstrAnalysis_10th_Mtg&gt;Funding!$H$69),AND(ConstrAnalysis_10th_Type="FHFC - Grant",ConstrAnalysis_10th_Mtg&gt;Funding!$H$122),AND(ConstrAnalysis_10th_Type="FHFC - TBD",ConstrAnalysis_10th_Mtg&gt;Funding!$H$159)),"The Request Amount is greater than the maximum allowed.","")</f>
        <v/>
      </c>
      <c r="S284" s="239"/>
      <c r="T284" s="239"/>
      <c r="U284" s="239"/>
      <c r="V284" s="239"/>
      <c r="W284" s="239"/>
      <c r="X284" s="239"/>
      <c r="Y284" s="239"/>
      <c r="Z284" s="239"/>
      <c r="AA284" s="239"/>
      <c r="AB284" s="239"/>
      <c r="AC284" s="239"/>
      <c r="AD284" s="239"/>
      <c r="AE284" s="239"/>
      <c r="AF284" s="239"/>
      <c r="AG284" s="239"/>
      <c r="AH284" s="239"/>
      <c r="AI284" s="239"/>
    </row>
    <row r="285" spans="2:35" ht="12.75" customHeight="1">
      <c r="B285" s="235"/>
      <c r="C285" s="235"/>
      <c r="D285" s="235"/>
      <c r="E285" s="235"/>
      <c r="F285" s="235"/>
      <c r="G285" s="233"/>
      <c r="H285" s="305"/>
      <c r="I285" s="235"/>
      <c r="J285" s="270"/>
      <c r="K285" s="270"/>
      <c r="L285" s="270"/>
      <c r="M285" s="270"/>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row>
    <row r="286" spans="2:35">
      <c r="B286" s="281">
        <f>MAX(B$265:B285)+1</f>
        <v>7</v>
      </c>
      <c r="C286" s="235" t="s">
        <v>587</v>
      </c>
      <c r="D286" s="235"/>
      <c r="E286" s="235"/>
      <c r="F286" s="235"/>
      <c r="G286" s="235"/>
      <c r="H286" s="305"/>
      <c r="I286" s="235"/>
      <c r="J286" s="270"/>
      <c r="K286" s="270"/>
      <c r="L286" s="270"/>
      <c r="M286" s="235"/>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row>
    <row r="287" spans="2:35">
      <c r="B287" s="235"/>
      <c r="C287" s="235" t="s">
        <v>588</v>
      </c>
      <c r="D287" s="235"/>
      <c r="E287" s="235"/>
      <c r="F287" s="235"/>
      <c r="G287" s="235"/>
      <c r="H287" s="305"/>
      <c r="I287" s="235"/>
      <c r="J287" s="270"/>
      <c r="K287" s="270"/>
      <c r="L287" s="270"/>
      <c r="M287" s="235"/>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row>
    <row r="288" spans="2:35">
      <c r="B288" s="235"/>
      <c r="C288" s="235" t="s">
        <v>589</v>
      </c>
      <c r="D288" s="235"/>
      <c r="E288" s="235"/>
      <c r="F288" s="235"/>
      <c r="G288" s="235"/>
      <c r="H288" s="274"/>
      <c r="I288" s="235"/>
      <c r="J288" s="235"/>
      <c r="K288" s="235"/>
      <c r="L288" s="235"/>
      <c r="M288" s="235"/>
      <c r="O288" s="245"/>
      <c r="P288" s="245"/>
      <c r="S288" s="239"/>
      <c r="T288" s="239"/>
      <c r="U288" s="239"/>
      <c r="V288" s="239"/>
      <c r="W288" s="239"/>
      <c r="X288" s="239"/>
      <c r="Y288" s="239"/>
      <c r="Z288" s="239"/>
      <c r="AA288" s="239"/>
      <c r="AB288" s="239"/>
      <c r="AC288" s="239"/>
      <c r="AD288" s="239"/>
      <c r="AE288" s="239"/>
      <c r="AF288" s="239"/>
      <c r="AG288" s="239"/>
      <c r="AH288" s="239"/>
      <c r="AI288" s="239"/>
    </row>
    <row r="289" spans="2:35">
      <c r="B289" s="235"/>
      <c r="C289" s="235" t="s">
        <v>590</v>
      </c>
      <c r="D289" s="235"/>
      <c r="E289" s="235"/>
      <c r="F289" s="235"/>
      <c r="G289" s="233"/>
      <c r="H289" s="282"/>
      <c r="I289" s="235"/>
      <c r="J289" s="234"/>
      <c r="K289" s="285"/>
      <c r="L289" s="284"/>
      <c r="M289" s="235"/>
      <c r="O289" s="245"/>
      <c r="P289" s="245"/>
      <c r="S289" s="239"/>
      <c r="T289" s="239"/>
      <c r="U289" s="239"/>
      <c r="V289" s="239"/>
      <c r="W289" s="239"/>
      <c r="X289" s="239"/>
      <c r="Y289" s="239"/>
      <c r="Z289" s="239"/>
      <c r="AA289" s="239"/>
      <c r="AB289" s="239"/>
      <c r="AC289" s="239"/>
      <c r="AD289" s="239"/>
      <c r="AE289" s="239"/>
      <c r="AF289" s="239"/>
      <c r="AG289" s="239"/>
      <c r="AH289" s="239"/>
      <c r="AI289" s="239"/>
    </row>
    <row r="290" spans="2:35">
      <c r="B290" s="235"/>
      <c r="C290" s="235" t="s">
        <v>591</v>
      </c>
      <c r="D290" s="235"/>
      <c r="E290" s="235"/>
      <c r="F290" s="235"/>
      <c r="G290" s="233"/>
      <c r="H290" s="282"/>
      <c r="I290" s="235"/>
      <c r="J290" s="234"/>
      <c r="K290" s="285"/>
      <c r="L290" s="284"/>
      <c r="M290" s="235"/>
      <c r="O290" s="245"/>
      <c r="P290" s="245"/>
      <c r="S290" s="239"/>
      <c r="T290" s="239"/>
      <c r="U290" s="239"/>
      <c r="V290" s="239"/>
      <c r="W290" s="239"/>
      <c r="X290" s="239"/>
      <c r="Y290" s="239"/>
      <c r="Z290" s="239"/>
      <c r="AA290" s="239"/>
      <c r="AB290" s="239"/>
      <c r="AC290" s="239"/>
      <c r="AD290" s="239"/>
      <c r="AE290" s="239"/>
      <c r="AF290" s="239"/>
      <c r="AG290" s="239"/>
      <c r="AH290" s="239"/>
      <c r="AI290" s="239"/>
    </row>
    <row r="291" spans="2:35">
      <c r="B291" s="235"/>
      <c r="C291" s="235" t="s">
        <v>592</v>
      </c>
      <c r="D291" s="235"/>
      <c r="E291" s="235"/>
      <c r="F291" s="235"/>
      <c r="G291" s="233"/>
      <c r="H291" s="282"/>
      <c r="I291" s="235"/>
      <c r="J291" s="234"/>
      <c r="K291" s="285"/>
      <c r="L291" s="284"/>
      <c r="M291" s="235"/>
      <c r="O291" s="245"/>
      <c r="P291" s="245"/>
      <c r="S291" s="239"/>
      <c r="T291" s="239"/>
      <c r="U291" s="239"/>
      <c r="V291" s="239"/>
      <c r="W291" s="239"/>
      <c r="X291" s="239"/>
      <c r="Y291" s="239"/>
      <c r="Z291" s="239"/>
      <c r="AA291" s="239"/>
      <c r="AB291" s="239"/>
      <c r="AC291" s="239"/>
      <c r="AD291" s="239"/>
      <c r="AE291" s="239"/>
      <c r="AF291" s="239"/>
      <c r="AG291" s="239"/>
      <c r="AH291" s="239"/>
      <c r="AI291" s="239"/>
    </row>
    <row r="292" spans="2:35">
      <c r="B292" s="235"/>
      <c r="C292" s="235" t="s">
        <v>593</v>
      </c>
      <c r="D292" s="235"/>
      <c r="E292" s="235"/>
      <c r="F292" s="235"/>
      <c r="G292" s="233" t="s">
        <v>495</v>
      </c>
      <c r="H292" s="280"/>
      <c r="I292" s="235"/>
      <c r="J292" s="234"/>
      <c r="K292" s="285"/>
      <c r="L292" s="284"/>
      <c r="M292" s="235"/>
      <c r="O292" s="245"/>
      <c r="P292" s="989" t="str">
        <f>IF(AND(OR(Competitive_HC_Request_Amount&gt;0,Non_Competitive_HC_Request_Amount&gt;0),ConstrAnalysis_HC=0),"**","")</f>
        <v/>
      </c>
      <c r="Q292" s="277">
        <f>IF(N(K$39)=0,0,N(H292)/K$39)</f>
        <v>0</v>
      </c>
      <c r="R292" s="2486" t="s">
        <v>1194</v>
      </c>
      <c r="S292" s="2486"/>
      <c r="T292" s="2486"/>
      <c r="U292" s="2486"/>
      <c r="V292" s="2486"/>
      <c r="W292" s="2486"/>
      <c r="X292" s="993"/>
      <c r="Y292" s="239"/>
      <c r="Z292" s="239"/>
      <c r="AA292" s="239"/>
      <c r="AB292" s="239"/>
      <c r="AC292" s="239"/>
      <c r="AD292" s="239"/>
      <c r="AE292" s="239"/>
      <c r="AF292" s="239"/>
      <c r="AG292" s="239"/>
      <c r="AH292" s="239"/>
      <c r="AI292" s="239"/>
    </row>
    <row r="293" spans="2:35">
      <c r="B293" s="235"/>
      <c r="C293" s="235"/>
      <c r="D293" s="235"/>
      <c r="E293" s="235"/>
      <c r="F293" s="235"/>
      <c r="G293" s="235"/>
      <c r="H293" s="282"/>
      <c r="I293" s="235"/>
      <c r="J293" s="234"/>
      <c r="K293" s="285"/>
      <c r="L293" s="284"/>
      <c r="M293" s="235"/>
      <c r="O293" s="245"/>
      <c r="P293" s="245"/>
      <c r="R293" s="2487"/>
      <c r="S293" s="2487"/>
      <c r="T293" s="2487"/>
      <c r="U293" s="2487"/>
      <c r="V293" s="2487"/>
      <c r="W293" s="2487"/>
      <c r="X293" s="993"/>
      <c r="Y293" s="239"/>
      <c r="Z293" s="239"/>
      <c r="AA293" s="239"/>
      <c r="AB293" s="239"/>
      <c r="AC293" s="239"/>
      <c r="AD293" s="239"/>
      <c r="AE293" s="239"/>
      <c r="AF293" s="239"/>
      <c r="AG293" s="239"/>
      <c r="AH293" s="239"/>
      <c r="AI293" s="239"/>
    </row>
    <row r="294" spans="2:35">
      <c r="B294" s="281">
        <f>MAX(B$265:B293)+1</f>
        <v>8</v>
      </c>
      <c r="C294" s="286" t="s">
        <v>572</v>
      </c>
      <c r="D294" s="235"/>
      <c r="E294" s="2476"/>
      <c r="F294" s="2476"/>
      <c r="G294" s="233" t="s">
        <v>495</v>
      </c>
      <c r="H294" s="280"/>
      <c r="I294" s="235"/>
      <c r="J294" s="234"/>
      <c r="K294" s="2446" t="s">
        <v>190</v>
      </c>
      <c r="L294" s="2446"/>
      <c r="M294" s="2446"/>
      <c r="N294" s="2446"/>
      <c r="O294" s="245"/>
      <c r="P294" s="245"/>
      <c r="Q294" s="277">
        <f>IF(N(K$39)=0,0,N(H294)/K$39)</f>
        <v>0</v>
      </c>
      <c r="R294" s="239"/>
      <c r="S294" s="239"/>
      <c r="T294" s="239"/>
      <c r="U294" s="239"/>
      <c r="V294" s="239"/>
      <c r="W294" s="239"/>
      <c r="X294" s="239"/>
      <c r="Y294" s="239"/>
      <c r="Z294" s="239"/>
      <c r="AA294" s="239"/>
      <c r="AB294" s="239"/>
      <c r="AC294" s="239"/>
      <c r="AD294" s="239"/>
      <c r="AE294" s="239"/>
      <c r="AF294" s="239"/>
      <c r="AG294" s="239"/>
      <c r="AH294" s="239"/>
      <c r="AI294" s="239"/>
    </row>
    <row r="295" spans="2:35" ht="12.75" customHeight="1">
      <c r="H295" s="275"/>
      <c r="J295" s="234"/>
      <c r="K295" s="285"/>
      <c r="L295" s="284"/>
      <c r="M295" s="235"/>
      <c r="O295" s="245"/>
      <c r="P295" s="245"/>
      <c r="R295" s="239"/>
      <c r="S295" s="239"/>
      <c r="T295" s="239"/>
      <c r="U295" s="239"/>
      <c r="V295" s="239"/>
      <c r="W295" s="239"/>
      <c r="X295" s="239"/>
      <c r="Y295" s="239"/>
      <c r="Z295" s="239"/>
      <c r="AA295" s="239"/>
      <c r="AB295" s="239"/>
      <c r="AC295" s="239"/>
      <c r="AD295" s="239"/>
      <c r="AE295" s="239"/>
      <c r="AF295" s="239"/>
      <c r="AG295" s="239"/>
      <c r="AH295" s="239"/>
      <c r="AI295" s="239"/>
    </row>
    <row r="296" spans="2:35">
      <c r="B296" s="281">
        <f>MAX(B$265:B295)+1</f>
        <v>9</v>
      </c>
      <c r="C296" s="235" t="s">
        <v>572</v>
      </c>
      <c r="D296" s="235"/>
      <c r="E296" s="2476"/>
      <c r="F296" s="2476"/>
      <c r="G296" s="233" t="s">
        <v>495</v>
      </c>
      <c r="H296" s="280"/>
      <c r="I296" s="235"/>
      <c r="J296" s="234"/>
      <c r="K296" s="2446" t="s">
        <v>190</v>
      </c>
      <c r="L296" s="2446"/>
      <c r="M296" s="2446"/>
      <c r="N296" s="2446"/>
      <c r="O296" s="245"/>
      <c r="P296" s="245"/>
      <c r="Q296" s="277">
        <f>IF(N(K$39)=0,0,N(H296)/K$39)</f>
        <v>0</v>
      </c>
      <c r="S296" s="239"/>
      <c r="T296" s="239"/>
      <c r="U296" s="239"/>
      <c r="V296" s="239"/>
      <c r="W296" s="239"/>
      <c r="X296" s="239"/>
      <c r="Y296" s="239"/>
      <c r="Z296" s="239"/>
      <c r="AA296" s="239"/>
      <c r="AB296" s="239"/>
      <c r="AC296" s="239"/>
      <c r="AD296" s="239"/>
      <c r="AE296" s="239"/>
      <c r="AF296" s="239"/>
      <c r="AG296" s="239"/>
      <c r="AH296" s="239"/>
      <c r="AI296" s="239"/>
    </row>
    <row r="297" spans="2:35" ht="12.75" customHeight="1">
      <c r="B297" s="276"/>
      <c r="C297" s="235"/>
      <c r="D297" s="235"/>
      <c r="E297" s="283"/>
      <c r="F297" s="283"/>
      <c r="G297" s="233"/>
      <c r="H297" s="288"/>
      <c r="I297" s="235"/>
      <c r="J297" s="234"/>
      <c r="K297" s="285"/>
      <c r="L297" s="284"/>
      <c r="M297" s="235"/>
      <c r="O297" s="245"/>
      <c r="P297" s="245"/>
      <c r="S297" s="239"/>
      <c r="T297" s="239"/>
      <c r="U297" s="239"/>
      <c r="V297" s="239"/>
      <c r="W297" s="239"/>
      <c r="X297" s="239"/>
      <c r="Y297" s="239"/>
      <c r="Z297" s="239"/>
      <c r="AA297" s="239"/>
      <c r="AB297" s="239"/>
      <c r="AC297" s="239"/>
      <c r="AD297" s="239"/>
      <c r="AE297" s="239"/>
      <c r="AF297" s="239"/>
      <c r="AG297" s="239"/>
      <c r="AH297" s="239"/>
      <c r="AI297" s="239"/>
    </row>
    <row r="298" spans="2:35" ht="12.75" customHeight="1">
      <c r="B298" s="281">
        <f>MAX(B$265:B297)+1</f>
        <v>10</v>
      </c>
      <c r="C298" s="235" t="s">
        <v>594</v>
      </c>
      <c r="D298" s="235"/>
      <c r="E298" s="235"/>
      <c r="F298" s="235"/>
      <c r="G298" s="233" t="s">
        <v>495</v>
      </c>
      <c r="H298" s="804"/>
      <c r="I298" s="235"/>
      <c r="J298" s="234"/>
      <c r="K298" s="285"/>
      <c r="L298" s="284"/>
      <c r="M298" s="235"/>
      <c r="O298" s="245"/>
      <c r="P298" s="245"/>
      <c r="Q298" s="277">
        <f>IF(N(K$39)=0,0,N(H298)/K$39)</f>
        <v>0</v>
      </c>
      <c r="R298" s="2475" t="str">
        <f>IF(ConstrAnalysis_deferredfee&gt;Developer_fee_total,"The Deferred Developer Fee is greater than than the Total Developer Fee.","")</f>
        <v/>
      </c>
      <c r="S298" s="2475"/>
      <c r="T298" s="2475"/>
      <c r="U298" s="2475"/>
      <c r="V298" s="2475"/>
      <c r="W298" s="995"/>
      <c r="X298" s="663"/>
      <c r="Y298" s="239"/>
      <c r="Z298" s="239"/>
      <c r="AA298" s="239"/>
      <c r="AB298" s="239"/>
      <c r="AC298" s="239"/>
      <c r="AD298" s="239"/>
      <c r="AE298" s="239"/>
      <c r="AF298" s="239"/>
      <c r="AG298" s="239"/>
      <c r="AH298" s="239"/>
      <c r="AI298" s="239"/>
    </row>
    <row r="299" spans="2:35">
      <c r="H299" s="275"/>
      <c r="J299" s="234"/>
      <c r="K299" s="285"/>
      <c r="L299" s="284"/>
      <c r="M299" s="235"/>
      <c r="O299" s="245"/>
      <c r="P299" s="245"/>
      <c r="S299" s="239"/>
      <c r="T299" s="239"/>
      <c r="U299" s="239"/>
      <c r="V299" s="239"/>
      <c r="W299" s="239"/>
      <c r="X299" s="239"/>
      <c r="Y299" s="239"/>
      <c r="Z299" s="239"/>
      <c r="AA299" s="239"/>
      <c r="AB299" s="239"/>
      <c r="AC299" s="239"/>
      <c r="AD299" s="239"/>
      <c r="AE299" s="239"/>
      <c r="AF299" s="239"/>
      <c r="AG299" s="239"/>
      <c r="AH299" s="239"/>
      <c r="AI299" s="239"/>
    </row>
    <row r="300" spans="2:35" ht="13.5" thickBot="1">
      <c r="B300" s="278">
        <f>MAX(B$265:B299)+1</f>
        <v>11</v>
      </c>
      <c r="C300" s="242" t="s">
        <v>595</v>
      </c>
      <c r="D300" s="235"/>
      <c r="E300" s="235"/>
      <c r="F300" s="235"/>
      <c r="G300" s="233" t="s">
        <v>495</v>
      </c>
      <c r="H300" s="271" t="str">
        <f>IF(SUM(H265:H299)&lt;1,"",SUM(H265:H299))</f>
        <v/>
      </c>
      <c r="J300" s="235"/>
      <c r="K300" s="270"/>
      <c r="L300" s="235"/>
      <c r="M300" s="235"/>
      <c r="O300" s="245"/>
      <c r="P300" s="245"/>
      <c r="Q300" s="277">
        <f>IF(N(K$39)=0,0,N(H300)/K$39)</f>
        <v>0</v>
      </c>
      <c r="S300" s="239"/>
      <c r="T300" s="239"/>
      <c r="U300" s="239"/>
      <c r="V300" s="239"/>
      <c r="W300" s="239"/>
      <c r="X300" s="239"/>
      <c r="Y300" s="239"/>
      <c r="Z300" s="239"/>
      <c r="AA300" s="239"/>
      <c r="AB300" s="239"/>
      <c r="AC300" s="239"/>
      <c r="AD300" s="239"/>
      <c r="AE300" s="239"/>
      <c r="AF300" s="239"/>
      <c r="AG300" s="239"/>
      <c r="AH300" s="239"/>
      <c r="AI300" s="239"/>
    </row>
    <row r="301" spans="2:35" ht="13" thickTop="1">
      <c r="H301" s="275"/>
      <c r="L301" s="235"/>
      <c r="M301" s="235"/>
      <c r="O301" s="245"/>
      <c r="P301" s="245"/>
    </row>
    <row r="302" spans="2:35" ht="13">
      <c r="B302" s="272" t="s">
        <v>549</v>
      </c>
      <c r="C302" s="242" t="s">
        <v>596</v>
      </c>
      <c r="D302" s="242"/>
      <c r="E302" s="242"/>
      <c r="F302" s="242"/>
      <c r="G302" s="235"/>
      <c r="H302" s="274"/>
      <c r="I302" s="235"/>
      <c r="J302" s="270"/>
      <c r="P302" s="245"/>
    </row>
    <row r="303" spans="2:35" ht="13">
      <c r="B303" s="272"/>
      <c r="C303" s="242"/>
      <c r="D303" s="273" t="str">
        <f>"(B."&amp;TEXT(B300,"0")&amp;". "&amp;C300&amp;", "</f>
        <v xml:space="preserve">(B.11. Total Construction Sources, </v>
      </c>
      <c r="E303" s="242"/>
      <c r="F303" s="242"/>
      <c r="G303" s="235"/>
      <c r="H303" s="274"/>
      <c r="I303" s="235"/>
      <c r="J303" s="270"/>
      <c r="P303" s="247" t="str">
        <f>IF(N(H304)&lt;0,"**","")</f>
        <v/>
      </c>
    </row>
    <row r="304" spans="2:35" ht="13.5" thickBot="1">
      <c r="B304" s="242"/>
      <c r="D304" s="273" t="str">
        <f>" less "&amp;B262&amp;" "&amp;C262&amp;"):"</f>
        <v xml:space="preserve"> less A. Total Development Costs):</v>
      </c>
      <c r="E304" s="242"/>
      <c r="F304" s="242"/>
      <c r="G304" s="272" t="s">
        <v>495</v>
      </c>
      <c r="H304" s="271" t="str">
        <f>IF(AND(N(H300)=0,N(H262)=0),"",N(H300)-N(H262))</f>
        <v/>
      </c>
      <c r="I304" s="235"/>
      <c r="J304" s="270" t="s">
        <v>597</v>
      </c>
      <c r="K304" s="235"/>
      <c r="L304" s="235"/>
      <c r="M304" s="235"/>
      <c r="O304" s="245"/>
      <c r="P304" s="245"/>
      <c r="Q304" s="228" t="str">
        <f>IF(N(H304)=0,"Construction Funding Sources are equal to Total Development Costs.",IF(N(H304)&lt;0,"There is a shortfall in Construction Funding Sources which must be corrected.","There is a surplus of Construction Funding Sources which is permitted at time of Application."))</f>
        <v>Construction Funding Sources are equal to Total Development Costs.</v>
      </c>
    </row>
    <row r="305" spans="1:34" ht="8.15" customHeight="1" thickTop="1">
      <c r="B305" s="242"/>
      <c r="D305" s="273"/>
      <c r="E305" s="242"/>
      <c r="F305" s="242"/>
      <c r="G305" s="272"/>
      <c r="H305" s="1673"/>
      <c r="I305" s="235"/>
      <c r="J305" s="270"/>
      <c r="K305" s="235"/>
      <c r="L305" s="235"/>
      <c r="M305" s="235"/>
      <c r="O305" s="245"/>
      <c r="P305" s="245"/>
    </row>
    <row r="306" spans="1:34" ht="13.5" customHeight="1" thickBot="1">
      <c r="B306" s="242"/>
      <c r="D306" s="273"/>
      <c r="E306" s="242"/>
      <c r="F306" s="242"/>
      <c r="G306" s="272"/>
      <c r="H306" s="1673"/>
      <c r="I306" s="235"/>
      <c r="L306" s="233" t="s">
        <v>1852</v>
      </c>
      <c r="M306" s="2490" t="str">
        <f>IF(ConstrAnalysis_surplus="","",IF(ConstrAnalysis_surplus&gt;=0,"Yes","No"))</f>
        <v/>
      </c>
      <c r="N306" s="2490"/>
      <c r="O306" s="245"/>
      <c r="P306" s="245"/>
    </row>
    <row r="307" spans="1:34" ht="8.15" customHeight="1">
      <c r="O307" s="245"/>
      <c r="P307" s="245"/>
    </row>
    <row r="308" spans="1:34" ht="13.5" thickBot="1">
      <c r="B308" s="242" t="s">
        <v>598</v>
      </c>
      <c r="D308" s="235"/>
      <c r="E308" s="235"/>
      <c r="F308" s="235"/>
      <c r="G308" s="235"/>
      <c r="H308" s="235"/>
      <c r="I308" s="235"/>
      <c r="J308" s="235"/>
      <c r="K308" s="235"/>
      <c r="L308" s="235"/>
      <c r="M308" s="235"/>
      <c r="O308" s="245"/>
      <c r="P308" s="245"/>
    </row>
    <row r="309" spans="1:34" ht="3.75" customHeight="1">
      <c r="A309" s="246"/>
      <c r="B309" s="304"/>
      <c r="C309" s="304"/>
      <c r="D309" s="302"/>
      <c r="E309" s="302"/>
      <c r="F309" s="302"/>
      <c r="G309" s="302"/>
      <c r="H309" s="302"/>
      <c r="I309" s="302"/>
      <c r="J309" s="302"/>
      <c r="K309" s="302"/>
      <c r="L309" s="303"/>
      <c r="M309" s="302"/>
      <c r="N309" s="246"/>
      <c r="O309" s="301"/>
      <c r="P309" s="301"/>
      <c r="Q309" s="2477" t="s">
        <v>700</v>
      </c>
      <c r="R309" s="2478"/>
      <c r="S309" s="2478"/>
      <c r="T309" s="2478"/>
      <c r="U309" s="2478"/>
      <c r="V309" s="2478"/>
      <c r="W309" s="2478"/>
      <c r="X309" s="2478"/>
      <c r="Y309" s="2478"/>
      <c r="Z309" s="2479"/>
    </row>
    <row r="310" spans="1:34" ht="13">
      <c r="B310" s="242" t="str">
        <f>B$2</f>
        <v>RFA 2023-102 DEVELOPMENT COST PRO FORMA</v>
      </c>
      <c r="O310" s="245"/>
      <c r="P310" s="244" t="str">
        <f>IF($P$422=1,"(Page 6 of 8)","(Page 6 of 7)")</f>
        <v>(Page 6 of 7)</v>
      </c>
      <c r="Q310" s="2480"/>
      <c r="R310" s="2481"/>
      <c r="S310" s="2481"/>
      <c r="T310" s="2481"/>
      <c r="U310" s="2481"/>
      <c r="V310" s="2481"/>
      <c r="W310" s="2481"/>
      <c r="X310" s="2481"/>
      <c r="Y310" s="2481"/>
      <c r="Z310" s="2482"/>
    </row>
    <row r="311" spans="1:34" ht="13">
      <c r="B311" s="299"/>
      <c r="C311" s="299"/>
      <c r="D311" s="299"/>
      <c r="E311" s="299"/>
      <c r="F311" s="299"/>
      <c r="G311" s="299"/>
      <c r="H311" s="299"/>
      <c r="I311" s="299"/>
      <c r="J311" s="299"/>
      <c r="K311" s="299"/>
      <c r="L311" s="300"/>
      <c r="M311" s="299"/>
      <c r="O311" s="245"/>
      <c r="P311" s="245"/>
      <c r="Q311" s="2480"/>
      <c r="R311" s="2481"/>
      <c r="S311" s="2481"/>
      <c r="T311" s="2481"/>
      <c r="U311" s="2481"/>
      <c r="V311" s="2481"/>
      <c r="W311" s="2481"/>
      <c r="X311" s="2481"/>
      <c r="Y311" s="2481"/>
      <c r="Z311" s="2482"/>
    </row>
    <row r="312" spans="1:34" ht="13.5" thickBot="1">
      <c r="B312" s="299"/>
      <c r="C312" s="299"/>
      <c r="D312" s="299"/>
      <c r="E312" s="299"/>
      <c r="F312" s="299"/>
      <c r="G312" s="299"/>
      <c r="H312" s="299"/>
      <c r="I312" s="299"/>
      <c r="J312" s="299"/>
      <c r="K312" s="299"/>
      <c r="L312" s="300"/>
      <c r="M312" s="299"/>
      <c r="O312" s="245"/>
      <c r="P312" s="245"/>
      <c r="Q312" s="2483"/>
      <c r="R312" s="2484"/>
      <c r="S312" s="2484"/>
      <c r="T312" s="2484"/>
      <c r="U312" s="2484"/>
      <c r="V312" s="2484"/>
      <c r="W312" s="2484"/>
      <c r="X312" s="2484"/>
      <c r="Y312" s="2484"/>
      <c r="Z312" s="2485"/>
    </row>
    <row r="313" spans="1:34" ht="13">
      <c r="B313" s="242" t="s">
        <v>599</v>
      </c>
      <c r="C313" s="235"/>
      <c r="D313" s="235"/>
      <c r="E313" s="235"/>
      <c r="F313" s="235"/>
      <c r="G313" s="235"/>
      <c r="H313" s="235"/>
      <c r="I313" s="235"/>
      <c r="J313" s="235"/>
      <c r="K313" s="298"/>
      <c r="L313" s="299"/>
      <c r="M313" s="299"/>
      <c r="O313" s="245"/>
      <c r="P313" s="245"/>
    </row>
    <row r="314" spans="1:34" ht="13">
      <c r="B314" s="242"/>
      <c r="C314" s="235"/>
      <c r="D314" s="235"/>
      <c r="E314" s="235"/>
      <c r="F314" s="235"/>
      <c r="G314" s="235"/>
      <c r="H314" s="298" t="s">
        <v>576</v>
      </c>
      <c r="I314" s="298"/>
      <c r="J314" s="235"/>
      <c r="K314" s="2464" t="s">
        <v>577</v>
      </c>
      <c r="L314" s="2464"/>
      <c r="M314" s="2464"/>
      <c r="N314" s="2464"/>
      <c r="O314" s="245"/>
      <c r="P314" s="245"/>
      <c r="Q314" s="290"/>
      <c r="T314" s="239"/>
      <c r="U314" s="239"/>
      <c r="V314" s="239"/>
      <c r="W314" s="239"/>
      <c r="X314" s="239"/>
      <c r="Y314" s="239"/>
      <c r="Z314" s="239"/>
    </row>
    <row r="315" spans="1:34">
      <c r="B315" s="235"/>
      <c r="C315" s="235"/>
      <c r="D315" s="235"/>
      <c r="E315" s="235"/>
      <c r="F315" s="235"/>
      <c r="G315" s="235"/>
      <c r="H315" s="235"/>
      <c r="I315" s="235"/>
      <c r="J315" s="235"/>
      <c r="K315" s="235"/>
      <c r="L315" s="235"/>
      <c r="M315" s="235"/>
      <c r="O315" s="245"/>
      <c r="P315" s="245"/>
      <c r="Q315" s="297"/>
    </row>
    <row r="316" spans="1:34" ht="13">
      <c r="B316" s="272" t="s">
        <v>578</v>
      </c>
      <c r="C316" s="242" t="s">
        <v>579</v>
      </c>
      <c r="D316" s="235"/>
      <c r="E316" s="235"/>
      <c r="F316" s="235"/>
      <c r="G316" s="272" t="s">
        <v>495</v>
      </c>
      <c r="H316" s="296" t="str">
        <f>IF(N201="","",N201)</f>
        <v/>
      </c>
      <c r="I316" s="235"/>
      <c r="J316" s="235"/>
      <c r="K316" s="235"/>
      <c r="L316" s="235"/>
      <c r="M316" s="235"/>
      <c r="O316" s="245"/>
      <c r="Q316" s="295"/>
      <c r="AA316" s="236"/>
    </row>
    <row r="317" spans="1:34" ht="13">
      <c r="B317" s="235"/>
      <c r="C317" s="235"/>
      <c r="D317" s="235"/>
      <c r="E317" s="235"/>
      <c r="F317" s="235"/>
      <c r="G317" s="235"/>
      <c r="H317" s="274"/>
      <c r="I317" s="235"/>
      <c r="J317" s="235"/>
      <c r="K317" s="235"/>
      <c r="L317" s="235"/>
      <c r="M317" s="235"/>
      <c r="O317" s="245"/>
      <c r="P317" s="687" t="s">
        <v>1016</v>
      </c>
      <c r="W317" s="343"/>
      <c r="AD317" s="239"/>
      <c r="AE317" s="239"/>
      <c r="AF317" s="239"/>
      <c r="AG317" s="239"/>
      <c r="AH317" s="239"/>
    </row>
    <row r="318" spans="1:34" ht="13">
      <c r="B318" s="272" t="s">
        <v>547</v>
      </c>
      <c r="C318" s="242" t="s">
        <v>600</v>
      </c>
      <c r="D318" s="235"/>
      <c r="E318" s="235"/>
      <c r="F318" s="235"/>
      <c r="G318" s="235"/>
      <c r="H318" s="274"/>
      <c r="I318" s="235"/>
      <c r="J318" s="235"/>
      <c r="K318" s="235"/>
      <c r="L318" s="235"/>
      <c r="M318" s="235"/>
      <c r="O318" s="245"/>
      <c r="P318" s="688" t="s">
        <v>1015</v>
      </c>
      <c r="Q318" s="294" t="s">
        <v>699</v>
      </c>
      <c r="W318" s="801"/>
      <c r="AD318" s="239"/>
      <c r="AE318" s="239"/>
      <c r="AF318" s="239"/>
      <c r="AG318" s="239"/>
      <c r="AH318" s="239"/>
    </row>
    <row r="319" spans="1:34" ht="12.75" customHeight="1">
      <c r="B319" s="235"/>
      <c r="C319" s="235"/>
      <c r="D319" s="235"/>
      <c r="E319" s="235"/>
      <c r="F319" s="235"/>
      <c r="G319" s="233"/>
      <c r="H319" s="287"/>
      <c r="I319" s="235"/>
      <c r="J319" s="235"/>
      <c r="K319" s="235"/>
      <c r="L319" s="235"/>
      <c r="M319" s="235"/>
      <c r="O319" s="245"/>
      <c r="P319" s="689"/>
      <c r="Q319" s="239"/>
      <c r="W319" s="987"/>
      <c r="AD319" s="239"/>
      <c r="AE319" s="239"/>
      <c r="AF319" s="239"/>
      <c r="AG319" s="239"/>
      <c r="AH319" s="239"/>
    </row>
    <row r="320" spans="1:34" ht="12.75" customHeight="1">
      <c r="B320" s="281">
        <f>MAX(B$319:B319)+1</f>
        <v>1</v>
      </c>
      <c r="C320" s="235" t="str">
        <f>C266</f>
        <v>First Mortgage Financing</v>
      </c>
      <c r="D320" s="235"/>
      <c r="E320" s="235"/>
      <c r="F320" s="235"/>
      <c r="G320" s="233" t="s">
        <v>495</v>
      </c>
      <c r="H320" s="280"/>
      <c r="I320" s="235"/>
      <c r="J320" s="235"/>
      <c r="K320" s="2446" t="s">
        <v>190</v>
      </c>
      <c r="L320" s="2446"/>
      <c r="M320" s="2446"/>
      <c r="N320" s="2446"/>
      <c r="O320" s="245"/>
      <c r="P320" s="1420" t="s">
        <v>2</v>
      </c>
      <c r="Q320" s="277">
        <f>IF(N(K$39)=0,0,N(H320)/K$39)</f>
        <v>0</v>
      </c>
      <c r="R320" s="239"/>
      <c r="X320" s="1077">
        <f>IF(ISERROR(SEARCH("Deferred Development Costs",PermAnalysis__1st_Type)),PermAnalysis__1st_Mtg,0)</f>
        <v>0</v>
      </c>
      <c r="AD320" s="239"/>
      <c r="AE320" s="239"/>
      <c r="AF320" s="239"/>
      <c r="AG320" s="239"/>
      <c r="AH320" s="239"/>
    </row>
    <row r="321" spans="2:34" ht="12.75" customHeight="1">
      <c r="B321" s="235"/>
      <c r="C321" s="235"/>
      <c r="D321" s="235"/>
      <c r="E321" s="235"/>
      <c r="F321" s="235"/>
      <c r="G321" s="233"/>
      <c r="H321" s="288"/>
      <c r="I321" s="235"/>
      <c r="J321" s="235"/>
      <c r="K321" s="270"/>
      <c r="L321" s="270"/>
      <c r="M321" s="270"/>
      <c r="O321" s="245"/>
      <c r="Q321" s="239"/>
      <c r="R321" s="239"/>
      <c r="X321" s="1078"/>
      <c r="AA321" s="292"/>
      <c r="AB321" s="292"/>
      <c r="AD321" s="239"/>
      <c r="AE321" s="239"/>
      <c r="AF321" s="239"/>
      <c r="AG321" s="239"/>
      <c r="AH321" s="239"/>
    </row>
    <row r="322" spans="2:34" ht="13">
      <c r="B322" s="281">
        <f>MAX(B$319:B321)+1</f>
        <v>2</v>
      </c>
      <c r="C322" s="235" t="str">
        <f>C268</f>
        <v>Second Mortgage Financing</v>
      </c>
      <c r="D322" s="235"/>
      <c r="E322" s="235"/>
      <c r="F322" s="235"/>
      <c r="G322" s="233" t="s">
        <v>495</v>
      </c>
      <c r="H322" s="280"/>
      <c r="I322" s="235"/>
      <c r="J322" s="235"/>
      <c r="K322" s="2446" t="s">
        <v>190</v>
      </c>
      <c r="L322" s="2446"/>
      <c r="M322" s="2446"/>
      <c r="N322" s="2446"/>
      <c r="O322" s="245"/>
      <c r="P322" s="1420" t="s">
        <v>2</v>
      </c>
      <c r="Q322" s="277">
        <f>IF(N(K$39)=0,0,N(H322)/K$39)</f>
        <v>0</v>
      </c>
      <c r="R322" s="290"/>
      <c r="X322" s="1079">
        <f>IF(ISERROR(SEARCH("Deferred Development Costs",PermAnalysis__2nd_Type)),PermAnalysis__2nd_Mtg,0)</f>
        <v>0</v>
      </c>
      <c r="AA322" s="291"/>
      <c r="AB322" s="291"/>
      <c r="AD322" s="239"/>
      <c r="AE322" s="239"/>
      <c r="AF322" s="239"/>
      <c r="AG322" s="239"/>
      <c r="AH322" s="239"/>
    </row>
    <row r="323" spans="2:34">
      <c r="B323" s="235"/>
      <c r="C323" s="235"/>
      <c r="D323" s="235"/>
      <c r="E323" s="235"/>
      <c r="F323" s="235"/>
      <c r="G323" s="233"/>
      <c r="H323" s="288"/>
      <c r="I323" s="235"/>
      <c r="J323" s="235"/>
      <c r="K323" s="270"/>
      <c r="L323" s="270"/>
      <c r="M323" s="270"/>
      <c r="O323" s="245"/>
      <c r="P323" s="686"/>
      <c r="Q323" s="239"/>
      <c r="X323" s="1078"/>
      <c r="AA323" s="291"/>
      <c r="AB323" s="291"/>
      <c r="AD323" s="239"/>
      <c r="AE323" s="239"/>
      <c r="AF323" s="239"/>
      <c r="AG323" s="239"/>
      <c r="AH323" s="239"/>
    </row>
    <row r="324" spans="2:34" ht="13">
      <c r="B324" s="281">
        <f>MAX(B$319:B323)+1</f>
        <v>3</v>
      </c>
      <c r="C324" s="235" t="str">
        <f>C270</f>
        <v>Third Mortgage Financing</v>
      </c>
      <c r="D324" s="235"/>
      <c r="E324" s="235"/>
      <c r="F324" s="235"/>
      <c r="G324" s="233" t="s">
        <v>495</v>
      </c>
      <c r="H324" s="280"/>
      <c r="I324" s="235"/>
      <c r="J324" s="235"/>
      <c r="K324" s="2446" t="s">
        <v>190</v>
      </c>
      <c r="L324" s="2446"/>
      <c r="M324" s="2446"/>
      <c r="N324" s="2446"/>
      <c r="O324" s="245"/>
      <c r="P324" s="1420" t="s">
        <v>2</v>
      </c>
      <c r="Q324" s="277">
        <f>IF(N(K$39)=0,0,N(H324)/K$39)</f>
        <v>0</v>
      </c>
      <c r="R324" s="290"/>
      <c r="U324" s="239"/>
      <c r="V324" s="239"/>
      <c r="X324" s="1079">
        <f>IF(ISERROR(SEARCH("Deferred Development Costs",PermAnalysis__3rd_Type)),PermAnalysis__3rd_Mtg,0)</f>
        <v>0</v>
      </c>
      <c r="AD324" s="239"/>
      <c r="AE324" s="239"/>
      <c r="AF324" s="239"/>
      <c r="AG324" s="239"/>
      <c r="AH324" s="239"/>
    </row>
    <row r="325" spans="2:34" ht="13">
      <c r="B325" s="235"/>
      <c r="C325" s="235"/>
      <c r="D325" s="235"/>
      <c r="E325" s="235"/>
      <c r="F325" s="235"/>
      <c r="G325" s="233"/>
      <c r="H325" s="288"/>
      <c r="I325" s="235"/>
      <c r="J325" s="235"/>
      <c r="K325" s="270"/>
      <c r="L325" s="270"/>
      <c r="M325" s="270"/>
      <c r="O325" s="245"/>
      <c r="Q325" s="239"/>
      <c r="R325" s="803"/>
      <c r="T325" s="803"/>
      <c r="U325" s="289"/>
      <c r="V325" s="239"/>
      <c r="X325" s="1080"/>
      <c r="AC325" s="239"/>
      <c r="AD325" s="239"/>
      <c r="AE325" s="239"/>
      <c r="AF325" s="239"/>
      <c r="AG325" s="239"/>
      <c r="AH325" s="239"/>
    </row>
    <row r="326" spans="2:34" ht="12.75" customHeight="1">
      <c r="B326" s="281">
        <f>MAX(B$319:B325)+1</f>
        <v>4</v>
      </c>
      <c r="C326" s="235" t="str">
        <f>C272</f>
        <v>Fourth Mortgage Financing</v>
      </c>
      <c r="D326" s="235"/>
      <c r="E326" s="235"/>
      <c r="F326" s="235"/>
      <c r="G326" s="233" t="s">
        <v>495</v>
      </c>
      <c r="H326" s="280"/>
      <c r="I326" s="235"/>
      <c r="J326" s="270"/>
      <c r="K326" s="2446" t="s">
        <v>190</v>
      </c>
      <c r="L326" s="2446"/>
      <c r="M326" s="2446"/>
      <c r="N326" s="2446"/>
      <c r="O326" s="245"/>
      <c r="P326" s="1420" t="s">
        <v>2</v>
      </c>
      <c r="Q326" s="277">
        <f>IF(N(K$39)=0,0,N(H326)/K$39)</f>
        <v>0</v>
      </c>
      <c r="R326" s="802"/>
      <c r="T326" s="802"/>
      <c r="U326" s="802"/>
      <c r="V326" s="802"/>
      <c r="X326" s="1079">
        <f>IF(ISERROR(SEARCH("Deferred Development Costs",PermAnalysis__4th_Type)),PermAnalysis__4th_Mtg,0)</f>
        <v>0</v>
      </c>
      <c r="Y326" s="802"/>
      <c r="Z326" s="802"/>
      <c r="AA326" s="802"/>
      <c r="AB326" s="802"/>
      <c r="AC326" s="239"/>
      <c r="AD326" s="239"/>
      <c r="AE326" s="239"/>
      <c r="AF326" s="239"/>
      <c r="AG326" s="239"/>
      <c r="AH326" s="239"/>
    </row>
    <row r="327" spans="2:34" ht="12.75" customHeight="1">
      <c r="B327" s="235"/>
      <c r="C327" s="235"/>
      <c r="D327" s="235"/>
      <c r="E327" s="235"/>
      <c r="F327" s="235"/>
      <c r="G327" s="233"/>
      <c r="H327" s="288"/>
      <c r="I327" s="235"/>
      <c r="J327" s="235"/>
      <c r="K327" s="270"/>
      <c r="L327" s="270"/>
      <c r="M327" s="270"/>
      <c r="O327" s="245"/>
      <c r="P327" s="686"/>
      <c r="Q327" s="239"/>
      <c r="R327" s="239"/>
      <c r="T327" s="239"/>
      <c r="U327" s="239"/>
      <c r="V327" s="239"/>
      <c r="X327" s="1079"/>
      <c r="Y327" s="239"/>
      <c r="Z327" s="239"/>
      <c r="AA327" s="239"/>
      <c r="AB327" s="239"/>
      <c r="AC327" s="239"/>
      <c r="AD327" s="239"/>
      <c r="AE327" s="239"/>
      <c r="AF327" s="239"/>
      <c r="AG327" s="239"/>
    </row>
    <row r="328" spans="2:34" ht="12.75" customHeight="1">
      <c r="B328" s="281">
        <f>MAX(B$319:B327)+1</f>
        <v>5</v>
      </c>
      <c r="C328" s="235" t="str">
        <f>C274</f>
        <v>Fifth Mortgage Financing</v>
      </c>
      <c r="D328" s="235"/>
      <c r="E328" s="235"/>
      <c r="F328" s="235"/>
      <c r="G328" s="233" t="s">
        <v>495</v>
      </c>
      <c r="H328" s="280"/>
      <c r="I328" s="235"/>
      <c r="J328" s="235"/>
      <c r="K328" s="2446" t="s">
        <v>190</v>
      </c>
      <c r="L328" s="2446"/>
      <c r="M328" s="2446"/>
      <c r="N328" s="2446"/>
      <c r="O328" s="245"/>
      <c r="P328" s="1420" t="s">
        <v>2</v>
      </c>
      <c r="Q328" s="277">
        <f>IF(N(K$39)=0,0,N(H328)/K$39)</f>
        <v>0</v>
      </c>
      <c r="T328" s="239"/>
      <c r="U328" s="239"/>
      <c r="V328" s="239"/>
      <c r="X328" s="1079">
        <f>IF(ISERROR(SEARCH("Deferred Development Costs",PermAnalysis__5th_Type)),PermAnalysis__5th_Mtg,0)</f>
        <v>0</v>
      </c>
      <c r="Y328" s="239"/>
      <c r="Z328" s="239"/>
      <c r="AA328" s="239"/>
      <c r="AB328" s="239"/>
      <c r="AC328" s="239"/>
      <c r="AD328" s="239"/>
      <c r="AE328" s="239"/>
      <c r="AF328" s="239"/>
      <c r="AG328" s="239"/>
    </row>
    <row r="329" spans="2:34">
      <c r="B329" s="235"/>
      <c r="C329" s="235"/>
      <c r="D329" s="235"/>
      <c r="E329" s="235"/>
      <c r="F329" s="235"/>
      <c r="G329" s="233"/>
      <c r="H329" s="288"/>
      <c r="I329" s="235"/>
      <c r="J329" s="235"/>
      <c r="K329" s="270"/>
      <c r="L329" s="270"/>
      <c r="M329" s="270"/>
      <c r="O329" s="245"/>
      <c r="Q329" s="239"/>
      <c r="R329" s="239"/>
      <c r="T329" s="239"/>
      <c r="X329" s="1078"/>
    </row>
    <row r="330" spans="2:34">
      <c r="B330" s="281">
        <f>MAX(B$319:B329)+1</f>
        <v>6</v>
      </c>
      <c r="C330" s="235" t="str">
        <f>C276</f>
        <v>Sixth Mortgage Financing</v>
      </c>
      <c r="G330" s="233" t="s">
        <v>495</v>
      </c>
      <c r="H330" s="280"/>
      <c r="I330" s="235"/>
      <c r="J330" s="270"/>
      <c r="K330" s="2446" t="s">
        <v>190</v>
      </c>
      <c r="L330" s="2446"/>
      <c r="M330" s="2446"/>
      <c r="N330" s="2446"/>
      <c r="O330" s="245"/>
      <c r="P330" s="1420" t="s">
        <v>2</v>
      </c>
      <c r="Q330" s="277">
        <f>IF(N(K$39)=0,0,N(H330)/K$39)</f>
        <v>0</v>
      </c>
      <c r="R330" s="239"/>
      <c r="T330" s="239"/>
      <c r="X330" s="1079">
        <f>IF(ISERROR(SEARCH("Deferred Development Costs",PermAnalysis__6th_Type)),PermAnalysis__6th_Mtg,0)</f>
        <v>0</v>
      </c>
    </row>
    <row r="331" spans="2:34">
      <c r="B331" s="281"/>
      <c r="C331" s="235"/>
      <c r="D331" s="235"/>
      <c r="E331" s="235"/>
      <c r="F331" s="235"/>
      <c r="G331" s="233"/>
      <c r="H331" s="288"/>
      <c r="I331" s="235"/>
      <c r="J331" s="270"/>
      <c r="K331" s="270"/>
      <c r="L331" s="270"/>
      <c r="M331" s="270"/>
      <c r="O331" s="245"/>
      <c r="Q331" s="239"/>
      <c r="R331" s="239"/>
      <c r="X331" s="1078"/>
    </row>
    <row r="332" spans="2:34">
      <c r="B332" s="281" t="str">
        <f>IF(DS_FHFC_Source_1_Name="","",MAX(B$319:B331)+1)</f>
        <v/>
      </c>
      <c r="C332" s="235" t="str">
        <f>C278</f>
        <v xml:space="preserve"> Financing</v>
      </c>
      <c r="D332" s="235"/>
      <c r="E332" s="235"/>
      <c r="F332" s="235"/>
      <c r="G332" s="233" t="s">
        <v>495</v>
      </c>
      <c r="H332" s="1931" t="str">
        <f>ConstrAnalysis__7th_Mtg</f>
        <v/>
      </c>
      <c r="I332" s="1906"/>
      <c r="J332" s="1909"/>
      <c r="K332" s="2447" t="str">
        <f>ConstrAnalysis__7th_Type</f>
        <v>Enter request on Funding Tab</v>
      </c>
      <c r="L332" s="2447"/>
      <c r="M332" s="2447"/>
      <c r="N332" s="2447"/>
      <c r="O332" s="245"/>
      <c r="Q332" s="277">
        <f>IF(N(K$39)=0,0,N(H332)/K$39)</f>
        <v>0</v>
      </c>
      <c r="R332" s="239" t="str">
        <f>IF(OR(AND(PermAnalysis__7th_Type="FHFC - Workforce",PermAnalysis__7th_Mtg&gt;Max_Workforce),AND(PermAnalysis__7th_Type="FHFC - SAIL",PermAnalysis__7th_Mtg&gt;Max_SAIL),AND(PermAnalysis__7th_Type="FHFC - SAIL ELI",PermAnalysis__7th_Mtg&gt;Funding!$H$50),AND(PermAnalysis__7th_Type="FHFC - HOME",PermAnalysis__7th_Mtg&gt;Funding!$H$69),AND(PermAnalysis__7th_Type="FHFC - Grant",PermAnalysis__7th_Mtg&gt;Funding!$H$122),AND(PermAnalysis__7th_Type="FHFC - TBD",PermAnalysis__7th_Mtg&gt;Funding!$H$159)),"The Request Amount is greater than the maximum allowed.","")</f>
        <v/>
      </c>
      <c r="X332" s="1079" t="str">
        <f>IF(ISERROR(SEARCH("Deferred Development Costs",PermAnalysis__7th_Type)),PermAnalysis__7th_Mtg,0)</f>
        <v/>
      </c>
    </row>
    <row r="333" spans="2:34">
      <c r="B333" s="235"/>
      <c r="C333" s="235"/>
      <c r="D333" s="235"/>
      <c r="E333" s="235"/>
      <c r="F333" s="235"/>
      <c r="G333" s="233"/>
      <c r="H333" s="1932"/>
      <c r="I333" s="1906"/>
      <c r="J333" s="1906"/>
      <c r="K333" s="1909"/>
      <c r="L333" s="1909"/>
      <c r="M333" s="1909"/>
      <c r="N333" s="1906"/>
      <c r="O333" s="245"/>
      <c r="P333" s="245"/>
      <c r="Q333" s="239"/>
      <c r="R333" s="238"/>
      <c r="X333" s="1078"/>
    </row>
    <row r="334" spans="2:34">
      <c r="B334" s="281" t="str">
        <f>IF(DS_FHFC_Source_2_Name="","",MAX(B$319:B333)+1)</f>
        <v/>
      </c>
      <c r="C334" s="235" t="str">
        <f>C280</f>
        <v xml:space="preserve"> Financing</v>
      </c>
      <c r="G334" s="233" t="s">
        <v>495</v>
      </c>
      <c r="H334" s="1931" t="str">
        <f>ConstrAnalysis__8th_Mtg</f>
        <v/>
      </c>
      <c r="I334" s="1906"/>
      <c r="J334" s="1912"/>
      <c r="K334" s="2447" t="str">
        <f>ConstrAnalysis__8th_Type</f>
        <v>Enter request on Funding Tab</v>
      </c>
      <c r="L334" s="2447"/>
      <c r="M334" s="2447"/>
      <c r="N334" s="2447"/>
      <c r="O334" s="245"/>
      <c r="P334" s="245"/>
      <c r="Q334" s="277">
        <f>IF(N(K$39)=0,0,N(H334)/K$39)</f>
        <v>0</v>
      </c>
      <c r="R334" s="239" t="str">
        <f>IF(OR(AND(PermAnalysis__8th_Type="FHFC - Workforce",PermAnalysis__8th_Mtg&gt;Max_Workforce),AND(PermAnalysis__8th_Type="FHFC - SAIL",PermAnalysis__8th_Mtg&gt;Max_SAIL),AND(PermAnalysis__8th_Type="FHFC - SAIL ELI",PermAnalysis__8th_Mtg&gt;Funding!$H$50),AND(PermAnalysis__8th_Type="FHFC - HOME",PermAnalysis__8th_Mtg&gt;Funding!$H$69),AND(PermAnalysis__8th_Type="FHFC - Grant",PermAnalysis__8th_Mtg&gt;Funding!$H$122),AND(PermAnalysis__8th_Type="FHFC - TBD",PermAnalysis__8th_Mtg&gt;Funding!$H$159)),"The Request Amount is greater than the maximum allowed.","")</f>
        <v/>
      </c>
      <c r="X334" s="1079" t="str">
        <f>IF(ISERROR(SEARCH("Deferred Development Costs",PermAnalysis__8th_Type)),PermAnalysis__8th_Mtg,0)</f>
        <v/>
      </c>
    </row>
    <row r="335" spans="2:34">
      <c r="B335" s="235"/>
      <c r="C335" s="235"/>
      <c r="D335" s="235"/>
      <c r="E335" s="235"/>
      <c r="F335" s="235"/>
      <c r="G335" s="233"/>
      <c r="H335" s="1932"/>
      <c r="I335" s="1906"/>
      <c r="J335" s="1912"/>
      <c r="K335" s="1909"/>
      <c r="L335" s="1909"/>
      <c r="M335" s="1909"/>
      <c r="N335" s="1906"/>
      <c r="O335" s="245"/>
      <c r="P335" s="245"/>
      <c r="Q335" s="239"/>
      <c r="X335" s="1078"/>
    </row>
    <row r="336" spans="2:34">
      <c r="B336" s="281" t="str">
        <f>IF(DS_FHFC_Source_3_Name="","",MAX(B$319:B335)+1)</f>
        <v/>
      </c>
      <c r="C336" s="235" t="str">
        <f>C282</f>
        <v xml:space="preserve"> Financing</v>
      </c>
      <c r="D336" s="235"/>
      <c r="E336" s="235"/>
      <c r="F336" s="235"/>
      <c r="G336" s="233" t="s">
        <v>495</v>
      </c>
      <c r="H336" s="1931" t="str">
        <f>ConstrAnalysis__9th_Mtg</f>
        <v/>
      </c>
      <c r="I336" s="1906"/>
      <c r="J336" s="1912"/>
      <c r="K336" s="2447" t="str">
        <f>ConstrAnalysis__9th_Type</f>
        <v>Enter request on Funding Tab</v>
      </c>
      <c r="L336" s="2447"/>
      <c r="M336" s="2447"/>
      <c r="N336" s="2447"/>
      <c r="O336" s="245"/>
      <c r="P336" s="245"/>
      <c r="Q336" s="277">
        <f>IF(N(K$39)=0,0,N(H336)/K$39)</f>
        <v>0</v>
      </c>
      <c r="R336" s="239" t="str">
        <f>IF(OR(AND(PermAnalysis__9th_Type="FHFC - Workforce",PermAnalysis__9th_Mtg&gt;Max_Workforce),AND(PermAnalysis__9th_Type="FHFC - SAIL",PermAnalysis__9th_Mtg&gt;Max_SAIL),AND(PermAnalysis__9th_Type="FHFC - SAIL ELI",PermAnalysis__9th_Mtg&gt;Funding!$H$50),AND(PermAnalysis__9th_Type="FHFC - HOME",PermAnalysis__9th_Mtg&gt;Funding!$H$69),AND(PermAnalysis__9th_Type="FHFC - Grant",PermAnalysis__9th_Mtg&gt;Funding!$H$122),AND(PermAnalysis__9th_Type="FHFC - TBD",PermAnalysis__9th_Mtg&gt;Funding!$H$159)),"The Request Amount is greater than the maximum allowed.","")</f>
        <v/>
      </c>
      <c r="X336" s="1079" t="str">
        <f>IF(ISERROR(SEARCH("Deferred Development Costs",PermAnalysis__9th_Type)),PermAnalysis__9th_Mtg,0)</f>
        <v/>
      </c>
    </row>
    <row r="337" spans="2:24">
      <c r="B337" s="235"/>
      <c r="C337" s="235"/>
      <c r="D337" s="235"/>
      <c r="E337" s="235"/>
      <c r="F337" s="235"/>
      <c r="G337" s="235"/>
      <c r="H337" s="1907"/>
      <c r="I337" s="1906"/>
      <c r="J337" s="1912"/>
      <c r="K337" s="1909"/>
      <c r="L337" s="1909"/>
      <c r="M337" s="1909"/>
      <c r="N337" s="1906"/>
      <c r="O337" s="245"/>
      <c r="P337" s="245"/>
      <c r="Q337" s="239"/>
      <c r="X337" s="1078"/>
    </row>
    <row r="338" spans="2:24">
      <c r="B338" s="281" t="str">
        <f>IF(DS_FHFC_Source_4_Name="","",MAX(B$319:B337)+1)</f>
        <v/>
      </c>
      <c r="C338" s="235" t="str">
        <f>C284</f>
        <v xml:space="preserve"> Financing</v>
      </c>
      <c r="D338" s="235"/>
      <c r="E338" s="235"/>
      <c r="F338" s="235"/>
      <c r="G338" s="233" t="s">
        <v>495</v>
      </c>
      <c r="H338" s="1931" t="str">
        <f>ConstrAnalysis_10th_Mtg</f>
        <v/>
      </c>
      <c r="I338" s="1906"/>
      <c r="J338" s="1912"/>
      <c r="K338" s="2447" t="str">
        <f>ConstrAnalysis_10th_Type</f>
        <v>Enter request on Funding Tab</v>
      </c>
      <c r="L338" s="2447"/>
      <c r="M338" s="2447"/>
      <c r="N338" s="2447"/>
      <c r="O338" s="245"/>
      <c r="P338" s="245"/>
      <c r="Q338" s="277">
        <f>IF(N(K$39)=0,0,N(H338)/K$39)</f>
        <v>0</v>
      </c>
      <c r="R338" s="239" t="str">
        <f>IF(OR(AND(PermAnalysis_10th_Type="FHFC - Workforce",PermAnalysis_10th_Mtg&gt;Max_Workforce),AND(PermAnalysis_10th_Type="FHFC - SAIL",PermAnalysis_10th_Mtg&gt;Max_SAIL),AND(PermAnalysis_10th_Type="FHFC - SAIL ELI",PermAnalysis_10th_Mtg&gt;Funding!$H$50),AND(PermAnalysis_10th_Type="FHFC - HOME",PermAnalysis_10th_Mtg&gt;Funding!$H$69),AND(PermAnalysis_10th_Type="FHFC - Grant",PermAnalysis_10th_Mtg&gt;Funding!$H$122),AND(PermAnalysis_10th_Type="FHFC - TBD",PermAnalysis_10th_Mtg&gt;Funding!$H$159)),"The Request Amount is greater than the maximum allowed.","")</f>
        <v/>
      </c>
      <c r="X338" s="1079" t="str">
        <f>IF(ISERROR(SEARCH("Deferred Development Costs",PermAnalysis_10th_Type)),PermAnalysis_10th_Mtg,0)</f>
        <v/>
      </c>
    </row>
    <row r="339" spans="2:24">
      <c r="B339" s="235"/>
      <c r="C339" s="235"/>
      <c r="D339" s="235"/>
      <c r="E339" s="235"/>
      <c r="F339" s="235"/>
      <c r="G339" s="235"/>
      <c r="H339" s="282"/>
      <c r="I339" s="235"/>
      <c r="J339" s="234"/>
      <c r="K339" s="285"/>
      <c r="L339" s="284"/>
      <c r="M339" s="235"/>
      <c r="O339" s="245"/>
      <c r="P339" s="245"/>
      <c r="X339" s="1078"/>
    </row>
    <row r="340" spans="2:24">
      <c r="B340" s="281">
        <f>MAX(B$319:B339)+1</f>
        <v>7</v>
      </c>
      <c r="C340" s="235" t="s">
        <v>601</v>
      </c>
      <c r="D340" s="235"/>
      <c r="E340" s="235"/>
      <c r="F340" s="235"/>
      <c r="G340" s="233" t="s">
        <v>495</v>
      </c>
      <c r="H340" s="804"/>
      <c r="I340" s="235"/>
      <c r="J340" s="234"/>
      <c r="K340" s="285"/>
      <c r="L340" s="284"/>
      <c r="M340" s="235"/>
      <c r="O340" s="245"/>
      <c r="P340" s="989" t="str">
        <f>IF(AND(OR(Competitive_HC_Request_Amount&gt;0,Non_Competitive_HC_Request_Amount&gt;0),PermAnalysis_HC=0),"**","")</f>
        <v/>
      </c>
      <c r="Q340" s="992">
        <f>IF(N(K$39)=0,0,N(H340)/K$39)</f>
        <v>0</v>
      </c>
      <c r="R340" s="2486" t="s">
        <v>1195</v>
      </c>
      <c r="S340" s="2486"/>
      <c r="T340" s="2486"/>
      <c r="U340" s="2486"/>
      <c r="V340" s="2486"/>
      <c r="W340" s="2486"/>
      <c r="X340" s="1078"/>
    </row>
    <row r="341" spans="2:24">
      <c r="B341" s="286"/>
      <c r="G341" s="233"/>
      <c r="H341" s="282"/>
      <c r="I341" s="235"/>
      <c r="J341" s="234"/>
      <c r="K341" s="285"/>
      <c r="L341" s="284"/>
      <c r="M341" s="235"/>
      <c r="O341" s="245"/>
      <c r="P341" s="245"/>
      <c r="Q341" s="587"/>
      <c r="R341" s="2487"/>
      <c r="S341" s="2487"/>
      <c r="T341" s="2487"/>
      <c r="U341" s="2487"/>
      <c r="V341" s="2487"/>
      <c r="W341" s="2487"/>
      <c r="X341" s="1078"/>
    </row>
    <row r="342" spans="2:24">
      <c r="B342" s="281">
        <f>MAX(B$319:B341)+1</f>
        <v>8</v>
      </c>
      <c r="C342" s="286" t="s">
        <v>572</v>
      </c>
      <c r="D342" s="235"/>
      <c r="E342" s="2476"/>
      <c r="F342" s="2476"/>
      <c r="G342" s="233" t="s">
        <v>495</v>
      </c>
      <c r="H342" s="280"/>
      <c r="I342" s="235"/>
      <c r="J342" s="234"/>
      <c r="K342" s="2446" t="s">
        <v>190</v>
      </c>
      <c r="L342" s="2446"/>
      <c r="M342" s="2446"/>
      <c r="N342" s="2446"/>
      <c r="O342" s="245"/>
      <c r="P342" s="1420" t="s">
        <v>2</v>
      </c>
      <c r="Q342" s="277">
        <f>IF(N(K$39)=0,0,N(H342)/K$39)</f>
        <v>0</v>
      </c>
      <c r="R342" s="239"/>
      <c r="X342" s="1079">
        <f>IF(ISERROR(SEARCH("Deferred Development Costs",PermAnalysis_Other_1_Type)),PermAnalysis_other1,0)</f>
        <v>0</v>
      </c>
    </row>
    <row r="343" spans="2:24">
      <c r="B343" s="235"/>
      <c r="H343" s="275"/>
      <c r="J343" s="234"/>
      <c r="K343" s="285"/>
      <c r="L343" s="284"/>
      <c r="M343" s="235"/>
      <c r="O343" s="245"/>
      <c r="P343" s="711"/>
      <c r="X343" s="1078"/>
    </row>
    <row r="344" spans="2:24">
      <c r="B344" s="281">
        <f>MAX(B$319:B343)+1</f>
        <v>9</v>
      </c>
      <c r="C344" s="235" t="s">
        <v>572</v>
      </c>
      <c r="D344" s="235"/>
      <c r="E344" s="2476"/>
      <c r="F344" s="2476"/>
      <c r="G344" s="233" t="s">
        <v>495</v>
      </c>
      <c r="H344" s="280"/>
      <c r="I344" s="235"/>
      <c r="J344" s="234"/>
      <c r="K344" s="2446" t="s">
        <v>190</v>
      </c>
      <c r="L344" s="2446"/>
      <c r="M344" s="2446"/>
      <c r="N344" s="2446"/>
      <c r="O344" s="245"/>
      <c r="P344" s="1420" t="s">
        <v>2</v>
      </c>
      <c r="Q344" s="277">
        <f>IF(N(K$39)=0,0,N(H344)/K$39)</f>
        <v>0</v>
      </c>
      <c r="X344" s="1079">
        <f>IF(ISERROR(SEARCH("Deferred Development Costs",PermAnalysis_Other_2_Type)),PermAnalysis_other2,0)</f>
        <v>0</v>
      </c>
    </row>
    <row r="345" spans="2:24" ht="12.75" customHeight="1">
      <c r="B345" s="276"/>
      <c r="C345" s="235"/>
      <c r="D345" s="235"/>
      <c r="E345" s="283"/>
      <c r="F345" s="283"/>
      <c r="H345" s="282"/>
      <c r="I345" s="235"/>
      <c r="J345" s="279"/>
      <c r="K345" s="279"/>
      <c r="L345" s="279"/>
      <c r="M345" s="279"/>
      <c r="N345" s="279"/>
      <c r="O345" s="279"/>
      <c r="P345" s="850"/>
      <c r="X345" s="1078"/>
    </row>
    <row r="346" spans="2:24">
      <c r="B346" s="281">
        <f>MAX(B$319:B345)+1</f>
        <v>10</v>
      </c>
      <c r="C346" s="235" t="s">
        <v>594</v>
      </c>
      <c r="D346" s="235"/>
      <c r="E346" s="235"/>
      <c r="F346" s="235"/>
      <c r="G346" s="233" t="s">
        <v>495</v>
      </c>
      <c r="H346" s="804"/>
      <c r="I346" s="235"/>
      <c r="J346" s="279"/>
      <c r="L346" s="235"/>
      <c r="M346" s="235"/>
      <c r="O346" s="279"/>
      <c r="P346" s="279"/>
      <c r="Q346" s="277">
        <f>IF(N(K$39)=0,0,N(H346)/K$39)</f>
        <v>0</v>
      </c>
      <c r="R346" s="2491" t="str">
        <f>IF(PermAnalysis_deferredfee&gt;Developer_fee_total,"The Deferred Developer Fee is greater than than the Total Developer Fee.","")</f>
        <v/>
      </c>
      <c r="S346" s="2491"/>
      <c r="T346" s="2491"/>
      <c r="U346" s="2491"/>
      <c r="V346" s="2491"/>
      <c r="W346" s="994"/>
      <c r="X346" s="1081"/>
    </row>
    <row r="347" spans="2:24">
      <c r="B347" s="235"/>
      <c r="H347" s="275"/>
      <c r="I347" s="235"/>
      <c r="J347" s="279"/>
      <c r="K347" s="279"/>
      <c r="L347" s="279"/>
      <c r="M347" s="279"/>
      <c r="N347" s="279"/>
      <c r="O347" s="279"/>
      <c r="P347" s="279"/>
      <c r="X347" s="1078"/>
    </row>
    <row r="348" spans="2:24" ht="13.5" thickBot="1">
      <c r="B348" s="278">
        <f>MAX(B$319:B347)+1</f>
        <v>11</v>
      </c>
      <c r="C348" s="242" t="s">
        <v>602</v>
      </c>
      <c r="D348" s="235"/>
      <c r="E348" s="235"/>
      <c r="F348" s="235"/>
      <c r="G348" s="233" t="s">
        <v>495</v>
      </c>
      <c r="H348" s="271" t="str">
        <f>IF(SUM(H319:H347)&lt;1,"",SUM(H319:H347))</f>
        <v/>
      </c>
      <c r="L348" s="235"/>
      <c r="M348" s="235"/>
      <c r="O348" s="245"/>
      <c r="P348" s="245"/>
      <c r="Q348" s="277">
        <f>IF(N(K$39)=0,0,N(H348)/K$39)</f>
        <v>0</v>
      </c>
      <c r="X348" s="1082">
        <f>SUM(X320:X344)</f>
        <v>0</v>
      </c>
    </row>
    <row r="349" spans="2:24" ht="13.5" customHeight="1" thickTop="1">
      <c r="B349" s="276"/>
      <c r="C349" s="235"/>
      <c r="D349" s="235"/>
      <c r="E349" s="235"/>
      <c r="F349" s="235"/>
      <c r="G349" s="233"/>
      <c r="H349" s="275"/>
      <c r="L349" s="235"/>
      <c r="M349" s="235"/>
      <c r="O349" s="245"/>
      <c r="P349" s="245"/>
      <c r="W349" s="887"/>
      <c r="X349" s="614"/>
    </row>
    <row r="350" spans="2:24" ht="13">
      <c r="B350" s="272" t="s">
        <v>549</v>
      </c>
      <c r="C350" s="242" t="s">
        <v>603</v>
      </c>
      <c r="D350" s="242"/>
      <c r="E350" s="242"/>
      <c r="F350" s="242"/>
      <c r="G350" s="235"/>
      <c r="H350" s="274"/>
      <c r="I350" s="235"/>
      <c r="J350" s="270"/>
      <c r="K350" s="270"/>
      <c r="L350" s="235"/>
      <c r="M350" s="235"/>
      <c r="O350" s="245"/>
      <c r="P350" s="245"/>
      <c r="W350" s="343"/>
    </row>
    <row r="351" spans="2:24" ht="13">
      <c r="B351" s="272"/>
      <c r="C351" s="242"/>
      <c r="D351" s="273" t="str">
        <f>"(B."&amp;TEXT(B348,"0")&amp;". "&amp;C348&amp;", "</f>
        <v xml:space="preserve">(B.11. Total Permanent Funding Sources, </v>
      </c>
      <c r="E351" s="242"/>
      <c r="F351" s="242"/>
      <c r="G351" s="235"/>
      <c r="H351" s="274"/>
      <c r="I351" s="235"/>
      <c r="J351" s="270"/>
      <c r="K351" s="270"/>
      <c r="L351" s="235"/>
      <c r="M351" s="235"/>
      <c r="O351" s="245"/>
      <c r="P351" s="247" t="str">
        <f>IF(N(H352)&lt;0,"**","")</f>
        <v/>
      </c>
      <c r="W351" s="343"/>
    </row>
    <row r="352" spans="2:24" ht="13.5" thickBot="1">
      <c r="B352" s="272"/>
      <c r="C352" s="242"/>
      <c r="D352" s="273" t="str">
        <f>" less "&amp;B316&amp;" "&amp;C316&amp;"):"</f>
        <v xml:space="preserve"> less A. Total Development Costs):</v>
      </c>
      <c r="E352" s="242"/>
      <c r="F352" s="242"/>
      <c r="G352" s="272" t="s">
        <v>495</v>
      </c>
      <c r="H352" s="271" t="str">
        <f>IF(AND(N(H348)=0,N(H316)=0),"",N(H348)-N(H316))</f>
        <v/>
      </c>
      <c r="I352" s="235"/>
      <c r="J352" s="270" t="s">
        <v>597</v>
      </c>
      <c r="K352" s="235"/>
      <c r="O352" s="245"/>
      <c r="P352" s="245"/>
      <c r="Q352" s="228" t="str">
        <f>IF(N(H352)=0,"Permanent Funding Sources are equal to Total Development Costs.",IF(N(H352)&lt;0,"There is a shortfall in Permanent Funding Sources which must be corrected.","There is a surplus of Permanent Funding Sources which is permitted at time of Application."))</f>
        <v>Permanent Funding Sources are equal to Total Development Costs.</v>
      </c>
      <c r="W352" s="343"/>
    </row>
    <row r="353" spans="1:23" ht="8.15" customHeight="1" thickTop="1">
      <c r="B353" s="272"/>
      <c r="C353" s="242"/>
      <c r="D353" s="273"/>
      <c r="E353" s="242"/>
      <c r="F353" s="242"/>
      <c r="G353" s="272"/>
      <c r="H353" s="1673"/>
      <c r="I353" s="235"/>
      <c r="J353" s="270"/>
      <c r="K353" s="235"/>
      <c r="O353" s="245"/>
      <c r="P353" s="245"/>
      <c r="W353" s="343"/>
    </row>
    <row r="354" spans="1:23" ht="12.75" customHeight="1" thickBot="1">
      <c r="B354" s="272"/>
      <c r="C354" s="242"/>
      <c r="D354" s="273"/>
      <c r="E354" s="242"/>
      <c r="F354" s="242"/>
      <c r="G354" s="272"/>
      <c r="H354" s="1673"/>
      <c r="I354" s="235"/>
      <c r="J354" s="270"/>
      <c r="K354" s="235"/>
      <c r="L354" s="1674" t="s">
        <v>1853</v>
      </c>
      <c r="M354" s="2490" t="str">
        <f>IF(PermAnalysis_surplus="","",IF(PermAnalysis_surplus&gt;=0,"Yes","No"))</f>
        <v/>
      </c>
      <c r="N354" s="2490"/>
      <c r="O354" s="245"/>
      <c r="P354" s="245"/>
      <c r="W354" s="343"/>
    </row>
    <row r="355" spans="1:23" ht="8.15" customHeight="1">
      <c r="B355" s="242"/>
      <c r="C355" s="242"/>
      <c r="D355" s="235"/>
      <c r="E355" s="242"/>
      <c r="F355" s="242"/>
      <c r="G355" s="233"/>
      <c r="I355" s="235"/>
      <c r="J355" s="235"/>
      <c r="K355" s="235"/>
      <c r="O355" s="245"/>
      <c r="P355" s="245"/>
    </row>
    <row r="356" spans="1:23" ht="13.5" thickBot="1">
      <c r="B356" s="242" t="s">
        <v>598</v>
      </c>
      <c r="D356" s="235"/>
      <c r="E356" s="235"/>
      <c r="F356" s="235"/>
      <c r="G356" s="235"/>
      <c r="H356" s="235"/>
      <c r="I356" s="235"/>
      <c r="J356" s="235"/>
      <c r="K356" s="235"/>
      <c r="L356" s="235"/>
      <c r="M356" s="235"/>
      <c r="O356" s="245"/>
      <c r="P356" s="245"/>
    </row>
    <row r="357" spans="1:23" ht="3.75" customHeight="1">
      <c r="A357" s="246"/>
      <c r="B357" s="246"/>
      <c r="C357" s="246"/>
      <c r="D357" s="246"/>
      <c r="E357" s="246"/>
      <c r="F357" s="246"/>
      <c r="G357" s="246"/>
      <c r="H357" s="246"/>
      <c r="I357" s="246"/>
      <c r="J357" s="246"/>
      <c r="K357" s="246"/>
      <c r="L357" s="246"/>
      <c r="M357" s="246"/>
      <c r="N357" s="246"/>
      <c r="O357" s="246"/>
      <c r="P357" s="246"/>
    </row>
    <row r="358" spans="1:23" ht="13">
      <c r="B358" s="242" t="str">
        <f>B$2</f>
        <v>RFA 2023-102 DEVELOPMENT COST PRO FORMA</v>
      </c>
      <c r="O358" s="245"/>
      <c r="P358" s="244" t="str">
        <f>IF($P$422=1,"(Page 7 of 8)","(Page 7 of 7)")</f>
        <v>(Page 7 of 7)</v>
      </c>
    </row>
    <row r="360" spans="1:23">
      <c r="B360" s="243" t="s">
        <v>698</v>
      </c>
      <c r="C360" s="243"/>
      <c r="D360" s="243"/>
      <c r="E360" s="243"/>
      <c r="F360" s="243"/>
      <c r="G360" s="243"/>
      <c r="H360" s="243"/>
      <c r="I360" s="243"/>
      <c r="J360" s="243"/>
      <c r="K360" s="243"/>
      <c r="L360" s="243"/>
      <c r="M360" s="243"/>
      <c r="N360" s="243"/>
      <c r="O360" s="243"/>
      <c r="P360" s="243"/>
    </row>
    <row r="361" spans="1:23">
      <c r="B361" s="243" t="s">
        <v>991</v>
      </c>
      <c r="C361" s="243"/>
      <c r="D361" s="243"/>
      <c r="E361" s="243"/>
      <c r="F361" s="243"/>
      <c r="G361" s="243"/>
      <c r="H361" s="243"/>
      <c r="I361" s="243"/>
      <c r="J361" s="243"/>
      <c r="K361" s="243"/>
      <c r="L361" s="243"/>
      <c r="M361" s="243"/>
      <c r="N361" s="243"/>
      <c r="O361" s="243"/>
      <c r="P361" s="243"/>
    </row>
    <row r="362" spans="1:23">
      <c r="B362" s="243" t="s">
        <v>990</v>
      </c>
      <c r="C362" s="243"/>
      <c r="D362" s="243"/>
      <c r="E362" s="243"/>
      <c r="F362" s="243"/>
      <c r="G362" s="243"/>
      <c r="H362" s="243"/>
      <c r="I362" s="243"/>
      <c r="J362" s="243"/>
      <c r="K362" s="243"/>
      <c r="L362" s="243"/>
      <c r="M362" s="243"/>
      <c r="N362" s="243"/>
      <c r="O362" s="243"/>
      <c r="P362" s="243"/>
    </row>
    <row r="363" spans="1:23">
      <c r="B363" s="243" t="s">
        <v>697</v>
      </c>
      <c r="C363" s="243"/>
      <c r="D363" s="243"/>
      <c r="E363" s="243"/>
      <c r="F363" s="243"/>
      <c r="G363" s="243"/>
      <c r="H363" s="243"/>
      <c r="I363" s="243"/>
      <c r="J363" s="243"/>
      <c r="K363" s="243"/>
      <c r="L363" s="243"/>
      <c r="M363" s="243"/>
      <c r="N363" s="243"/>
      <c r="O363" s="243"/>
      <c r="P363" s="243"/>
    </row>
    <row r="364" spans="1:23">
      <c r="B364" s="243" t="s">
        <v>992</v>
      </c>
      <c r="C364" s="243"/>
      <c r="D364" s="243"/>
      <c r="E364" s="243"/>
      <c r="F364" s="243"/>
      <c r="G364" s="243"/>
      <c r="H364" s="243"/>
      <c r="I364" s="243"/>
      <c r="J364" s="243"/>
      <c r="K364" s="243"/>
      <c r="L364" s="243"/>
      <c r="M364" s="243"/>
      <c r="N364" s="243"/>
      <c r="O364" s="243"/>
      <c r="P364" s="243"/>
    </row>
    <row r="365" spans="1:23">
      <c r="B365" s="243" t="s">
        <v>989</v>
      </c>
    </row>
    <row r="366" spans="1:23" ht="12.5" customHeight="1"/>
    <row r="367" spans="1:23" ht="13">
      <c r="B367" s="242" t="s">
        <v>696</v>
      </c>
      <c r="K367" s="654"/>
      <c r="L367" s="654"/>
      <c r="M367" s="654"/>
      <c r="N367" s="655"/>
    </row>
    <row r="368" spans="1:23" ht="8" customHeight="1"/>
    <row r="369" spans="2:27" s="614" customFormat="1" ht="13">
      <c r="B369" s="650"/>
      <c r="C369" s="614" t="s">
        <v>695</v>
      </c>
      <c r="K369" s="2492" t="str">
        <f>IF(County=DS_Select_One,"County input required",County)</f>
        <v>County input required</v>
      </c>
      <c r="L369" s="2493"/>
      <c r="M369" s="2493"/>
      <c r="N369" s="651" t="str">
        <f>IF(K369="County input required","","("&amp;VLOOKUP(K369,DS_CountyData,2)&amp;" County)")</f>
        <v/>
      </c>
      <c r="Q369" s="652"/>
    </row>
    <row r="370" spans="2:27" ht="9.75" customHeight="1" thickBot="1">
      <c r="B370" s="269"/>
      <c r="N370" s="241"/>
    </row>
    <row r="371" spans="2:27" ht="24.75" customHeight="1">
      <c r="B371" s="268"/>
      <c r="C371" s="267"/>
      <c r="D371" s="2522" t="s">
        <v>993</v>
      </c>
      <c r="E371" s="2523"/>
      <c r="F371" s="2523"/>
      <c r="G371" s="2523"/>
      <c r="H371" s="2523"/>
      <c r="I371" s="2523"/>
      <c r="J371" s="2523"/>
      <c r="K371" s="2523"/>
      <c r="L371" s="2523"/>
      <c r="M371" s="2523"/>
      <c r="N371" s="2524"/>
      <c r="V371" s="258"/>
      <c r="W371" s="258"/>
      <c r="X371" s="259"/>
      <c r="Y371" s="258"/>
    </row>
    <row r="372" spans="2:27" ht="48.75" customHeight="1">
      <c r="B372" s="266"/>
      <c r="C372" s="265"/>
      <c r="D372" s="2494" t="s">
        <v>694</v>
      </c>
      <c r="E372" s="2495"/>
      <c r="F372" s="2495"/>
      <c r="G372" s="2498" t="s">
        <v>693</v>
      </c>
      <c r="H372" s="2499"/>
      <c r="I372" s="2498" t="s">
        <v>692</v>
      </c>
      <c r="J372" s="2500"/>
      <c r="K372" s="2500"/>
      <c r="L372" s="2498" t="s">
        <v>691</v>
      </c>
      <c r="M372" s="2500"/>
      <c r="N372" s="2501"/>
      <c r="V372" s="258"/>
      <c r="W372" s="258"/>
      <c r="X372" s="259"/>
      <c r="Y372" s="258"/>
    </row>
    <row r="373" spans="2:27" ht="20.149999999999999" customHeight="1">
      <c r="B373" s="261"/>
      <c r="C373" s="259"/>
      <c r="D373" s="2496" t="s">
        <v>690</v>
      </c>
      <c r="E373" s="2497"/>
      <c r="F373" s="2497"/>
      <c r="G373" s="2402" t="str">
        <f>IF(AND(Garden_non_ESS_NC_units=0,SiF_Non_ESS_NC_Units=0,Other_Non_ESS_NC_units=0),"",Garden_non_ESS_NC_units+SiF_Non_ESS_NC_Units+Other_Non_ESS_NC_units)</f>
        <v/>
      </c>
      <c r="H373" s="2403" t="str">
        <f>IF(AND(Garden_non_ESS_NC_units=0,SiF_Non_ESS_NC_Units=0,Other_Non_ESS_NC_units=0),"",Garden_non_ESS_NC_units+SiF_Non_ESS_NC_Units+Other_Non_ESS_NC_units)</f>
        <v/>
      </c>
      <c r="I373" s="2399" t="str">
        <f>IF(G373="","",IF(County=DS_Select_One,"County input required",IF(OR(County="Broward",County="Miami-Dade",County="Palm Beach"),DS_SFNCGAW,DS_PFNCGAW)))</f>
        <v/>
      </c>
      <c r="J373" s="2400"/>
      <c r="K373" s="2400"/>
      <c r="L373" s="2407" t="str">
        <f t="shared" ref="L373:L379" si="0">IF(OR(G$380="",G373="",County=DS_Select_One),"",G373*I373/G$380)</f>
        <v/>
      </c>
      <c r="M373" s="2408"/>
      <c r="N373" s="2409"/>
      <c r="Q373" s="239"/>
    </row>
    <row r="374" spans="2:27" ht="20.149999999999999" customHeight="1">
      <c r="B374" s="261"/>
      <c r="C374" s="259"/>
      <c r="D374" s="2496" t="s">
        <v>689</v>
      </c>
      <c r="E374" s="2497"/>
      <c r="F374" s="2497"/>
      <c r="G374" s="2402" t="str">
        <f>IF(AND(Garden_ESS_NC_units=0,SiF_ESS_NC_Units=0,Other_ESS_NC_units=0),"",Garden_ESS_NC_units+SiF_ESS_NC_Units+Other_ESS_NC_units)</f>
        <v/>
      </c>
      <c r="H374" s="2403"/>
      <c r="I374" s="2399" t="str">
        <f>IF(G374="","",IF(County=DS_Select_One,"County input required",IF(OR(County="Broward",County="Miami-Dade",County="Palm Beach"),DS_SFNCGAE,DS_PFNCGAE)))</f>
        <v/>
      </c>
      <c r="J374" s="2401"/>
      <c r="K374" s="2401"/>
      <c r="L374" s="2407" t="str">
        <f t="shared" si="0"/>
        <v/>
      </c>
      <c r="M374" s="2408"/>
      <c r="N374" s="2409"/>
    </row>
    <row r="375" spans="2:27" ht="20.149999999999999" customHeight="1">
      <c r="B375" s="261"/>
      <c r="C375" s="259"/>
      <c r="D375" s="2496" t="s">
        <v>688</v>
      </c>
      <c r="E375" s="2497"/>
      <c r="F375" s="2497"/>
      <c r="G375" s="2402" t="str">
        <f>IF(MR_Non_ESS_NC_units=0,"",MR_Non_ESS_NC_units)</f>
        <v/>
      </c>
      <c r="H375" s="2403"/>
      <c r="I375" s="2399" t="str">
        <f>IF(G375="","",IF(County=DS_Select_One,"County input required",IF(OR(County="Broward",County="Miami-Dade",County="Palm Beach"),DS_SFNCMRW,DS_PFNCMRW)))</f>
        <v/>
      </c>
      <c r="J375" s="2401"/>
      <c r="K375" s="2401"/>
      <c r="L375" s="2394" t="str">
        <f t="shared" si="0"/>
        <v/>
      </c>
      <c r="M375" s="2395"/>
      <c r="N375" s="2396"/>
    </row>
    <row r="376" spans="2:27" ht="20.149999999999999" customHeight="1">
      <c r="B376" s="261"/>
      <c r="C376" s="259"/>
      <c r="D376" s="2496" t="s">
        <v>687</v>
      </c>
      <c r="E376" s="2497"/>
      <c r="F376" s="2497"/>
      <c r="G376" s="2402" t="str">
        <f>IF(MR_ESS_NC_units=0,"",MR_ESS_NC_units)</f>
        <v/>
      </c>
      <c r="H376" s="2403"/>
      <c r="I376" s="2399" t="str">
        <f>IF(G376="","",IF(County=DS_Select_One,"County input required",IF(OR(County="Broward",County="Miami-Dade",County="Palm Beach"),DS_SFNCMRE,DS_PFNCMRE)))</f>
        <v/>
      </c>
      <c r="J376" s="2401"/>
      <c r="K376" s="2401"/>
      <c r="L376" s="2394" t="str">
        <f t="shared" si="0"/>
        <v/>
      </c>
      <c r="M376" s="2395"/>
      <c r="N376" s="2396"/>
      <c r="O376" s="248"/>
      <c r="P376" s="248"/>
      <c r="Q376" s="264"/>
      <c r="R376" s="264"/>
      <c r="S376" s="264"/>
      <c r="T376" s="264"/>
      <c r="U376" s="264"/>
      <c r="Z376" s="264"/>
      <c r="AA376" s="264"/>
    </row>
    <row r="377" spans="2:27" ht="20.149999999999999" customHeight="1">
      <c r="B377" s="261"/>
      <c r="C377" s="259"/>
      <c r="D377" s="2496" t="s">
        <v>686</v>
      </c>
      <c r="E377" s="2497"/>
      <c r="F377" s="2497"/>
      <c r="G377" s="2402" t="str">
        <f>IF(HR_ESS_NC_units=0,"",HR_ESS_NC_units)</f>
        <v/>
      </c>
      <c r="H377" s="2403"/>
      <c r="I377" s="2399" t="str">
        <f>IF(G377="","",IF(County=DS_Select_One,"County input required",IF(OR(County="Broward",County="Miami-Dade",County="Palm Beach"),DS_SFNCHRE,DS_PFNCHRE)))</f>
        <v/>
      </c>
      <c r="J377" s="2401"/>
      <c r="K377" s="2401"/>
      <c r="L377" s="2394" t="str">
        <f t="shared" si="0"/>
        <v/>
      </c>
      <c r="M377" s="2395"/>
      <c r="N377" s="2396"/>
      <c r="O377" s="263"/>
      <c r="P377" s="263"/>
      <c r="Q377" s="240"/>
      <c r="R377" s="240"/>
      <c r="S377" s="259"/>
      <c r="T377" s="240"/>
      <c r="U377" s="240"/>
      <c r="Z377" s="240"/>
      <c r="AA377" s="262"/>
    </row>
    <row r="378" spans="2:27" ht="20.149999999999999" customHeight="1">
      <c r="B378" s="261"/>
      <c r="C378" s="259"/>
      <c r="D378" s="2496" t="s">
        <v>685</v>
      </c>
      <c r="E378" s="2497"/>
      <c r="F378" s="2497"/>
      <c r="G378" s="2402" t="str">
        <f>IF(AND(Garden_ESS_Rehab_units=0,Garden_non_ESS_Rehab_units=0,Other_ESS_Rehab_units=0,Other_non_ESS_Rehab_units=0),"",Garden_ESS_Rehab_units+Garden_non_ESS_Rehab_units+Other_ESS_Rehab_units+Other_non_ESS_Rehab_units)</f>
        <v/>
      </c>
      <c r="H378" s="2403"/>
      <c r="I378" s="2399" t="str">
        <f>IF(G378="","",IF(County=DS_Select_One,"County input required",IF(OR(County="Broward",County="Miami-Dade",County="Palm Beach"),DS_SFRCGA,DS_PFRCGA)))</f>
        <v/>
      </c>
      <c r="J378" s="2401"/>
      <c r="K378" s="2401"/>
      <c r="L378" s="2394" t="str">
        <f t="shared" si="0"/>
        <v/>
      </c>
      <c r="M378" s="2395"/>
      <c r="N378" s="2396"/>
      <c r="O378" s="260"/>
      <c r="P378" s="260"/>
      <c r="Q378" s="258"/>
      <c r="R378" s="258"/>
      <c r="S378" s="259"/>
      <c r="T378" s="258"/>
      <c r="U378" s="258"/>
      <c r="V378" s="258"/>
      <c r="W378" s="258"/>
      <c r="X378" s="259"/>
      <c r="Y378" s="258"/>
      <c r="Z378" s="258"/>
      <c r="AA378" s="257"/>
    </row>
    <row r="379" spans="2:27" ht="20.149999999999999" customHeight="1" thickBot="1">
      <c r="B379" s="261"/>
      <c r="C379" s="259"/>
      <c r="D379" s="2527" t="s">
        <v>684</v>
      </c>
      <c r="E379" s="2528"/>
      <c r="F379" s="2528"/>
      <c r="G379" s="2525" t="str">
        <f>IF(AND(MR_and_HR_ESS_Rehab_units=0,MR_and_HR_non_ESS_Rehab_units=0),"",MR_and_HR_ESS_Rehab_units+MR_and_HR_non_ESS_Rehab_units)</f>
        <v/>
      </c>
      <c r="H379" s="2526"/>
      <c r="I379" s="2517" t="str">
        <f>IF(G379="","",IF(County=DS_Select_One,"County input required",IF(OR(County="Broward",County="Miami-Dade",County="Palm Beach"),DS_SFRCNG,DS_PFRCNG)))</f>
        <v/>
      </c>
      <c r="J379" s="2518"/>
      <c r="K379" s="2519"/>
      <c r="L379" s="2531" t="str">
        <f t="shared" si="0"/>
        <v/>
      </c>
      <c r="M379" s="2532"/>
      <c r="N379" s="2533"/>
      <c r="O379" s="260"/>
      <c r="P379" s="260"/>
      <c r="Q379" s="656"/>
      <c r="R379" s="657"/>
      <c r="S379" s="259"/>
      <c r="T379" s="258"/>
      <c r="U379" s="258"/>
      <c r="V379" s="258"/>
      <c r="W379" s="258"/>
      <c r="X379" s="259"/>
      <c r="Y379" s="258"/>
      <c r="Z379" s="258"/>
      <c r="AA379" s="257"/>
    </row>
    <row r="380" spans="2:27" ht="30" customHeight="1" thickTop="1" thickBot="1">
      <c r="B380" s="255"/>
      <c r="C380" s="256"/>
      <c r="D380" s="2529" t="s">
        <v>683</v>
      </c>
      <c r="E380" s="2530"/>
      <c r="F380" s="2530"/>
      <c r="G380" s="2397" t="str">
        <f>IF(SUM(G373:G379)&gt;0,SUM(G373:G379),"")</f>
        <v/>
      </c>
      <c r="H380" s="2398"/>
      <c r="I380" s="2520"/>
      <c r="J380" s="2521"/>
      <c r="K380" s="2521"/>
      <c r="L380" s="2404" t="str">
        <f>IF(G380="","",SUM(L373:L379))</f>
        <v/>
      </c>
      <c r="M380" s="2405"/>
      <c r="N380" s="2406"/>
      <c r="Q380" s="658"/>
      <c r="R380" s="658"/>
      <c r="S380" s="658"/>
    </row>
    <row r="381" spans="2:27" ht="9.75" customHeight="1">
      <c r="B381" s="255"/>
      <c r="C381" s="254"/>
      <c r="D381" s="2384" t="s">
        <v>682</v>
      </c>
      <c r="E381" s="2384"/>
      <c r="F381" s="2384"/>
      <c r="G381" s="2384"/>
      <c r="H381" s="2384"/>
      <c r="I381" s="2384"/>
      <c r="J381" s="2384"/>
      <c r="K381" s="2384"/>
      <c r="L381" s="2384"/>
      <c r="M381" s="2384"/>
      <c r="N381" s="2384"/>
      <c r="Q381" s="253"/>
      <c r="R381" s="253"/>
      <c r="S381" s="253"/>
    </row>
    <row r="382" spans="2:27" ht="15" customHeight="1">
      <c r="C382" s="659"/>
      <c r="D382" s="2385"/>
      <c r="E382" s="2385"/>
      <c r="F382" s="2385"/>
      <c r="G382" s="2385"/>
      <c r="H382" s="2385"/>
      <c r="I382" s="2385"/>
      <c r="J382" s="2385"/>
      <c r="K382" s="2385"/>
      <c r="L382" s="2385"/>
      <c r="M382" s="2385"/>
      <c r="N382" s="2385"/>
      <c r="O382" s="659"/>
      <c r="Q382" s="644"/>
      <c r="R382" s="644"/>
      <c r="S382" s="644"/>
    </row>
    <row r="383" spans="2:27" ht="12" customHeight="1">
      <c r="B383" s="659"/>
      <c r="C383" s="659"/>
      <c r="D383" s="659"/>
      <c r="E383" s="659"/>
      <c r="F383" s="659"/>
      <c r="G383" s="659"/>
      <c r="H383" s="659"/>
      <c r="I383" s="659"/>
      <c r="J383" s="659"/>
      <c r="K383" s="659"/>
      <c r="L383" s="659"/>
      <c r="M383" s="659"/>
      <c r="N383" s="659"/>
      <c r="O383" s="659"/>
      <c r="Q383" s="644"/>
      <c r="R383" s="644"/>
      <c r="S383" s="644"/>
    </row>
    <row r="384" spans="2:27" ht="13">
      <c r="B384" s="251"/>
      <c r="C384" s="228" t="s">
        <v>681</v>
      </c>
      <c r="L384" s="2392" t="str">
        <f>IF(TDC_Base_Limit=0,"County input required",TDC_Base_Limit)</f>
        <v/>
      </c>
      <c r="M384" s="2392"/>
      <c r="N384" s="2392"/>
    </row>
    <row r="385" spans="2:21" ht="12.5" customHeight="1">
      <c r="B385" s="251"/>
      <c r="K385" s="2391"/>
      <c r="L385" s="2391"/>
      <c r="M385" s="2391"/>
    </row>
    <row r="386" spans="2:21" ht="13">
      <c r="B386" s="251"/>
      <c r="C386" s="228" t="s">
        <v>994</v>
      </c>
    </row>
    <row r="387" spans="2:21" ht="12.5" customHeight="1">
      <c r="K387" s="2391"/>
      <c r="L387" s="2391"/>
      <c r="M387" s="2391"/>
    </row>
    <row r="388" spans="2:21" ht="15" customHeight="1">
      <c r="C388" s="614" t="s">
        <v>915</v>
      </c>
      <c r="D388" s="614"/>
      <c r="E388" s="614"/>
      <c r="F388" s="614"/>
      <c r="G388" s="614"/>
      <c r="H388" s="614"/>
      <c r="I388" s="614"/>
      <c r="J388" s="614"/>
      <c r="K388" s="664" t="s">
        <v>982</v>
      </c>
      <c r="L388" s="2386" t="s">
        <v>984</v>
      </c>
      <c r="M388" s="2386"/>
      <c r="N388" s="2386"/>
      <c r="O388" s="665"/>
      <c r="P388" s="614"/>
      <c r="U388" s="239"/>
    </row>
    <row r="389" spans="2:21" ht="15" customHeight="1">
      <c r="C389" s="614"/>
      <c r="D389" s="614" t="str">
        <f>IF(AND(DS_Add_On_1_Y=1,OR(PHA_land_lease="Yes",PHA_as_Principal="Yes")),"PHA Add-On",IF(AND(DS_Add_On_1_Y=1,HOME_ARP_Request_Amount&gt;0,Total_Units&gt;11),"Requesting HOME-ARP funds from FHFC Add-On",IF(AND(DS_Add_On_2_Y=1,Non_Competitive_HC_Request_Amount&gt;0),"Tax-Exempt Bond Add-On","No applicable Add-Ons")))</f>
        <v>No applicable Add-Ons</v>
      </c>
      <c r="E389" s="614"/>
      <c r="F389" s="614"/>
      <c r="G389" s="614"/>
      <c r="H389" s="614"/>
      <c r="I389" s="614"/>
      <c r="J389" s="614"/>
      <c r="K389" s="1090" t="str">
        <f>IF(AND(DS_Add_On_1_Y=1,OR(PHA_land_lease="Yes",PHA_as_Principal="Yes")),DS_PHA_FED_ADDON,IF(AND(DS_Add_On_1_Y=1,HOME_ARP_Request_Amount&gt;0,Total_Units&gt;11),DS_PHA_FED_ADDON,IF(AND(DS_Add_On_2_Y=1,Non_Competitive_HC_Request_Amount&gt;0),DS_Bond_ADDON,"")))</f>
        <v/>
      </c>
      <c r="L389" s="2387">
        <f>IF(OR($K$369="County input required",N(TDC_Base_Limit)=0),0,IF(N(K389)&gt;0,TDC_Base_Limit+N(K389),TDC_Base_Limit))</f>
        <v>0</v>
      </c>
      <c r="M389" s="2387"/>
      <c r="N389" s="2387"/>
      <c r="O389" s="614"/>
      <c r="P389" s="614"/>
      <c r="Q389" s="614"/>
    </row>
    <row r="390" spans="2:21" ht="15" customHeight="1">
      <c r="C390" s="614"/>
      <c r="D390" s="663" t="str">
        <f>IF(AND(OR($D$389="PHA Add-On",$D$389="Requesting HOME-ARP funds from FHFC Add-On",$D$389="Requesting CDBG-DR funds from FHFC Add-On"),DS_Add_On_2_Y=1,Non_Competitive_HC_Request_Amount&gt;0),"Tax-Exempt Bond Add-On","")</f>
        <v/>
      </c>
      <c r="E390" s="614"/>
      <c r="F390" s="614"/>
      <c r="G390" s="614"/>
      <c r="H390" s="614"/>
      <c r="I390" s="614"/>
      <c r="J390" s="614"/>
      <c r="K390" s="1090" t="str">
        <f>IF(AND(DS_Add_On_2_Y=1,Non_Competitive_HC_Request_Amount&gt;0,D390="Tax-Exempt Bond Add-On"),DS_Bond_ADDON,"")</f>
        <v/>
      </c>
      <c r="L390" s="2387" t="str">
        <f>IF($K$369="County input required","",IF(N(K390)&gt;0,N(K390)+N(L389),""))</f>
        <v/>
      </c>
      <c r="M390" s="2387"/>
      <c r="N390" s="2387"/>
      <c r="O390" s="614"/>
      <c r="P390" s="614"/>
    </row>
    <row r="391" spans="2:21" ht="12.5" customHeight="1">
      <c r="C391" s="614"/>
      <c r="D391" s="614"/>
      <c r="E391" s="614"/>
      <c r="F391" s="614"/>
      <c r="G391" s="614"/>
      <c r="H391" s="614"/>
      <c r="I391" s="614"/>
      <c r="J391" s="614"/>
      <c r="K391" s="651"/>
      <c r="L391" s="651"/>
      <c r="M391" s="651"/>
      <c r="N391" s="614"/>
      <c r="O391" s="614"/>
      <c r="P391" s="614"/>
    </row>
    <row r="392" spans="2:21" ht="15" customHeight="1">
      <c r="C392" s="614" t="s">
        <v>916</v>
      </c>
      <c r="D392" s="614"/>
      <c r="E392" s="614"/>
      <c r="F392" s="614"/>
      <c r="G392" s="614"/>
      <c r="H392" s="614"/>
      <c r="I392" s="614"/>
      <c r="J392" s="614"/>
      <c r="K392" s="664" t="s">
        <v>983</v>
      </c>
      <c r="L392" s="2386" t="s">
        <v>984</v>
      </c>
      <c r="M392" s="2386"/>
      <c r="N392" s="2386"/>
      <c r="O392" s="665"/>
      <c r="P392" s="614"/>
    </row>
    <row r="393" spans="2:21" ht="15" customHeight="1">
      <c r="C393" s="614"/>
      <c r="D393" s="235" t="str">
        <f>IF(AND(County="Monroe",FLKeys_N_S="North Florida Keys Area"),"Geographic Multiplier for North Florida Keys Area",IF(AND(County="Monroe",FLKeys_N_S="South Florida Keys Area"),"Geographic Multiplier for South Florida Keys Area",IF(AND(DS_Multiplier_5_Y=1,ConstrFeaturesMultiplier="Yes"),IF(OR(Demographic="Persons with Developmental Disabilities",Demographic="Persons with a Disabling Condition"),"Non-Geographic Multiplier for Enhanced Construction Features","No applicable Multipliers"),IF(AND(DS_Multiplier_3_Y=1,County&lt;&gt;"Monroe",OR(Demographic="Persons with Developmental Disabilities",Demographic="Persons with a Disabling Condition"),Total_Units&lt;51),"Non-Geographic Multiplier for fewer than 51 Units",IF(AND(DS_Multiplier_4_Y=1,County&lt;&gt;"Monroe",OR(Demographic="Persons with Developmental Disabilities",Demographic="Persons with a Disabling Condition"),AND(Total_Units&gt;50,Total_Units&lt;81)),"Non-Geographic Multiplier for 51 to 80 Units",IF(DS_Multiplier_2_Y=1,IF(Demographic="Persons with Developmental Disabilities","Non-Geographic Multiplier for Persons with Developmental Disabilities",IF(Demographic="Persons with a Disabling Condition","Non-Geographic Multiplier for Persons with a Disabling Condition",IF(Demographic="Persons with Special Needs","Non-Geographic Multiplier for Persons with Special Needs",IF(Demographic="Homeless","Non-Geographic Multiplier for Homeless","No applicable Multipliers")))),IF(AND(DS_Multiplier_1_Y=1,Demographic="Elderly ALF"),"Non-Geographic Multiplier for Elderly ALF","No applicable Multipliers")))))))</f>
        <v>Non-Geographic Multiplier for Persons with Special Needs</v>
      </c>
      <c r="E393" s="614"/>
      <c r="F393" s="614"/>
      <c r="G393" s="614"/>
      <c r="H393" s="614"/>
      <c r="I393" s="614"/>
      <c r="J393" s="614"/>
      <c r="K393" s="1095" t="str">
        <f>IF(OR($K$369="County input required",$D$393="No applicable Multipliers"),"",IF($D$393="Geographic Multiplier for North Florida Keys Area",DS_N_Keys_Multiplier,IF($D$393="Geographic Multiplier for South Florida Keys Area",DS_S_Keys_Multiplier,IF($D$393="Non-Geographic Multiplier for Persons with Developmental Disabilities",DS_Demo_Multiplier,IF($D$393="Non-Geographic Multiplier for Persons with a Disabling Condition",DS_Demo_Multiplier,IF($D$393="Non-Geographic Multiplier for Enhanced Construction Features",DS_Constr_Feat_Multiplier,IF($D$393="Non-Geographic Multiplier for Persons with Special Needs",DS_Demo_Multiplier,IF($D$393="Non-Geographic Multiplier for Homeless",DS_Demo_Multiplier,IF($D$393="Non-Geographic Multiplier for Elderly ALF",DS_Elderly_ALF_Multiplier,IF($D$393="Non-Geographic Multiplier for fewer than 51 Units",DS_PDDDC_51_Multiplier,IF($D$393="Non-Geographic Multiplier for 51 to 80 Units",DS_PDDDC_81_Multiplier,"100%")))))))))))</f>
        <v/>
      </c>
      <c r="L393" s="2388">
        <f>IF($K$369="County input required",0,IF(N(K393)&gt;0,MAX(N(L389),N(L390))/N(K393),MAX(N(L389),N(L390))))</f>
        <v>0</v>
      </c>
      <c r="M393" s="2388"/>
      <c r="N393" s="2388"/>
      <c r="O393" s="614"/>
      <c r="P393" s="614"/>
    </row>
    <row r="394" spans="2:21" ht="15" customHeight="1">
      <c r="D394" s="228" t="str">
        <f>IF(AND(DS_Multiplier_5_Y=1,OR(Demographic="Persons with Developmental Disabilities",Demographic="Persons with a Disabling Condition"),ConstrFeaturesMultiplier="Yes",$D$393&lt;&gt;"Non-Geographic Multiplier for Enhanced Construction Features"),"Non-Geographic Multiplier for Enhanced Construction Features",IF(AND(DS_Multiplier_3_Y=1,County&lt;&gt;"Monroe",OR(Demographic="Persons with Developmental Disabilities",Demographic="Persons with a Disabling Condition"),Total_Units&lt;51,$D$393&lt;&gt;"Non-Geographic Multiplier for fewer than 51 Units"),"Non-Geographic Multiplier for fewer than 51 Units",IF(AND(DS_Multiplier_4_Y=1,County&lt;&gt;"Monroe",OR(Demographic="Persons with Developmental Disabilities",Demographic="Persons with a Disabling Condition"),AND(Total_Units&gt;50,Total_Units&lt;81),$D$393&lt;&gt;"Non-Geographic Multiplier for 51 to 80 Units"),"Non-Geographic Multiplier for 51 to 80 Units",IF(DS_Multiplier_2_Y=1,IF(AND(Demographic="Persons with Developmental Disabilities",$D$393&lt;&gt;"Non-Geographic Multiplier for Persons with Developmental Disabilities"),"Non-Geographic Multiplier for Persons with Developmental Disabilities",IF(AND(Demographic="Persons with a Disabling Condition",$D$393&lt;&gt;"Non-Geographic Multiplier for Persons with a Disabling Condition"),"Non-Geographic Multiplier for Persons with a Disabling Condition",IF(AND(Demographic="Persons with Special Needs",$D$393&lt;&gt;"Non-Geographic Multiplier for Persons with Special Needs"),"Non-Geographic Multiplier for Persons with Special Needs",IF(AND(Demographic="Homeless",$D$393&lt;&gt;"Non-Geographic Multiplier for Homeless"),"Non-Geographic Multiplier for Homeless","")))),IF(AND(DS_Multiplier_1_Y=1,Demographic="Elderly ALF",$D$393&lt;&gt;"Non-Geographic Multiplier for Elderly ALF"),"Non-Geographic Multiplier for Elderly ALF","")))))</f>
        <v/>
      </c>
      <c r="K394" s="1095" t="str">
        <f>IF($K$369="County input required","",IF($D$394="Geographic Multiplier for North Florida Keys Area",DS_N_Keys_Multiplier,IF($D$394="Geographic Multiplier for South Florida Keys Area",DS_S_Keys_Multiplier,IF($D$394="Non-Geographic Multiplier for Persons with Developmental Disabilities",DS_Demo_Multiplier,IF($D$394="Non-Geographic Multiplier for Persons with a Disabling Condition",DS_Demo_Multiplier,IF($D$394="Non-Geographic Multiplier for Enhanced Construction Features",DS_Constr_Feat_Multiplier,IF($D$394="Non-Geographic Multiplier for Persons with Special Needs",DS_Demo_Multiplier,IF($D$394="Non-Geographic Multiplier for Homeless",DS_Demo_Multiplier,IF($D$394="Non-Geographic Multiplier for Elderly ALF",DS_Elderly_ALF_Multiplier,IF($D$394="Non-Geographic Multiplier for fewer than 51 Units",DS_PDDDC_51_Multiplier,IF($D$394="Non-Geographic Multiplier for 51 to 80 Units",DS_PDDDC_81_Multiplier,"")))))))))))</f>
        <v/>
      </c>
      <c r="L394" s="2389" t="str">
        <f>IF($K$369="County input required","",IF(N(K394)&gt;0,N(L393)/N(K394),""))</f>
        <v/>
      </c>
      <c r="M394" s="2389"/>
      <c r="N394" s="2389"/>
    </row>
    <row r="395" spans="2:21" ht="15" customHeight="1">
      <c r="D395" s="228" t="str">
        <f>IF(AND(DS_Multiplier_5_Y=1,OR(Demographic="Persons with Developmental Disabilities",Demographic="Persons with a Disabling Condition"),ConstrFeaturesMultiplier="Yes",$D$393&lt;&gt;"Non-Geographic Multiplier for Enhanced Construction Features",$D$394&lt;&gt;"Non-Geographic Multiplier for Enhanced Construction Features"),"Non-Geographic Multiplier for Enhanced Construction Features",IF(AND(DS_Multiplier_3_Y=1,County&lt;&gt;"Monroe",OR(Demographic="Persons with Developmental Disabilities",Demographic="Persons with a Disabling Condition"),Total_Units&lt;51,$D$393&lt;&gt;"Non-Geographic Multiplier for fewer than 51 Units",$D$394&lt;&gt;"Non-Geographic Multiplier for fewer than 51 Units"),"Non-Geographic Multiplier for fewer than 51 Units",IF(AND(DS_Multiplier_4_Y=1,County&lt;&gt;"Monroe",OR(Demographic="Persons with Developmental Disabilities",Demographic="Persons with a Disabling Condition"),AND(Total_Units&gt;50,Total_Units&lt;81),$D$393&lt;&gt;"Non-Geographic Multiplier for 51 to 80 Units",$D$394&lt;&gt;"Non-Geographic Multiplier for 51 to 80 Units"),"Non-Geographic Multiplier for 51 to 80 Units",IF(DS_Multiplier_2_Y=1,IF(AND(Demographic="Persons with Developmental Disabilities",$D$393&lt;&gt;"Non-Geographic Multiplier for Persons with Developmental Disabilities",$D$394&lt;&gt;"Non-Geographic Multiplier for Persons with Developmental Disabilities"),"Non-Geographic Multiplier for Persons with Developmental Disabilities",IF(AND(Demographic="Persons with a Disabling Condition",$D$393&lt;&gt;"Non-Geographic Multiplier for Persons with a Disabling Condition",$D$394&lt;&gt;"Non-Geographic Multiplier for Persons with a Disabling Condition"),"Non-Geographic Multiplier for Persons with a Disabling Condition",IF(AND(Demographic="Persons with Special Needs",$D$393&lt;&gt;"Non-Geographic Multiplier for Persons with Special Needs",$D$394&lt;&gt;"Non-Geographic Multiplier for Persons with Special Needs"),"Non-Geographic Multiplier for Persons with Special Needs",IF(AND(Demographic="Homeless",$D$393&lt;&gt;"Non-Geographic Multiplier for Homeless",$D$394&lt;&gt;"Non-Geographic Multiplier for Homeless"),"Non-Geographic Multiplier for Homeless","")))),IF(AND(DS_Multiplier_1_Y=1,Demographic="Elderly ALF",$D$393&lt;&gt;"Non-Geographic Multiplier for Elderly ALF",$D$394&lt;&gt;"Non-Geographic Multiplier for Elderly ALF"),"Non-Geographic Multiplier for Elderly ALF","")))))</f>
        <v/>
      </c>
      <c r="K395" s="1095" t="str">
        <f>IF($K$369="County input required","",IF($D$395="Geographic Multiplier for North Florida Keys Area",DS_N_Keys_Multiplier,IF($D$395="Geographic Multiplier for South Florida Keys Area",DS_S_Keys_Multiplier,IF($D$395="Non-Geographic Multiplier for Persons with Developmental Disabilities",DS_Demo_Multiplier,IF($D$395="Non-Geographic Multiplier for Persons with a Disabling Condition",DS_Demo_Multiplier,IF($D$395="Non-Geographic Multiplier for Enhanced Construction Features",DS_Constr_Feat_Multiplier,IF($D$395="Non-Geographic Multiplier for Persons with Special Needs",DS_Demo_Multiplier,IF($D$395="Non-Geographic Multiplier for Homeless",DS_Demo_Multiplier,IF($D$395="Non-Geographic Multiplier for Elderly ALF",DS_Elderly_ALF_Multiplier,IF($D$395="Non-Geographic Multiplier for fewer than 51 Units",DS_PDDDC_51_Multiplier,IF($D$395="Non-Geographic Multiplier for 51 to 80 Units",DS_PDDDC_81_Multiplier,"")))))))))))</f>
        <v/>
      </c>
      <c r="L395" s="2389" t="str">
        <f>IF($K$369="County input required","",IF(N(K395)&gt;0,N(L394)/N(K395),""))</f>
        <v/>
      </c>
      <c r="M395" s="2389"/>
      <c r="N395" s="2389"/>
    </row>
    <row r="396" spans="2:21" ht="12.5" customHeight="1">
      <c r="D396" s="614"/>
      <c r="K396" s="643"/>
      <c r="L396" s="2390"/>
      <c r="M396" s="2390"/>
      <c r="N396" s="2390"/>
    </row>
    <row r="397" spans="2:21" ht="15.75" customHeight="1" thickBot="1">
      <c r="C397" s="252" t="s">
        <v>995</v>
      </c>
      <c r="L397" s="2393" t="str">
        <f>IF(County=DS_Select_One,"County input required",IF(L393&gt;0,MAX(L393:L395),"TBD"))</f>
        <v>County input required</v>
      </c>
      <c r="M397" s="2393"/>
      <c r="N397" s="2393"/>
      <c r="O397" s="628"/>
      <c r="P397" s="628"/>
      <c r="Q397" s="628"/>
      <c r="R397" s="628"/>
      <c r="S397" s="628"/>
    </row>
    <row r="398" spans="2:21" ht="12.5" customHeight="1" thickTop="1">
      <c r="K398" s="2390"/>
      <c r="L398" s="2390"/>
      <c r="M398" s="2390"/>
    </row>
    <row r="399" spans="2:21" ht="13">
      <c r="C399" s="250" t="s">
        <v>680</v>
      </c>
    </row>
    <row r="400" spans="2:21" ht="12.5" customHeight="1">
      <c r="K400" s="2391"/>
      <c r="L400" s="2391"/>
      <c r="M400" s="2391"/>
    </row>
    <row r="401" spans="3:27">
      <c r="C401" s="228" t="s">
        <v>996</v>
      </c>
      <c r="K401" s="660"/>
      <c r="L401" s="2380">
        <f>IF(OR(N(TDC_total)=0,N(TDC_total)="TBD"),0,TDC_total)</f>
        <v>0</v>
      </c>
      <c r="M401" s="2380"/>
      <c r="N401" s="2380"/>
      <c r="O401" s="614"/>
    </row>
    <row r="402" spans="3:27" ht="12.5" customHeight="1">
      <c r="K402" s="661"/>
      <c r="L402" s="919"/>
      <c r="M402" s="919"/>
      <c r="N402" s="614"/>
    </row>
    <row r="403" spans="3:27" ht="13">
      <c r="C403" s="228" t="s">
        <v>997</v>
      </c>
      <c r="K403" s="660"/>
      <c r="L403" s="2380">
        <f>IF(OR(Acquisition_total=0,Acquisition_total=""),0,Acquisition_total)</f>
        <v>0</v>
      </c>
      <c r="M403" s="2380"/>
      <c r="N403" s="2380"/>
      <c r="Q403" s="666"/>
      <c r="R403" s="614"/>
      <c r="S403" s="614"/>
      <c r="T403" s="614"/>
      <c r="U403" s="614"/>
      <c r="V403" s="614"/>
      <c r="W403" s="614"/>
      <c r="X403" s="614"/>
      <c r="Y403" s="614"/>
      <c r="Z403" s="614"/>
      <c r="AA403" s="614"/>
    </row>
    <row r="404" spans="3:27" ht="12.5" customHeight="1">
      <c r="D404" s="249"/>
      <c r="K404" s="661"/>
      <c r="L404" s="920"/>
      <c r="M404" s="920"/>
      <c r="N404" s="614"/>
    </row>
    <row r="405" spans="3:27">
      <c r="C405" s="228" t="s">
        <v>998</v>
      </c>
      <c r="K405" s="660"/>
      <c r="L405" s="2380">
        <f>IF(OR(Land_total=0,Land_total=""),0,Land_total)</f>
        <v>0</v>
      </c>
      <c r="M405" s="2380"/>
      <c r="N405" s="2380"/>
    </row>
    <row r="406" spans="3:27" ht="12.5" customHeight="1">
      <c r="K406" s="661"/>
      <c r="L406" s="919"/>
      <c r="M406" s="919"/>
      <c r="N406" s="614"/>
    </row>
    <row r="407" spans="3:27">
      <c r="C407" s="228" t="s">
        <v>999</v>
      </c>
      <c r="K407" s="660"/>
      <c r="L407" s="2380">
        <f>IF(OR(ODR_total=0,ODR_total=""),0,ODR_total)</f>
        <v>0</v>
      </c>
      <c r="M407" s="2380"/>
      <c r="N407" s="2380"/>
    </row>
    <row r="408" spans="3:27" ht="12.5" customHeight="1">
      <c r="K408" s="661"/>
      <c r="L408" s="919"/>
      <c r="M408" s="919"/>
      <c r="N408" s="614"/>
    </row>
    <row r="409" spans="3:27" ht="13">
      <c r="C409" s="228" t="s">
        <v>1000</v>
      </c>
      <c r="K409" s="660"/>
      <c r="L409" s="2380">
        <f>IF(OR($D$389="PHA Add-On",$D$390="PHA Add-On"),N(Actual_Demolition_total)+N(General_relocation_total),0)</f>
        <v>0</v>
      </c>
      <c r="M409" s="2380"/>
      <c r="N409" s="2380"/>
      <c r="Q409" s="652"/>
    </row>
    <row r="410" spans="3:27" ht="12.5" customHeight="1">
      <c r="K410" s="661"/>
      <c r="L410" s="920"/>
      <c r="M410" s="920"/>
      <c r="N410" s="614"/>
    </row>
    <row r="411" spans="3:27">
      <c r="C411" s="228" t="s">
        <v>1001</v>
      </c>
      <c r="K411" s="660"/>
      <c r="L411" s="2380">
        <f>IF(OR(Actual_Comm_Retail_total=0,Actual_Comm_Retail_total=""),0,Actual_Comm_Retail_total)</f>
        <v>0</v>
      </c>
      <c r="M411" s="2380"/>
      <c r="N411" s="2380"/>
    </row>
    <row r="412" spans="3:27" ht="12.5" customHeight="1">
      <c r="K412" s="661"/>
      <c r="L412" s="920"/>
      <c r="M412" s="920"/>
      <c r="N412" s="614"/>
    </row>
    <row r="413" spans="3:27">
      <c r="C413" s="228" t="s">
        <v>1002</v>
      </c>
      <c r="K413" s="660"/>
      <c r="L413" s="2380">
        <f>L401-L403-L405-L407-L409-L411</f>
        <v>0</v>
      </c>
      <c r="M413" s="2380"/>
      <c r="N413" s="2380"/>
    </row>
    <row r="414" spans="3:27" ht="12.5" customHeight="1">
      <c r="K414" s="661"/>
      <c r="L414" s="919"/>
      <c r="M414" s="919"/>
      <c r="N414" s="614"/>
    </row>
    <row r="415" spans="3:27" ht="13.5" thickBot="1">
      <c r="C415" s="252" t="s">
        <v>1003</v>
      </c>
      <c r="K415" s="660"/>
      <c r="L415" s="2381">
        <f>IF(OR(N(Total_Units)=0,N(Total_Units)=""),0,L413/N(Total_Units))</f>
        <v>0</v>
      </c>
      <c r="M415" s="2381"/>
      <c r="N415" s="2381"/>
    </row>
    <row r="416" spans="3:27" ht="12.5" customHeight="1" thickTop="1">
      <c r="K416" s="661"/>
      <c r="L416" s="661"/>
      <c r="M416" s="661"/>
      <c r="N416" s="614"/>
    </row>
    <row r="417" spans="1:19">
      <c r="C417" s="228" t="s">
        <v>679</v>
      </c>
      <c r="K417" s="660"/>
      <c r="L417" s="2382" t="str">
        <f>IF(AND(N(FO_TDC_PU_Limit)&gt;0,N(L415)&gt;0),IF(L415&lt;=N(FO_TDC_PU_Limit),"Yes","No"),"TBD")</f>
        <v>TBD</v>
      </c>
      <c r="M417" s="2382"/>
      <c r="N417" s="2382"/>
    </row>
    <row r="418" spans="1:19" ht="13">
      <c r="D418" s="228" t="s">
        <v>678</v>
      </c>
      <c r="K418" s="660"/>
      <c r="L418" s="2383"/>
      <c r="M418" s="2383"/>
      <c r="N418" s="2383"/>
      <c r="P418" s="793" t="str">
        <f>IF(L417="No","**","")</f>
        <v/>
      </c>
    </row>
    <row r="419" spans="1:19" ht="6" customHeight="1" thickBot="1"/>
    <row r="420" spans="1:19" ht="3.75" customHeight="1">
      <c r="A420" s="246"/>
      <c r="B420" s="246"/>
      <c r="C420" s="246"/>
      <c r="D420" s="246"/>
      <c r="E420" s="246"/>
      <c r="F420" s="246"/>
      <c r="G420" s="246"/>
      <c r="H420" s="246"/>
      <c r="I420" s="246"/>
      <c r="J420" s="246"/>
      <c r="K420" s="246"/>
      <c r="L420" s="246"/>
      <c r="M420" s="246"/>
      <c r="N420" s="246"/>
      <c r="O420" s="246"/>
      <c r="P420" s="246"/>
    </row>
    <row r="421" spans="1:19" s="772" customFormat="1" ht="12.65" hidden="1" customHeight="1">
      <c r="B421" s="242" t="str">
        <f>B$2</f>
        <v>RFA 2023-102 DEVELOPMENT COST PRO FORMA</v>
      </c>
      <c r="O421" s="245"/>
      <c r="P421" s="244" t="str">
        <f>IF($P$422=1,"(Page 8 of 8)","NA")</f>
        <v>NA</v>
      </c>
      <c r="R421" s="395"/>
      <c r="S421" s="810"/>
    </row>
    <row r="422" spans="1:19" s="772" customFormat="1" ht="12.65" hidden="1" customHeight="1">
      <c r="B422" s="242"/>
      <c r="O422" s="245"/>
      <c r="P422" s="1684">
        <f>Funding!L188</f>
        <v>0</v>
      </c>
    </row>
    <row r="423" spans="1:19" s="772" customFormat="1" ht="12.65" hidden="1" customHeight="1">
      <c r="B423" s="242" t="s">
        <v>1680</v>
      </c>
      <c r="O423" s="245"/>
      <c r="P423" s="773"/>
    </row>
    <row r="424" spans="1:19" s="772" customFormat="1" ht="12.65" hidden="1" customHeight="1">
      <c r="B424" s="242"/>
      <c r="O424" s="245"/>
      <c r="P424" s="773"/>
    </row>
    <row r="425" spans="1:19" s="772" customFormat="1" ht="12.65" hidden="1" customHeight="1">
      <c r="B425" s="887" t="s">
        <v>1128</v>
      </c>
      <c r="C425" s="887"/>
      <c r="D425" s="887"/>
      <c r="E425" s="887"/>
      <c r="F425" s="887"/>
      <c r="G425" s="887"/>
      <c r="H425" s="887"/>
      <c r="I425" s="887"/>
      <c r="J425" s="887"/>
      <c r="K425" s="887"/>
    </row>
    <row r="426" spans="1:19" s="772" customFormat="1" ht="12.65" hidden="1" customHeight="1">
      <c r="B426" s="887" t="s">
        <v>1129</v>
      </c>
      <c r="C426" s="887"/>
      <c r="D426" s="887"/>
      <c r="E426" s="887"/>
      <c r="F426" s="887"/>
      <c r="G426" s="887"/>
      <c r="H426" s="887"/>
      <c r="I426" s="887"/>
      <c r="J426" s="887"/>
      <c r="K426" s="887"/>
    </row>
    <row r="427" spans="1:19" s="772" customFormat="1" ht="12.65" hidden="1" customHeight="1">
      <c r="B427" s="887"/>
      <c r="C427" s="887"/>
      <c r="D427" s="887"/>
      <c r="E427" s="887"/>
      <c r="F427" s="887"/>
      <c r="G427" s="887"/>
      <c r="H427" s="887"/>
      <c r="I427" s="887"/>
      <c r="J427" s="887"/>
      <c r="K427" s="887"/>
    </row>
    <row r="428" spans="1:19" s="772" customFormat="1" ht="12.65" hidden="1" customHeight="1">
      <c r="B428" s="250" t="s">
        <v>1067</v>
      </c>
    </row>
    <row r="429" spans="1:19" s="772" customFormat="1" ht="12.65" hidden="1" customHeight="1"/>
    <row r="430" spans="1:19" s="772" customFormat="1" ht="12.65" hidden="1" customHeight="1">
      <c r="B430" s="687" t="s">
        <v>578</v>
      </c>
      <c r="C430" s="252" t="s">
        <v>1068</v>
      </c>
    </row>
    <row r="431" spans="1:19" s="772" customFormat="1" ht="12.65" hidden="1" customHeight="1">
      <c r="C431" s="772" t="s">
        <v>1108</v>
      </c>
      <c r="L431" s="2504">
        <f>N(Acquisition_total)+N(Land_total)</f>
        <v>0</v>
      </c>
      <c r="M431" s="2504"/>
      <c r="N431" s="2504"/>
    </row>
    <row r="432" spans="1:19" s="772" customFormat="1" ht="12.65" hidden="1" customHeight="1">
      <c r="D432" s="772" t="s">
        <v>1109</v>
      </c>
      <c r="L432" s="2505">
        <f>IF(N(Land_total)&gt;0,N(Land_total),0)</f>
        <v>0</v>
      </c>
      <c r="M432" s="2505"/>
      <c r="N432" s="2505"/>
    </row>
    <row r="433" spans="1:22" s="772" customFormat="1" ht="12.65" hidden="1" customHeight="1">
      <c r="D433" s="772" t="s">
        <v>1110</v>
      </c>
      <c r="L433" s="2505">
        <f>N(Developer_fee_acq_total)</f>
        <v>0</v>
      </c>
      <c r="M433" s="2505"/>
      <c r="N433" s="2505"/>
      <c r="Q433" s="799"/>
    </row>
    <row r="434" spans="1:22" s="772" customFormat="1" ht="12.65" hidden="1" customHeight="1">
      <c r="B434" s="242"/>
      <c r="C434" s="772" t="s">
        <v>1111</v>
      </c>
      <c r="L434" s="2505">
        <f>N(L431)-N(L432)+N(L433)</f>
        <v>0</v>
      </c>
      <c r="M434" s="2505"/>
      <c r="N434" s="2505"/>
    </row>
    <row r="435" spans="1:22" s="772" customFormat="1" ht="12.65" hidden="1" customHeight="1">
      <c r="C435" s="772" t="s">
        <v>1096</v>
      </c>
      <c r="L435" s="2513">
        <f>IF(Minimum_SetAside_per_Sec_42="Average Income Test",AIT_HC_SA_Percent,NonAIT_HC_SA_Percent)</f>
        <v>1</v>
      </c>
      <c r="M435" s="2513"/>
      <c r="N435" s="2513"/>
    </row>
    <row r="436" spans="1:22" s="772" customFormat="1" ht="12.65" hidden="1" customHeight="1">
      <c r="A436" s="774"/>
      <c r="B436" s="774"/>
      <c r="C436" s="774" t="s">
        <v>1112</v>
      </c>
      <c r="D436" s="774"/>
      <c r="E436" s="774"/>
      <c r="F436" s="775"/>
      <c r="G436" s="774"/>
      <c r="H436" s="775"/>
      <c r="I436" s="774"/>
      <c r="J436" s="774"/>
      <c r="K436" s="775"/>
      <c r="L436" s="2514">
        <v>1</v>
      </c>
      <c r="M436" s="2514"/>
      <c r="N436" s="2514"/>
      <c r="O436" s="774"/>
      <c r="P436" s="774"/>
      <c r="Q436" s="774"/>
      <c r="R436" s="774"/>
      <c r="S436" s="774"/>
      <c r="T436" s="774"/>
      <c r="U436" s="774"/>
      <c r="V436" s="774"/>
    </row>
    <row r="437" spans="1:22" s="772" customFormat="1" ht="12.65" hidden="1" customHeight="1">
      <c r="A437" s="774"/>
      <c r="B437" s="774"/>
      <c r="C437" s="774" t="s">
        <v>1113</v>
      </c>
      <c r="D437" s="774"/>
      <c r="E437" s="774"/>
      <c r="F437" s="776"/>
      <c r="G437" s="774"/>
      <c r="H437" s="774"/>
      <c r="I437" s="774"/>
      <c r="J437" s="774"/>
      <c r="K437" s="776"/>
      <c r="L437" s="2505">
        <f>N(L434)*N(L435)*N(L436)</f>
        <v>0</v>
      </c>
      <c r="M437" s="2505"/>
      <c r="N437" s="2505"/>
      <c r="O437" s="774"/>
      <c r="P437" s="774"/>
      <c r="Q437" s="790"/>
      <c r="R437" s="774"/>
      <c r="S437" s="774"/>
      <c r="T437" s="774"/>
      <c r="U437" s="774"/>
      <c r="V437" s="774"/>
    </row>
    <row r="438" spans="1:22" s="772" customFormat="1" ht="12.65" hidden="1" customHeight="1">
      <c r="A438" s="774"/>
      <c r="B438" s="777"/>
      <c r="C438" s="778" t="s">
        <v>1114</v>
      </c>
      <c r="D438" s="777"/>
      <c r="E438" s="777"/>
      <c r="F438" s="779"/>
      <c r="G438" s="774"/>
      <c r="H438" s="1421"/>
      <c r="I438" s="774"/>
      <c r="J438" s="774"/>
      <c r="K438" s="780"/>
      <c r="L438" s="2502">
        <v>0.04</v>
      </c>
      <c r="M438" s="2502"/>
      <c r="N438" s="2502"/>
      <c r="O438" s="774"/>
      <c r="P438" s="774"/>
      <c r="Q438" s="774"/>
      <c r="R438" s="774"/>
      <c r="S438" s="774"/>
      <c r="T438" s="774"/>
      <c r="U438" s="774"/>
      <c r="V438" s="774"/>
    </row>
    <row r="439" spans="1:22" s="772" customFormat="1" ht="12.65" hidden="1" customHeight="1">
      <c r="A439" s="774"/>
      <c r="B439" s="777"/>
      <c r="C439" s="778" t="s">
        <v>1115</v>
      </c>
      <c r="D439" s="777"/>
      <c r="E439" s="782"/>
      <c r="F439" s="779"/>
      <c r="G439" s="774"/>
      <c r="H439" s="1421"/>
      <c r="I439" s="774"/>
      <c r="J439" s="774"/>
      <c r="K439" s="780"/>
      <c r="L439" s="2505">
        <f>N(L437)*N(L438)</f>
        <v>0</v>
      </c>
      <c r="M439" s="2505"/>
      <c r="N439" s="2505"/>
      <c r="O439" s="774"/>
      <c r="P439" s="774"/>
      <c r="Q439" s="783"/>
      <c r="R439" s="783"/>
      <c r="S439" s="783"/>
      <c r="T439" s="783"/>
      <c r="U439" s="783"/>
      <c r="V439" s="783"/>
    </row>
    <row r="440" spans="1:22" s="772" customFormat="1" ht="12.65" hidden="1" customHeight="1">
      <c r="A440" s="774"/>
      <c r="B440" s="777"/>
      <c r="C440" s="777"/>
      <c r="D440" s="777"/>
      <c r="E440" s="777"/>
      <c r="F440" s="779"/>
      <c r="G440" s="774"/>
      <c r="H440" s="1421"/>
      <c r="I440" s="774"/>
      <c r="J440" s="774"/>
      <c r="K440" s="780"/>
      <c r="L440" s="885"/>
      <c r="M440" s="885"/>
      <c r="N440" s="886"/>
      <c r="O440" s="774"/>
      <c r="P440" s="774"/>
      <c r="Q440" s="774"/>
      <c r="R440" s="774"/>
      <c r="S440" s="774"/>
      <c r="T440" s="774"/>
      <c r="U440" s="774"/>
      <c r="V440" s="774"/>
    </row>
    <row r="441" spans="1:22" s="772" customFormat="1" ht="12.65" hidden="1" customHeight="1">
      <c r="A441" s="784"/>
      <c r="B441" s="784"/>
      <c r="C441" s="784"/>
      <c r="D441" s="784"/>
      <c r="E441" s="784"/>
      <c r="F441" s="779"/>
      <c r="G441" s="774"/>
      <c r="H441" s="1421"/>
      <c r="I441" s="774"/>
      <c r="J441" s="774"/>
      <c r="K441" s="780"/>
      <c r="L441" s="885"/>
      <c r="M441" s="885"/>
      <c r="N441" s="886"/>
      <c r="O441" s="774"/>
      <c r="P441" s="774"/>
      <c r="Q441" s="785"/>
      <c r="R441" s="785"/>
      <c r="S441" s="785"/>
      <c r="T441" s="785"/>
      <c r="U441" s="785"/>
      <c r="V441" s="785"/>
    </row>
    <row r="442" spans="1:22" s="772" customFormat="1" ht="12.65" hidden="1" customHeight="1">
      <c r="A442" s="784"/>
      <c r="B442" s="788" t="s">
        <v>547</v>
      </c>
      <c r="C442" s="252" t="s">
        <v>1069</v>
      </c>
      <c r="L442" s="887"/>
      <c r="M442" s="887"/>
      <c r="N442" s="887"/>
      <c r="O442" s="774"/>
      <c r="P442" s="774"/>
      <c r="Q442" s="785"/>
      <c r="R442" s="785"/>
      <c r="S442" s="785"/>
      <c r="T442" s="785"/>
      <c r="U442" s="785"/>
      <c r="V442" s="785"/>
    </row>
    <row r="443" spans="1:22" s="772" customFormat="1" ht="12.65" hidden="1" customHeight="1">
      <c r="A443" s="784"/>
      <c r="B443" s="784"/>
      <c r="C443" s="772" t="s">
        <v>1119</v>
      </c>
      <c r="L443" s="2504">
        <f>N(TDC_total)</f>
        <v>0</v>
      </c>
      <c r="M443" s="2504"/>
      <c r="N443" s="2504"/>
      <c r="O443" s="774"/>
      <c r="P443" s="774"/>
      <c r="Q443" s="786"/>
      <c r="R443" s="786"/>
      <c r="S443" s="786"/>
      <c r="T443" s="786"/>
      <c r="U443" s="786"/>
      <c r="V443" s="786"/>
    </row>
    <row r="444" spans="1:22" s="772" customFormat="1" ht="12.65" hidden="1" customHeight="1">
      <c r="A444" s="784"/>
      <c r="B444" s="784"/>
      <c r="D444" s="772" t="s">
        <v>1070</v>
      </c>
      <c r="L444" s="2505">
        <f>N(Acquisition_total)+N(Land_total)</f>
        <v>0</v>
      </c>
      <c r="M444" s="2505"/>
      <c r="N444" s="2505"/>
      <c r="O444" s="774"/>
      <c r="P444" s="774"/>
      <c r="Q444" s="786"/>
      <c r="R444" s="786"/>
      <c r="S444" s="786"/>
      <c r="T444" s="786"/>
      <c r="U444" s="786"/>
      <c r="V444" s="786"/>
    </row>
    <row r="445" spans="1:22" s="772" customFormat="1" ht="12.65" hidden="1" customHeight="1">
      <c r="A445" s="774"/>
      <c r="B445" s="774"/>
      <c r="D445" s="772" t="s">
        <v>1071</v>
      </c>
      <c r="L445" s="2505">
        <f>IF(N(Developer_fee_acq_total)&gt;0,N(Developer_fee_acq_total),0)</f>
        <v>0</v>
      </c>
      <c r="M445" s="2505"/>
      <c r="N445" s="2505"/>
      <c r="O445" s="781"/>
      <c r="P445" s="781"/>
      <c r="Q445" s="787"/>
      <c r="R445" s="787"/>
      <c r="S445" s="787"/>
      <c r="T445" s="787"/>
      <c r="U445" s="787"/>
      <c r="V445" s="787"/>
    </row>
    <row r="446" spans="1:22" s="772" customFormat="1" ht="12.65" hidden="1" customHeight="1">
      <c r="A446" s="774"/>
      <c r="B446" s="774"/>
      <c r="D446" s="772" t="s">
        <v>1072</v>
      </c>
      <c r="L446" s="2504">
        <f>IF(N(TDC_ineligible)&gt;0,N(TDC_ineligible),0)</f>
        <v>0</v>
      </c>
      <c r="M446" s="2504"/>
      <c r="N446" s="2504"/>
      <c r="O446" s="781"/>
      <c r="P446" s="781"/>
      <c r="Q446" s="787"/>
      <c r="R446" s="787"/>
      <c r="S446" s="787"/>
      <c r="T446" s="787"/>
      <c r="U446" s="787"/>
      <c r="V446" s="787"/>
    </row>
    <row r="447" spans="1:22" s="772" customFormat="1" ht="12.65" hidden="1" customHeight="1">
      <c r="A447" s="774"/>
      <c r="B447" s="774"/>
      <c r="C447" s="772" t="s">
        <v>1118</v>
      </c>
      <c r="L447" s="2504">
        <f>N(L443)-N(L444)-N(L445)-N(L446)</f>
        <v>0</v>
      </c>
      <c r="M447" s="2504"/>
      <c r="N447" s="2504"/>
      <c r="O447" s="781"/>
      <c r="P447" s="781"/>
      <c r="Q447" s="787"/>
      <c r="R447" s="787"/>
      <c r="S447" s="787"/>
      <c r="T447" s="787"/>
      <c r="U447" s="787"/>
      <c r="V447" s="787"/>
    </row>
    <row r="448" spans="1:22" s="772" customFormat="1" ht="12.65" hidden="1" customHeight="1">
      <c r="A448" s="774"/>
      <c r="B448" s="774"/>
      <c r="C448" s="772" t="s">
        <v>1096</v>
      </c>
      <c r="L448" s="2513">
        <f>L435</f>
        <v>1</v>
      </c>
      <c r="M448" s="2513"/>
      <c r="N448" s="2513"/>
      <c r="O448" s="781"/>
      <c r="P448" s="781"/>
      <c r="Q448" s="787"/>
      <c r="R448" s="787"/>
      <c r="S448" s="787"/>
      <c r="T448" s="787"/>
      <c r="U448" s="787"/>
      <c r="V448" s="787"/>
    </row>
    <row r="449" spans="1:22" s="772" customFormat="1" ht="12.65" hidden="1" customHeight="1">
      <c r="A449" s="774"/>
      <c r="B449" s="774"/>
      <c r="C449" s="774" t="s">
        <v>1112</v>
      </c>
      <c r="D449" s="774"/>
      <c r="E449" s="774"/>
      <c r="F449" s="775"/>
      <c r="G449" s="774"/>
      <c r="H449" s="775"/>
      <c r="I449" s="774"/>
      <c r="J449" s="774"/>
      <c r="K449" s="775"/>
      <c r="L449" s="2514" cm="1">
        <f t="array" aca="1" ref="L449" ca="1">IF(OR(Funding!E195:F195="Yes",Funding!E200:F200="Yes",Funding!E208:F208="Yes",Funding!E213:F213="Yes",Funding!E242:G242="Yes",AND(Funding!L184=1,Funding!L188=0,OR(Funding!E222:F222="Yes",Funding!E236:F236="Yes",Funding!E239:F239="Yes"))),1.3,1)</f>
        <v>1</v>
      </c>
      <c r="M449" s="2514"/>
      <c r="N449" s="2514"/>
      <c r="O449" s="781"/>
      <c r="P449" s="781"/>
      <c r="Q449" s="774"/>
      <c r="R449" s="774"/>
      <c r="S449" s="774"/>
      <c r="T449" s="774"/>
      <c r="U449" s="774"/>
      <c r="V449" s="774"/>
    </row>
    <row r="450" spans="1:22" s="772" customFormat="1" ht="12.65" hidden="1" customHeight="1">
      <c r="A450" s="774"/>
      <c r="B450" s="774"/>
      <c r="C450" s="774" t="s">
        <v>1136</v>
      </c>
      <c r="D450" s="774"/>
      <c r="E450" s="774"/>
      <c r="F450" s="776"/>
      <c r="G450" s="774"/>
      <c r="H450" s="774"/>
      <c r="I450" s="774"/>
      <c r="J450" s="774"/>
      <c r="K450" s="776"/>
      <c r="L450" s="2504">
        <f ca="1">N(L447)*N(L448)*N(L449)</f>
        <v>0</v>
      </c>
      <c r="M450" s="2504"/>
      <c r="N450" s="2504"/>
      <c r="O450" s="781"/>
      <c r="P450" s="781"/>
      <c r="Q450" s="805"/>
      <c r="R450" s="774"/>
      <c r="T450" s="774"/>
      <c r="U450" s="774"/>
      <c r="V450" s="774"/>
    </row>
    <row r="451" spans="1:22" ht="12.75" hidden="1" customHeight="1">
      <c r="A451" s="587"/>
      <c r="B451" s="587"/>
      <c r="C451" s="778" t="s">
        <v>1076</v>
      </c>
      <c r="D451" s="777"/>
      <c r="E451" s="777"/>
      <c r="F451" s="779"/>
      <c r="G451" s="774"/>
      <c r="H451" s="1421"/>
      <c r="I451" s="774"/>
      <c r="J451" s="774"/>
      <c r="K451" s="780"/>
      <c r="L451" s="2502">
        <f>IF(AND(Funding!$L$184=0,Funding!$L$188=1),4%,IF(AND(Funding!$L$184=1,Funding!$L$188=0),9%,0%))</f>
        <v>0</v>
      </c>
      <c r="M451" s="2502"/>
      <c r="N451" s="2502"/>
      <c r="O451" s="588"/>
      <c r="P451" s="588"/>
      <c r="Q451" s="790" t="str">
        <f>IF(AND(Funding!$L$184=1,Funding!$L$188=1),"Funding Tab Error","")</f>
        <v/>
      </c>
      <c r="R451" s="587"/>
      <c r="S451" s="587"/>
      <c r="T451" s="587"/>
      <c r="U451" s="587"/>
      <c r="V451" s="587"/>
    </row>
    <row r="452" spans="1:22" ht="12.75" hidden="1" customHeight="1">
      <c r="A452" s="587"/>
      <c r="B452" s="587"/>
      <c r="C452" s="778" t="s">
        <v>1137</v>
      </c>
      <c r="D452" s="777"/>
      <c r="E452" s="782"/>
      <c r="F452" s="779"/>
      <c r="G452" s="774"/>
      <c r="H452" s="1421"/>
      <c r="I452" s="774"/>
      <c r="J452" s="774"/>
      <c r="K452" s="780"/>
      <c r="L452" s="2503">
        <f ca="1">N(L450)*N(L451)</f>
        <v>0</v>
      </c>
      <c r="M452" s="2503"/>
      <c r="N452" s="2503"/>
      <c r="O452" s="588"/>
      <c r="P452" s="588"/>
      <c r="Q452" s="587"/>
      <c r="R452" s="587"/>
      <c r="S452" s="587"/>
      <c r="T452" s="587"/>
      <c r="U452" s="587"/>
      <c r="V452" s="587"/>
    </row>
    <row r="453" spans="1:22" ht="12.75" hidden="1" customHeight="1">
      <c r="A453" s="587"/>
      <c r="B453" s="587"/>
      <c r="C453" s="587"/>
      <c r="D453" s="589"/>
      <c r="E453" s="589"/>
      <c r="F453" s="589"/>
      <c r="G453" s="587"/>
      <c r="H453" s="590"/>
      <c r="I453" s="587"/>
      <c r="J453" s="587"/>
      <c r="K453" s="591"/>
      <c r="L453" s="587"/>
      <c r="M453" s="587"/>
      <c r="N453" s="587"/>
      <c r="O453" s="587"/>
      <c r="P453" s="587"/>
      <c r="Q453" s="587"/>
      <c r="R453" s="587"/>
      <c r="S453" s="587"/>
      <c r="T453" s="587"/>
      <c r="U453" s="587"/>
      <c r="V453" s="587"/>
    </row>
    <row r="454" spans="1:22" ht="12.75" hidden="1" customHeight="1" thickBot="1">
      <c r="C454" s="789" t="s">
        <v>1073</v>
      </c>
      <c r="L454" s="2507">
        <f ca="1">N(L439)+N(L452)</f>
        <v>0</v>
      </c>
      <c r="M454" s="2507"/>
      <c r="N454" s="2507"/>
      <c r="V454" s="239"/>
    </row>
    <row r="455" spans="1:22" ht="12.75" hidden="1" customHeight="1" thickTop="1">
      <c r="L455" s="614"/>
      <c r="M455" s="614"/>
      <c r="N455" s="614"/>
    </row>
    <row r="456" spans="1:22" ht="12.75" hidden="1" customHeight="1">
      <c r="L456" s="614"/>
      <c r="M456" s="614"/>
      <c r="N456" s="614"/>
    </row>
    <row r="457" spans="1:22" ht="12.75" hidden="1" customHeight="1">
      <c r="B457" s="250" t="s">
        <v>1074</v>
      </c>
      <c r="L457" s="614"/>
      <c r="M457" s="614"/>
      <c r="N457" s="614"/>
    </row>
    <row r="458" spans="1:22" hidden="1">
      <c r="C458" s="772" t="s">
        <v>1075</v>
      </c>
      <c r="D458" s="772"/>
      <c r="E458" s="772"/>
      <c r="F458" s="772"/>
      <c r="G458" s="772"/>
      <c r="H458" s="772"/>
      <c r="I458" s="772"/>
      <c r="J458" s="772"/>
      <c r="K458" s="772"/>
      <c r="L458" s="2504">
        <f>IF(N(TDC_total)=0,0,TDC_total)</f>
        <v>0</v>
      </c>
      <c r="M458" s="2504"/>
      <c r="N458" s="2504"/>
    </row>
    <row r="459" spans="1:22" hidden="1">
      <c r="D459" s="772" t="s">
        <v>1077</v>
      </c>
      <c r="E459" s="772"/>
      <c r="F459" s="772"/>
      <c r="G459" s="772"/>
      <c r="H459" s="772"/>
      <c r="I459" s="772"/>
      <c r="J459" s="772"/>
      <c r="K459" s="772"/>
      <c r="L459" s="2505">
        <f>Total_NonGrant_Mtg</f>
        <v>0</v>
      </c>
      <c r="M459" s="2505"/>
      <c r="N459" s="2505"/>
      <c r="Q459" s="283"/>
    </row>
    <row r="460" spans="1:22" hidden="1">
      <c r="C460" s="772" t="s">
        <v>1135</v>
      </c>
      <c r="D460" s="772"/>
      <c r="E460" s="772"/>
      <c r="F460" s="772"/>
      <c r="G460" s="772"/>
      <c r="H460" s="772"/>
      <c r="I460" s="772"/>
      <c r="J460" s="772"/>
      <c r="K460" s="772"/>
      <c r="L460" s="2505">
        <f>N(L458)-N(L459)</f>
        <v>0</v>
      </c>
      <c r="M460" s="2505"/>
      <c r="N460" s="2505"/>
    </row>
    <row r="461" spans="1:22" ht="13" hidden="1">
      <c r="C461" s="772" t="s">
        <v>1078</v>
      </c>
      <c r="D461" s="772"/>
      <c r="E461" s="772"/>
      <c r="F461" s="772"/>
      <c r="G461" s="772"/>
      <c r="H461" s="772"/>
      <c r="I461" s="772"/>
      <c r="J461" s="772"/>
      <c r="K461" s="772"/>
      <c r="L461" s="2508">
        <v>0.99990000000000001</v>
      </c>
      <c r="M461" s="2508"/>
      <c r="N461" s="2508"/>
      <c r="Q461" s="801" t="s">
        <v>1092</v>
      </c>
    </row>
    <row r="462" spans="1:22" hidden="1">
      <c r="C462" s="772" t="s">
        <v>1079</v>
      </c>
      <c r="D462" s="772"/>
      <c r="E462" s="772"/>
      <c r="F462" s="772"/>
      <c r="G462" s="772"/>
      <c r="H462" s="772"/>
      <c r="I462" s="772"/>
      <c r="J462" s="772"/>
      <c r="K462" s="772"/>
      <c r="L462" s="2509" t="str">
        <f>IF(AND(N(Competitive_HC_Request_Amount)=0,N(Non_Competitive_HC_Request_Amount)=0),"TBD",PermAnalysis_HC/(IF(N(L451)=9%,Competitive_HC_Request_Amount,Non_Competitive_HC_Request_Amount)*10*Percent_Credits_Purchased))</f>
        <v>TBD</v>
      </c>
      <c r="M462" s="2509"/>
      <c r="N462" s="2509"/>
    </row>
    <row r="463" spans="1:22" hidden="1">
      <c r="C463" s="772" t="s">
        <v>1080</v>
      </c>
      <c r="D463" s="772"/>
      <c r="E463" s="772"/>
      <c r="F463" s="772"/>
      <c r="G463" s="772"/>
      <c r="H463" s="772"/>
      <c r="I463" s="772"/>
      <c r="J463" s="772"/>
      <c r="K463" s="772"/>
      <c r="L463" s="2505" t="str">
        <f>IF(OR(L462=0,L462="TBD"),"TBD",N(L460)/N(L461)/N(L462))</f>
        <v>TBD</v>
      </c>
      <c r="M463" s="2505"/>
      <c r="N463" s="2505"/>
      <c r="Q463" s="791"/>
    </row>
    <row r="464" spans="1:22" ht="13" hidden="1" thickBot="1">
      <c r="C464" s="772" t="s">
        <v>1133</v>
      </c>
      <c r="D464" s="772"/>
      <c r="E464" s="772"/>
      <c r="F464" s="772"/>
      <c r="G464" s="772"/>
      <c r="H464" s="772"/>
      <c r="I464" s="772"/>
      <c r="J464" s="772"/>
      <c r="K464" s="772"/>
      <c r="L464" s="2510" t="str">
        <f>IF(L463="TBD","TBD",N(L463)/10)</f>
        <v>TBD</v>
      </c>
      <c r="M464" s="2510"/>
      <c r="N464" s="2510"/>
      <c r="U464" s="800"/>
    </row>
    <row r="465" spans="2:17" ht="13" hidden="1" thickTop="1">
      <c r="L465" s="614"/>
      <c r="M465" s="614"/>
      <c r="N465" s="614"/>
    </row>
    <row r="466" spans="2:17" hidden="1">
      <c r="L466" s="614"/>
      <c r="M466" s="614"/>
      <c r="N466" s="614"/>
    </row>
    <row r="467" spans="2:17" ht="13" hidden="1">
      <c r="B467" s="250" t="s">
        <v>1081</v>
      </c>
      <c r="L467" s="614"/>
      <c r="M467" s="614"/>
      <c r="N467" s="614"/>
    </row>
    <row r="468" spans="2:17" hidden="1">
      <c r="C468" s="772" t="s">
        <v>1082</v>
      </c>
      <c r="D468" s="772"/>
      <c r="E468" s="772"/>
      <c r="F468" s="772"/>
      <c r="G468" s="772"/>
      <c r="H468" s="772"/>
      <c r="I468" s="772"/>
      <c r="J468" s="772"/>
      <c r="K468" s="772"/>
      <c r="L468" s="2503">
        <f ca="1">N(L454)</f>
        <v>0</v>
      </c>
      <c r="M468" s="2503"/>
      <c r="N468" s="2503"/>
    </row>
    <row r="469" spans="2:17" hidden="1">
      <c r="C469" s="772" t="s">
        <v>1134</v>
      </c>
      <c r="D469" s="772"/>
      <c r="E469" s="772"/>
      <c r="F469" s="772"/>
      <c r="G469" s="772"/>
      <c r="H469" s="772"/>
      <c r="I469" s="772"/>
      <c r="J469" s="772"/>
      <c r="K469" s="772"/>
      <c r="L469" s="2511">
        <f>N(L464)</f>
        <v>0</v>
      </c>
      <c r="M469" s="2511"/>
      <c r="N469" s="2511"/>
      <c r="Q469" s="283"/>
    </row>
    <row r="470" spans="2:17" ht="13" hidden="1">
      <c r="C470" s="252" t="s">
        <v>1083</v>
      </c>
      <c r="D470" s="252"/>
      <c r="E470" s="252"/>
      <c r="F470" s="252"/>
      <c r="G470" s="252"/>
      <c r="H470" s="252"/>
      <c r="I470" s="252"/>
      <c r="J470" s="252"/>
      <c r="K470" s="252"/>
      <c r="L470" s="2512">
        <f ca="1">MIN(N(L468),N(L469))</f>
        <v>0</v>
      </c>
      <c r="M470" s="2512"/>
      <c r="N470" s="2512"/>
    </row>
    <row r="471" spans="2:17" hidden="1">
      <c r="C471" s="772" t="s">
        <v>1084</v>
      </c>
      <c r="D471" s="772"/>
      <c r="E471" s="772"/>
      <c r="F471" s="772"/>
      <c r="G471" s="772"/>
      <c r="H471" s="772"/>
      <c r="I471" s="772"/>
      <c r="J471" s="772"/>
      <c r="K471" s="772"/>
      <c r="L471" s="2511">
        <f ca="1">N(L470)*N(L461)*N(L462)*10</f>
        <v>0</v>
      </c>
      <c r="M471" s="2511"/>
      <c r="N471" s="2511"/>
    </row>
    <row r="472" spans="2:17" hidden="1"/>
    <row r="473" spans="2:17" hidden="1"/>
    <row r="474" spans="2:17" ht="13" hidden="1">
      <c r="B474" s="250" t="s">
        <v>1085</v>
      </c>
    </row>
    <row r="475" spans="2:17" hidden="1">
      <c r="C475" s="772" t="s">
        <v>1086</v>
      </c>
      <c r="D475" s="772"/>
      <c r="E475" s="772"/>
      <c r="F475" s="772"/>
      <c r="G475" s="772"/>
      <c r="H475" s="772"/>
      <c r="I475" s="772"/>
      <c r="J475" s="772"/>
      <c r="K475" s="772"/>
      <c r="L475" s="2504">
        <f>IF(N(TDC_eligible)&gt;0,N(TDC_eligible)+N(Actual_Comm_Retail_total),0)</f>
        <v>0</v>
      </c>
      <c r="M475" s="2504"/>
      <c r="N475" s="2504"/>
    </row>
    <row r="476" spans="2:17" hidden="1">
      <c r="D476" s="772" t="s">
        <v>1087</v>
      </c>
      <c r="E476" s="772"/>
      <c r="F476" s="772"/>
      <c r="G476" s="772"/>
      <c r="H476" s="772"/>
      <c r="I476" s="772"/>
      <c r="J476" s="772"/>
      <c r="K476" s="772"/>
      <c r="L476" s="2505">
        <f>IF(N(Land_total)&gt;0,N(Land_total),0)</f>
        <v>0</v>
      </c>
      <c r="M476" s="2505"/>
      <c r="N476" s="2505"/>
      <c r="Q476" s="283"/>
    </row>
    <row r="477" spans="2:17" hidden="1">
      <c r="C477" s="772" t="s">
        <v>1088</v>
      </c>
      <c r="D477" s="772"/>
      <c r="E477" s="772"/>
      <c r="F477" s="772"/>
      <c r="G477" s="772"/>
      <c r="H477" s="772"/>
      <c r="I477" s="772"/>
      <c r="J477" s="772"/>
      <c r="K477" s="772"/>
      <c r="L477" s="2505">
        <f>N(L475)+N(L476)</f>
        <v>0</v>
      </c>
      <c r="M477" s="2505"/>
      <c r="N477" s="2505"/>
    </row>
    <row r="478" spans="2:17" hidden="1">
      <c r="C478" s="772" t="s">
        <v>1093</v>
      </c>
      <c r="D478" s="772"/>
      <c r="E478" s="772"/>
      <c r="F478" s="772"/>
      <c r="G478" s="772"/>
      <c r="H478" s="772"/>
      <c r="I478" s="772"/>
      <c r="J478" s="772"/>
      <c r="K478" s="772"/>
      <c r="L478" s="2505">
        <f>IF(AND(Funding!L188=1,Funding!L252=1,Funding!I252&gt;0),Funding!I252,IF(AND(Funding!L188=1,Funding!L252=1,Funding!I252=0),ConstrAnalysis__1st_Mtg,0))</f>
        <v>0</v>
      </c>
      <c r="M478" s="2505"/>
      <c r="N478" s="2505"/>
      <c r="Q478" s="283"/>
    </row>
    <row r="479" spans="2:17" ht="13" hidden="1">
      <c r="C479" s="772" t="s">
        <v>1117</v>
      </c>
      <c r="D479" s="772"/>
      <c r="E479" s="772"/>
      <c r="F479" s="772"/>
      <c r="G479" s="772"/>
      <c r="H479" s="772"/>
      <c r="I479" s="772"/>
      <c r="J479" s="772"/>
      <c r="K479" s="772"/>
      <c r="L479" s="2505">
        <f>L478</f>
        <v>0</v>
      </c>
      <c r="M479" s="2505"/>
      <c r="N479" s="2505"/>
      <c r="Q479" s="283"/>
    </row>
    <row r="480" spans="2:17" ht="13" hidden="1">
      <c r="C480" s="252" t="s">
        <v>1089</v>
      </c>
      <c r="D480" s="252"/>
      <c r="E480" s="252"/>
      <c r="F480" s="252"/>
      <c r="G480" s="252"/>
      <c r="H480" s="252"/>
      <c r="I480" s="252"/>
      <c r="J480" s="252"/>
      <c r="K480" s="252"/>
      <c r="L480" s="2506" t="str">
        <f>IF(N(L477)=0,"TBD",N(L479)/N(L477))</f>
        <v>TBD</v>
      </c>
      <c r="M480" s="2506"/>
      <c r="N480" s="2506"/>
      <c r="O480" s="614"/>
      <c r="P480" s="614"/>
      <c r="Q480" s="805"/>
    </row>
    <row r="481" spans="3:6" hidden="1"/>
    <row r="482" spans="3:6" ht="13" hidden="1">
      <c r="C482" s="290" t="s">
        <v>1116</v>
      </c>
    </row>
    <row r="484" spans="3:6">
      <c r="E484" s="232"/>
      <c r="F484" s="231"/>
    </row>
    <row r="485" spans="3:6">
      <c r="E485" s="232"/>
      <c r="F485" s="231"/>
    </row>
    <row r="486" spans="3:6">
      <c r="E486" s="232"/>
      <c r="F486" s="231"/>
    </row>
    <row r="487" spans="3:6">
      <c r="E487" s="232"/>
      <c r="F487" s="231"/>
    </row>
    <row r="488" spans="3:6">
      <c r="E488" s="232"/>
      <c r="F488" s="231"/>
    </row>
    <row r="489" spans="3:6">
      <c r="E489" s="232"/>
      <c r="F489" s="231"/>
    </row>
    <row r="490" spans="3:6">
      <c r="E490" s="232"/>
      <c r="F490" s="231"/>
    </row>
    <row r="491" spans="3:6">
      <c r="E491" s="230"/>
    </row>
    <row r="492" spans="3:6">
      <c r="E492" s="230"/>
    </row>
    <row r="493" spans="3:6">
      <c r="E493" s="230"/>
    </row>
    <row r="494" spans="3:6">
      <c r="E494" s="230"/>
    </row>
    <row r="495" spans="3:6">
      <c r="E495" s="230"/>
    </row>
    <row r="496" spans="3:6">
      <c r="E496" s="230"/>
    </row>
    <row r="497" spans="5:5">
      <c r="E497" s="230"/>
    </row>
    <row r="498" spans="5:5">
      <c r="E498" s="229"/>
    </row>
    <row r="499" spans="5:5">
      <c r="E499" s="229"/>
    </row>
    <row r="500" spans="5:5">
      <c r="E500" s="229"/>
    </row>
    <row r="501" spans="5:5">
      <c r="E501" s="229"/>
    </row>
    <row r="502" spans="5:5">
      <c r="E502" s="229"/>
    </row>
    <row r="503" spans="5:5">
      <c r="E503" s="229"/>
    </row>
    <row r="504" spans="5:5">
      <c r="E504" s="229"/>
    </row>
    <row r="505" spans="5:5">
      <c r="E505" s="229"/>
    </row>
    <row r="506" spans="5:5">
      <c r="E506" s="229"/>
    </row>
    <row r="507" spans="5:5">
      <c r="E507" s="229"/>
    </row>
    <row r="508" spans="5:5">
      <c r="E508" s="229"/>
    </row>
    <row r="509" spans="5:5">
      <c r="E509" s="229"/>
    </row>
    <row r="510" spans="5:5">
      <c r="E510" s="229"/>
    </row>
    <row r="511" spans="5:5">
      <c r="E511" s="229"/>
    </row>
    <row r="512" spans="5:5">
      <c r="E512" s="229"/>
    </row>
    <row r="513" spans="5:5">
      <c r="E513" s="229"/>
    </row>
    <row r="514" spans="5:5">
      <c r="E514" s="229"/>
    </row>
    <row r="515" spans="5:5">
      <c r="E515" s="229"/>
    </row>
    <row r="516" spans="5:5">
      <c r="E516" s="229"/>
    </row>
    <row r="517" spans="5:5">
      <c r="E517" s="229"/>
    </row>
    <row r="518" spans="5:5">
      <c r="E518" s="229"/>
    </row>
    <row r="519" spans="5:5">
      <c r="E519" s="229"/>
    </row>
  </sheetData>
  <sheetProtection algorithmName="SHA-512" hashValue="/7BsR9Cd9LpLfX/QFbH3jQ5iShoopAIfYzxf+nK1X0kiGp9t+cWurM04MEDZIED6bk2TLrywqHg5zSXyyM4uaA==" saltValue="q30ZV+7uGyUovAJWX78gEw==" spinCount="100000" sheet="1" formatRows="0" selectLockedCells="1"/>
  <mergeCells count="193">
    <mergeCell ref="D140:E140"/>
    <mergeCell ref="D74:E74"/>
    <mergeCell ref="D69:E69"/>
    <mergeCell ref="D189:E189"/>
    <mergeCell ref="D191:E191"/>
    <mergeCell ref="D194:E194"/>
    <mergeCell ref="Q112:Z113"/>
    <mergeCell ref="Q105:Z106"/>
    <mergeCell ref="Q120:Z121"/>
    <mergeCell ref="Q130:Z131"/>
    <mergeCell ref="Q171:Z172"/>
    <mergeCell ref="Q156:Z157"/>
    <mergeCell ref="D196:E196"/>
    <mergeCell ref="Q195:Z196"/>
    <mergeCell ref="Q199:Z200"/>
    <mergeCell ref="L431:N431"/>
    <mergeCell ref="L432:N432"/>
    <mergeCell ref="L433:N433"/>
    <mergeCell ref="I378:K378"/>
    <mergeCell ref="I379:K379"/>
    <mergeCell ref="I380:K380"/>
    <mergeCell ref="D371:N371"/>
    <mergeCell ref="G376:H376"/>
    <mergeCell ref="G377:H377"/>
    <mergeCell ref="G378:H378"/>
    <mergeCell ref="G379:H379"/>
    <mergeCell ref="D378:F378"/>
    <mergeCell ref="D379:F379"/>
    <mergeCell ref="D380:F380"/>
    <mergeCell ref="L376:N376"/>
    <mergeCell ref="L379:N379"/>
    <mergeCell ref="D377:F377"/>
    <mergeCell ref="D375:F375"/>
    <mergeCell ref="D376:F376"/>
    <mergeCell ref="L375:N375"/>
    <mergeCell ref="L401:N401"/>
    <mergeCell ref="L434:N434"/>
    <mergeCell ref="L435:N435"/>
    <mergeCell ref="L443:N443"/>
    <mergeCell ref="L444:N444"/>
    <mergeCell ref="L445:N445"/>
    <mergeCell ref="L447:N447"/>
    <mergeCell ref="L448:N448"/>
    <mergeCell ref="L449:N449"/>
    <mergeCell ref="L450:N450"/>
    <mergeCell ref="L436:N436"/>
    <mergeCell ref="L437:N437"/>
    <mergeCell ref="L438:N438"/>
    <mergeCell ref="L439:N439"/>
    <mergeCell ref="L451:N451"/>
    <mergeCell ref="L452:N452"/>
    <mergeCell ref="L446:N446"/>
    <mergeCell ref="L479:N479"/>
    <mergeCell ref="L480:N480"/>
    <mergeCell ref="L454:N454"/>
    <mergeCell ref="L458:N458"/>
    <mergeCell ref="L459:N459"/>
    <mergeCell ref="L460:N460"/>
    <mergeCell ref="L461:N461"/>
    <mergeCell ref="L462:N462"/>
    <mergeCell ref="L463:N463"/>
    <mergeCell ref="L464:N464"/>
    <mergeCell ref="L468:N468"/>
    <mergeCell ref="L469:N469"/>
    <mergeCell ref="L470:N470"/>
    <mergeCell ref="L471:N471"/>
    <mergeCell ref="L475:N475"/>
    <mergeCell ref="L476:N476"/>
    <mergeCell ref="L477:N477"/>
    <mergeCell ref="L478:N478"/>
    <mergeCell ref="R346:V346"/>
    <mergeCell ref="K334:N334"/>
    <mergeCell ref="K336:N336"/>
    <mergeCell ref="K338:N338"/>
    <mergeCell ref="L374:N374"/>
    <mergeCell ref="K369:M369"/>
    <mergeCell ref="E342:F342"/>
    <mergeCell ref="D372:F372"/>
    <mergeCell ref="D373:F373"/>
    <mergeCell ref="D374:F374"/>
    <mergeCell ref="G372:H372"/>
    <mergeCell ref="I372:K372"/>
    <mergeCell ref="G373:H373"/>
    <mergeCell ref="G374:H374"/>
    <mergeCell ref="L372:N372"/>
    <mergeCell ref="R340:W341"/>
    <mergeCell ref="K342:N342"/>
    <mergeCell ref="K344:N344"/>
    <mergeCell ref="M354:N354"/>
    <mergeCell ref="K332:N332"/>
    <mergeCell ref="K322:N322"/>
    <mergeCell ref="E294:F294"/>
    <mergeCell ref="K270:N270"/>
    <mergeCell ref="K280:N280"/>
    <mergeCell ref="K282:N282"/>
    <mergeCell ref="K284:N284"/>
    <mergeCell ref="K320:N320"/>
    <mergeCell ref="E344:F344"/>
    <mergeCell ref="K294:N294"/>
    <mergeCell ref="K296:N296"/>
    <mergeCell ref="M306:N306"/>
    <mergeCell ref="R298:V298"/>
    <mergeCell ref="K272:N272"/>
    <mergeCell ref="K314:N314"/>
    <mergeCell ref="K328:N328"/>
    <mergeCell ref="K330:N330"/>
    <mergeCell ref="E296:F296"/>
    <mergeCell ref="Q309:Z312"/>
    <mergeCell ref="R292:W293"/>
    <mergeCell ref="K266:N266"/>
    <mergeCell ref="K326:N326"/>
    <mergeCell ref="R266:X268"/>
    <mergeCell ref="A1:P1"/>
    <mergeCell ref="K274:N274"/>
    <mergeCell ref="K276:N276"/>
    <mergeCell ref="K278:N278"/>
    <mergeCell ref="K324:N324"/>
    <mergeCell ref="K38:N38"/>
    <mergeCell ref="Q255:Z258"/>
    <mergeCell ref="Q63:Z64"/>
    <mergeCell ref="Q81:Z82"/>
    <mergeCell ref="Q85:Z86"/>
    <mergeCell ref="Q176:Z177"/>
    <mergeCell ref="Q95:Z96"/>
    <mergeCell ref="Q97:Z98"/>
    <mergeCell ref="Q110:Z111"/>
    <mergeCell ref="Q178:Z180"/>
    <mergeCell ref="Q197:Z198"/>
    <mergeCell ref="Q158:Z159"/>
    <mergeCell ref="Q164:Z165"/>
    <mergeCell ref="K268:N268"/>
    <mergeCell ref="F250:O252"/>
    <mergeCell ref="K260:N260"/>
    <mergeCell ref="Q40:Z42"/>
    <mergeCell ref="Q47:Z48"/>
    <mergeCell ref="G40:N40"/>
    <mergeCell ref="F243:O245"/>
    <mergeCell ref="Q122:Z123"/>
    <mergeCell ref="Q134:Z135"/>
    <mergeCell ref="Q126:Z127"/>
    <mergeCell ref="Q124:AC125"/>
    <mergeCell ref="Q128:Z129"/>
    <mergeCell ref="Q61:Z62"/>
    <mergeCell ref="Q49:Z50"/>
    <mergeCell ref="Q101:Z102"/>
    <mergeCell ref="Q116:Z117"/>
    <mergeCell ref="Q118:Z119"/>
    <mergeCell ref="Q181:Z182"/>
    <mergeCell ref="Q193:Z194"/>
    <mergeCell ref="F234:O238"/>
    <mergeCell ref="F217:O219"/>
    <mergeCell ref="F221:O223"/>
    <mergeCell ref="F228:O232"/>
    <mergeCell ref="Q68:Z69"/>
    <mergeCell ref="Q73:Z74"/>
    <mergeCell ref="Q139:Z140"/>
    <mergeCell ref="Q188:Z189"/>
    <mergeCell ref="Q190:Z191"/>
    <mergeCell ref="G380:H380"/>
    <mergeCell ref="I373:K373"/>
    <mergeCell ref="I374:K374"/>
    <mergeCell ref="G375:H375"/>
    <mergeCell ref="L380:N380"/>
    <mergeCell ref="L373:N373"/>
    <mergeCell ref="K385:M385"/>
    <mergeCell ref="I376:K376"/>
    <mergeCell ref="I377:K377"/>
    <mergeCell ref="L377:N377"/>
    <mergeCell ref="I375:K375"/>
    <mergeCell ref="D198:E198"/>
    <mergeCell ref="L403:N403"/>
    <mergeCell ref="L413:N413"/>
    <mergeCell ref="L415:N415"/>
    <mergeCell ref="L417:N418"/>
    <mergeCell ref="D381:N382"/>
    <mergeCell ref="L388:N388"/>
    <mergeCell ref="L389:N389"/>
    <mergeCell ref="L390:N390"/>
    <mergeCell ref="L392:N392"/>
    <mergeCell ref="L393:N393"/>
    <mergeCell ref="L394:N394"/>
    <mergeCell ref="L396:N396"/>
    <mergeCell ref="K398:M398"/>
    <mergeCell ref="K387:M387"/>
    <mergeCell ref="L384:N384"/>
    <mergeCell ref="L397:N397"/>
    <mergeCell ref="L407:N407"/>
    <mergeCell ref="L405:N405"/>
    <mergeCell ref="L409:N409"/>
    <mergeCell ref="L411:N411"/>
    <mergeCell ref="L395:N395"/>
    <mergeCell ref="L378:N378"/>
    <mergeCell ref="K400:M400"/>
  </mergeCells>
  <conditionalFormatting sqref="Q192">
    <cfRule type="cellIs" dxfId="155" priority="178" operator="equal">
      <formula>"No"</formula>
    </cfRule>
    <cfRule type="cellIs" dxfId="154" priority="180" operator="equal">
      <formula>"Yes"</formula>
    </cfRule>
  </conditionalFormatting>
  <conditionalFormatting sqref="J304:J305">
    <cfRule type="expression" dxfId="153" priority="250">
      <formula>H304&lt;0</formula>
    </cfRule>
  </conditionalFormatting>
  <conditionalFormatting sqref="J352:J354">
    <cfRule type="expression" dxfId="152" priority="258">
      <formula>H352&lt;0</formula>
    </cfRule>
  </conditionalFormatting>
  <conditionalFormatting sqref="D351:F352 J352:P352">
    <cfRule type="expression" dxfId="151" priority="255">
      <formula>$H$352&lt;0</formula>
    </cfRule>
  </conditionalFormatting>
  <conditionalFormatting sqref="D303:F304 J304:P304">
    <cfRule type="expression" dxfId="150" priority="238">
      <formula>$H$304&lt;0</formula>
    </cfRule>
  </conditionalFormatting>
  <conditionalFormatting sqref="N188">
    <cfRule type="expression" dxfId="149" priority="153">
      <formula>P189="No"</formula>
    </cfRule>
  </conditionalFormatting>
  <conditionalFormatting sqref="N139">
    <cfRule type="expression" dxfId="148" priority="89">
      <formula>$P$140="No"</formula>
    </cfRule>
  </conditionalFormatting>
  <conditionalFormatting sqref="N68">
    <cfRule type="expression" dxfId="147" priority="30">
      <formula>$P$69="No"</formula>
    </cfRule>
  </conditionalFormatting>
  <conditionalFormatting sqref="N73">
    <cfRule type="expression" dxfId="146" priority="59">
      <formula>$P$74="No"</formula>
    </cfRule>
  </conditionalFormatting>
  <conditionalFormatting sqref="D188:F188">
    <cfRule type="expression" dxfId="145" priority="152">
      <formula>$P$188="**"</formula>
    </cfRule>
  </conditionalFormatting>
  <conditionalFormatting sqref="C68:F68">
    <cfRule type="expression" dxfId="144" priority="28">
      <formula>$P69="No"</formula>
    </cfRule>
  </conditionalFormatting>
  <conditionalFormatting sqref="P188">
    <cfRule type="cellIs" dxfId="143" priority="154" operator="equal">
      <formula>"**"</formula>
    </cfRule>
  </conditionalFormatting>
  <conditionalFormatting sqref="P190">
    <cfRule type="cellIs" dxfId="142" priority="173" operator="equal">
      <formula>"**"</formula>
    </cfRule>
  </conditionalFormatting>
  <conditionalFormatting sqref="P195">
    <cfRule type="cellIs" dxfId="141" priority="187" operator="equal">
      <formula>"**"</formula>
    </cfRule>
  </conditionalFormatting>
  <conditionalFormatting sqref="P139">
    <cfRule type="cellIs" dxfId="140" priority="90" operator="equal">
      <formula>"**"</formula>
    </cfRule>
  </conditionalFormatting>
  <conditionalFormatting sqref="P73">
    <cfRule type="cellIs" dxfId="139" priority="60" operator="equal">
      <formula>"**"</formula>
    </cfRule>
  </conditionalFormatting>
  <conditionalFormatting sqref="P68">
    <cfRule type="cellIs" dxfId="138" priority="35" operator="equal">
      <formula>"**"</formula>
    </cfRule>
  </conditionalFormatting>
  <conditionalFormatting sqref="P217">
    <cfRule type="cellIs" dxfId="137" priority="204" operator="equal">
      <formula>"**"</formula>
    </cfRule>
  </conditionalFormatting>
  <conditionalFormatting sqref="P221">
    <cfRule type="cellIs" dxfId="136" priority="207" operator="equal">
      <formula>"**"</formula>
    </cfRule>
  </conditionalFormatting>
  <conditionalFormatting sqref="P234">
    <cfRule type="cellIs" dxfId="135" priority="219" operator="equal">
      <formula>"**"</formula>
    </cfRule>
  </conditionalFormatting>
  <conditionalFormatting sqref="P243">
    <cfRule type="cellIs" dxfId="134" priority="223" operator="equal">
      <formula>"**"</formula>
    </cfRule>
  </conditionalFormatting>
  <conditionalFormatting sqref="P250">
    <cfRule type="cellIs" dxfId="133" priority="235" operator="equal">
      <formula>"**"</formula>
    </cfRule>
  </conditionalFormatting>
  <conditionalFormatting sqref="P38:P39">
    <cfRule type="cellIs" dxfId="132" priority="24" operator="equal">
      <formula>"**"</formula>
    </cfRule>
  </conditionalFormatting>
  <conditionalFormatting sqref="P303">
    <cfRule type="cellIs" dxfId="131" priority="249" operator="equal">
      <formula>"**"</formula>
    </cfRule>
  </conditionalFormatting>
  <conditionalFormatting sqref="P418">
    <cfRule type="cellIs" dxfId="130" priority="921" operator="equal">
      <formula>"**"</formula>
    </cfRule>
  </conditionalFormatting>
  <conditionalFormatting sqref="L417">
    <cfRule type="cellIs" dxfId="129" priority="897" operator="equal">
      <formula>"No"</formula>
    </cfRule>
  </conditionalFormatting>
  <conditionalFormatting sqref="N197">
    <cfRule type="expression" dxfId="128" priority="13">
      <formula>$P$197="**"</formula>
    </cfRule>
    <cfRule type="cellIs" dxfId="127" priority="14" operator="equal">
      <formula>0</formula>
    </cfRule>
    <cfRule type="expression" dxfId="126" priority="195">
      <formula>Q198="No"</formula>
    </cfRule>
  </conditionalFormatting>
  <conditionalFormatting sqref="D192:D193">
    <cfRule type="expression" dxfId="125" priority="181">
      <formula>$Q194="No"</formula>
    </cfRule>
  </conditionalFormatting>
  <conditionalFormatting sqref="P351">
    <cfRule type="cellIs" dxfId="124" priority="256" operator="equal">
      <formula>"**"</formula>
    </cfRule>
  </conditionalFormatting>
  <conditionalFormatting sqref="C73:F73">
    <cfRule type="expression" dxfId="123" priority="50">
      <formula>$P$74="No"</formula>
    </cfRule>
  </conditionalFormatting>
  <conditionalFormatting sqref="I38:I39">
    <cfRule type="expression" dxfId="122" priority="23">
      <formula>$P38="**"</formula>
    </cfRule>
  </conditionalFormatting>
  <conditionalFormatting sqref="Q304:Q306">
    <cfRule type="expression" dxfId="121" priority="251">
      <formula>H304&lt;0</formula>
    </cfRule>
    <cfRule type="expression" dxfId="120" priority="252">
      <formula>H304&gt;=0</formula>
    </cfRule>
  </conditionalFormatting>
  <conditionalFormatting sqref="Q352:Q354">
    <cfRule type="expression" dxfId="119" priority="259">
      <formula>H352&gt;=0</formula>
    </cfRule>
    <cfRule type="expression" dxfId="118" priority="260">
      <formula>H352&lt;0</formula>
    </cfRule>
  </conditionalFormatting>
  <conditionalFormatting sqref="K453">
    <cfRule type="cellIs" dxfId="117" priority="1207" operator="equal">
      <formula>"(greater than 60% maximum)"</formula>
    </cfRule>
    <cfRule type="cellIs" dxfId="116" priority="1218" operator="equal">
      <formula>"(less than 60% maximum)"</formula>
    </cfRule>
    <cfRule type="cellIs" dxfId="115" priority="1221" operator="equal">
      <formula>"(equal to 60% maximum)"</formula>
    </cfRule>
  </conditionalFormatting>
  <conditionalFormatting sqref="G40">
    <cfRule type="cellIs" dxfId="114" priority="25" operator="notEqual">
      <formula>""</formula>
    </cfRule>
  </conditionalFormatting>
  <conditionalFormatting sqref="H49">
    <cfRule type="expression" dxfId="113" priority="26">
      <formula>H49&lt;&gt;ROUNDDOWN(H49,0)</formula>
    </cfRule>
  </conditionalFormatting>
  <conditionalFormatting sqref="R326">
    <cfRule type="cellIs" dxfId="112" priority="156" operator="equal">
      <formula>"Total Permanent SAIL+ SAIL ELI funding is greater than the maximum 35% of TDC."</formula>
    </cfRule>
  </conditionalFormatting>
  <conditionalFormatting sqref="N173:N183 N185:N200">
    <cfRule type="cellIs" dxfId="111" priority="92" operator="equal">
      <formula>0</formula>
    </cfRule>
  </conditionalFormatting>
  <conditionalFormatting sqref="N65:N70 N72:N73">
    <cfRule type="cellIs" dxfId="110" priority="27" operator="equal">
      <formula>0</formula>
    </cfRule>
  </conditionalFormatting>
  <conditionalFormatting sqref="N137">
    <cfRule type="cellIs" dxfId="109" priority="87" operator="equal">
      <formula>0</formula>
    </cfRule>
  </conditionalFormatting>
  <conditionalFormatting sqref="O450:P452">
    <cfRule type="cellIs" dxfId="108" priority="140" operator="equal">
      <formula>"(Total Units here does NOT match the Total Units entered on row 38 above)"</formula>
    </cfRule>
    <cfRule type="cellIs" dxfId="107" priority="141" operator="equal">
      <formula>"(Total Units here matches the Total Units entered on row 38 above)"</formula>
    </cfRule>
  </conditionalFormatting>
  <conditionalFormatting sqref="Q441">
    <cfRule type="expression" dxfId="106" priority="136">
      <formula>OR(SUM($H$438:$H$442)&lt;ROUNDUP($H$451*45%,0),SUM($H$438:$H$442)&gt;ROUNDUP($H$451*50%,0))</formula>
    </cfRule>
  </conditionalFormatting>
  <conditionalFormatting sqref="Q443:V443">
    <cfRule type="expression" dxfId="105" priority="137">
      <formula>ROUND((H$453*H$447-60%*H$447)/(60%-F443),9)&lt;0</formula>
    </cfRule>
  </conditionalFormatting>
  <conditionalFormatting sqref="Q444:V444">
    <cfRule type="expression" dxfId="104" priority="138">
      <formula>ROUND((H$453*H$447-60%*H$447)/(60%-F444),9)&lt;0</formula>
    </cfRule>
  </conditionalFormatting>
  <conditionalFormatting sqref="Q379:R379">
    <cfRule type="expression" dxfId="103" priority="117">
      <formula>#REF!&lt;&gt;"Yes"</formula>
    </cfRule>
  </conditionalFormatting>
  <conditionalFormatting sqref="I373:N379">
    <cfRule type="expression" dxfId="102" priority="116">
      <formula>N($G373)=0</formula>
    </cfRule>
  </conditionalFormatting>
  <conditionalFormatting sqref="R278:V278 H278">
    <cfRule type="expression" dxfId="101" priority="103">
      <formula>$R$278="The Request Amount is greater than the maximum allowed."</formula>
    </cfRule>
  </conditionalFormatting>
  <conditionalFormatting sqref="R280:V280 H280">
    <cfRule type="expression" dxfId="100" priority="104">
      <formula>$R$280="The Request Amount is greater than the maximum allowed."</formula>
    </cfRule>
  </conditionalFormatting>
  <conditionalFormatting sqref="R282:V282 H282">
    <cfRule type="expression" dxfId="99" priority="105">
      <formula>$R$282="The Request Amount is greater than the maximum allowed."</formula>
    </cfRule>
  </conditionalFormatting>
  <conditionalFormatting sqref="R284:V284 H284">
    <cfRule type="expression" dxfId="98" priority="106">
      <formula>$R$284="The Request Amount is greater than the maximum allowed."</formula>
    </cfRule>
  </conditionalFormatting>
  <conditionalFormatting sqref="R332:V332">
    <cfRule type="expression" dxfId="97" priority="93">
      <formula>$R$332="The Request Amount is greater than the maximum allowed."</formula>
    </cfRule>
  </conditionalFormatting>
  <conditionalFormatting sqref="R334 H334 T334:V334">
    <cfRule type="expression" dxfId="96" priority="96">
      <formula>$R$334="The Request Amount is greater than the maximum allowed."</formula>
    </cfRule>
  </conditionalFormatting>
  <conditionalFormatting sqref="R336 H336 T336:V336">
    <cfRule type="expression" dxfId="95" priority="98">
      <formula>$R$336="The Request Amount is greater than the maximum allowed."</formula>
    </cfRule>
  </conditionalFormatting>
  <conditionalFormatting sqref="R338 H338 T338:V338">
    <cfRule type="expression" dxfId="94" priority="99">
      <formula>$R$338="The Request Amount is greater than the maximum allowed."</formula>
    </cfRule>
  </conditionalFormatting>
  <conditionalFormatting sqref="P228">
    <cfRule type="cellIs" dxfId="93" priority="213" operator="equal">
      <formula>"**"</formula>
    </cfRule>
  </conditionalFormatting>
  <conditionalFormatting sqref="F228:O232">
    <cfRule type="expression" dxfId="92" priority="211">
      <formula>AND($F$228="",$N$110&lt;&gt;"")</formula>
    </cfRule>
  </conditionalFormatting>
  <conditionalFormatting sqref="F217:O219">
    <cfRule type="expression" dxfId="91" priority="203">
      <formula>AND($F$217="",$N$53&lt;&gt;"")</formula>
    </cfRule>
  </conditionalFormatting>
  <conditionalFormatting sqref="F221">
    <cfRule type="expression" dxfId="90" priority="205">
      <formula>AND($F$221="",$N$63&lt;&gt;"")</formula>
    </cfRule>
  </conditionalFormatting>
  <conditionalFormatting sqref="F234">
    <cfRule type="expression" dxfId="89" priority="215">
      <formula>AND($F$234="",$N$134&lt;&gt;"")</formula>
    </cfRule>
  </conditionalFormatting>
  <conditionalFormatting sqref="F243">
    <cfRule type="expression" dxfId="88" priority="221">
      <formula>AND($F$243="",$N$171&lt;&gt;"")</formula>
    </cfRule>
  </conditionalFormatting>
  <conditionalFormatting sqref="F250">
    <cfRule type="expression" dxfId="87" priority="234">
      <formula>AND($F$250="",$N$179&lt;&gt;"")</formula>
    </cfRule>
  </conditionalFormatting>
  <conditionalFormatting sqref="R346">
    <cfRule type="cellIs" dxfId="86" priority="82" operator="equal">
      <formula>"The Deferred Developer Fee is greater than than the Total Developer Fee."</formula>
    </cfRule>
  </conditionalFormatting>
  <conditionalFormatting sqref="H346">
    <cfRule type="expression" dxfId="85" priority="81">
      <formula>$R$346="The Deferred Developer Fee is greater than than the Total Developer Fee."</formula>
    </cfRule>
  </conditionalFormatting>
  <conditionalFormatting sqref="R298">
    <cfRule type="cellIs" dxfId="84" priority="79" operator="equal">
      <formula>"The Deferred Developer Fee is greater than than the Total Developer Fee."</formula>
    </cfRule>
  </conditionalFormatting>
  <conditionalFormatting sqref="H298">
    <cfRule type="expression" dxfId="83" priority="78">
      <formula>$R$298="The Deferred Developer Fee is greater than than the Total Developer Fee."</formula>
    </cfRule>
  </conditionalFormatting>
  <conditionalFormatting sqref="Q451">
    <cfRule type="cellIs" dxfId="82" priority="68" operator="equal">
      <formula>"Funding Tab Error"</formula>
    </cfRule>
  </conditionalFormatting>
  <conditionalFormatting sqref="L480:N480">
    <cfRule type="expression" dxfId="81" priority="64">
      <formula>N($L$480)&gt;=0.5</formula>
    </cfRule>
    <cfRule type="cellIs" dxfId="80" priority="66" operator="equal">
      <formula>"TBD"</formula>
    </cfRule>
    <cfRule type="cellIs" dxfId="79" priority="108" operator="lessThan">
      <formula>0.5</formula>
    </cfRule>
  </conditionalFormatting>
  <conditionalFormatting sqref="N190">
    <cfRule type="expression" dxfId="78" priority="172">
      <formula>$P$191="No"</formula>
    </cfRule>
  </conditionalFormatting>
  <conditionalFormatting sqref="N195">
    <cfRule type="expression" dxfId="77" priority="186">
      <formula>$P$195="**"</formula>
    </cfRule>
  </conditionalFormatting>
  <conditionalFormatting sqref="D190:F190">
    <cfRule type="expression" dxfId="76" priority="169">
      <formula>$P$190="**"</formula>
    </cfRule>
  </conditionalFormatting>
  <conditionalFormatting sqref="C195:F195">
    <cfRule type="expression" dxfId="75" priority="185">
      <formula>$P$195="**"</formula>
    </cfRule>
  </conditionalFormatting>
  <conditionalFormatting sqref="C139:F139">
    <cfRule type="expression" dxfId="74" priority="88">
      <formula>$P$140="No"</formula>
    </cfRule>
  </conditionalFormatting>
  <conditionalFormatting sqref="K266 K268 K270 K272 K274 K276 K278 K280 K282 K284 K320 K322 K324 K326 K328 K330 K332 K334 K336 K338 K294 K296 K342 K344">
    <cfRule type="expression" dxfId="73" priority="236">
      <formula>AND(OR($K266="&lt;select from menu&gt;",$K266=""),N($H266)&gt;0)</formula>
    </cfRule>
  </conditionalFormatting>
  <conditionalFormatting sqref="P266">
    <cfRule type="cellIs" dxfId="72" priority="47" operator="equal">
      <formula>"**"</formula>
    </cfRule>
  </conditionalFormatting>
  <conditionalFormatting sqref="R266">
    <cfRule type="expression" dxfId="71" priority="46">
      <formula>$P$266="**"</formula>
    </cfRule>
  </conditionalFormatting>
  <conditionalFormatting sqref="H266">
    <cfRule type="expression" dxfId="70" priority="45">
      <formula>$P$266="**"</formula>
    </cfRule>
  </conditionalFormatting>
  <conditionalFormatting sqref="H292">
    <cfRule type="expression" dxfId="69" priority="41">
      <formula>AND(OR(Competitive_HC_Request_Amount&gt;0,Non_Competitive_HC_Request_Amount&gt;0),ConstrAnalysis_HC=0)</formula>
    </cfRule>
  </conditionalFormatting>
  <conditionalFormatting sqref="P292">
    <cfRule type="cellIs" dxfId="68" priority="40" operator="equal">
      <formula>"**"</formula>
    </cfRule>
  </conditionalFormatting>
  <conditionalFormatting sqref="R292:W293">
    <cfRule type="expression" dxfId="67" priority="39">
      <formula>$P$292="**"</formula>
    </cfRule>
  </conditionalFormatting>
  <conditionalFormatting sqref="P340">
    <cfRule type="cellIs" dxfId="66" priority="38" operator="equal">
      <formula>"**"</formula>
    </cfRule>
  </conditionalFormatting>
  <conditionalFormatting sqref="H340">
    <cfRule type="expression" dxfId="65" priority="37">
      <formula>AND(OR(Competitive_HC_Request_Amount&gt;0,Non_Competitive_HC_Request_Amount&gt;0),PermAnalysis_HC=0)</formula>
    </cfRule>
  </conditionalFormatting>
  <conditionalFormatting sqref="R340:W341">
    <cfRule type="expression" dxfId="64" priority="102">
      <formula>$P$340="**"</formula>
    </cfRule>
  </conditionalFormatting>
  <conditionalFormatting sqref="Q195:Z196">
    <cfRule type="expression" dxfId="63" priority="190">
      <formula>$P$196="No"</formula>
    </cfRule>
  </conditionalFormatting>
  <conditionalFormatting sqref="H99 H101 H103 H105">
    <cfRule type="expression" dxfId="62" priority="84">
      <formula>H99&lt;&gt;ROUNDDOWN(H99,0)</formula>
    </cfRule>
  </conditionalFormatting>
  <conditionalFormatting sqref="F69">
    <cfRule type="expression" dxfId="61" priority="48">
      <formula>SUM($H$68,$K$68)&gt;$F$69</formula>
    </cfRule>
  </conditionalFormatting>
  <conditionalFormatting sqref="F74">
    <cfRule type="expression" dxfId="60" priority="61">
      <formula>SUM($H$73,$K$73)&gt;$F$74</formula>
    </cfRule>
  </conditionalFormatting>
  <conditionalFormatting sqref="F140">
    <cfRule type="expression" dxfId="59" priority="91">
      <formula>SUM($H$139,$K$139)&gt;$F$140</formula>
    </cfRule>
  </conditionalFormatting>
  <conditionalFormatting sqref="F189">
    <cfRule type="expression" dxfId="58" priority="158">
      <formula>SUM($H$188,$K$188)&gt;$F$189</formula>
    </cfRule>
  </conditionalFormatting>
  <conditionalFormatting sqref="F191">
    <cfRule type="expression" dxfId="57" priority="175">
      <formula>SUM($H$190,$K$190)&gt;$F$191</formula>
    </cfRule>
  </conditionalFormatting>
  <conditionalFormatting sqref="F196">
    <cfRule type="expression" dxfId="56" priority="191">
      <formula>SUM($H$195,$K$195)&gt;$F$196</formula>
    </cfRule>
  </conditionalFormatting>
  <conditionalFormatting sqref="L306">
    <cfRule type="expression" dxfId="55" priority="1731">
      <formula>H306&lt;0</formula>
    </cfRule>
  </conditionalFormatting>
  <conditionalFormatting sqref="M306:N306">
    <cfRule type="cellIs" dxfId="54" priority="22" operator="equal">
      <formula>"No"</formula>
    </cfRule>
  </conditionalFormatting>
  <conditionalFormatting sqref="M354:N354">
    <cfRule type="cellIs" dxfId="53" priority="21" operator="equal">
      <formula>"No"</formula>
    </cfRule>
  </conditionalFormatting>
  <conditionalFormatting sqref="B421:N482">
    <cfRule type="expression" dxfId="52" priority="1755">
      <formula>$P$422=0</formula>
    </cfRule>
  </conditionalFormatting>
  <conditionalFormatting sqref="F198">
    <cfRule type="expression" dxfId="51" priority="17">
      <formula>SUM($H$197,$K$197)&gt;$F$198</formula>
    </cfRule>
  </conditionalFormatting>
  <conditionalFormatting sqref="Q197:Z198">
    <cfRule type="expression" dxfId="50" priority="16">
      <formula>$P$198="No"</formula>
    </cfRule>
  </conditionalFormatting>
  <conditionalFormatting sqref="P197">
    <cfRule type="cellIs" dxfId="49" priority="15" operator="equal">
      <formula>"**"</formula>
    </cfRule>
  </conditionalFormatting>
  <conditionalFormatting sqref="C197:F197">
    <cfRule type="expression" dxfId="48" priority="10">
      <formula>$P$197="**"</formula>
    </cfRule>
  </conditionalFormatting>
  <conditionalFormatting sqref="J39:L39">
    <cfRule type="expression" dxfId="47" priority="9">
      <formula>$P$39="**"</formula>
    </cfRule>
  </conditionalFormatting>
  <conditionalFormatting sqref="Q190:Z191">
    <cfRule type="expression" dxfId="46" priority="5">
      <formula>$P$191="No"</formula>
    </cfRule>
  </conditionalFormatting>
  <conditionalFormatting sqref="Q188:Z189">
    <cfRule type="expression" dxfId="45" priority="4">
      <formula>$P$189="No"</formula>
    </cfRule>
  </conditionalFormatting>
  <dataValidations count="4">
    <dataValidation type="whole" allowBlank="1" showInputMessage="1" showErrorMessage="1" error="Only whole numbers are allowed to be entered and exist in the Application's Development Cost Pro Forma._x000a_Please adjust your entry accordingly." sqref="H45 K45 H105 H47 H51 K49 K51 H53 H55 K55 H57 K57 H59 K59 H61 K53 K190 K63 H68:H69 K61 H73 K68:K69 H81 K81 H83 K73 H85 K83 H87 K85 H89 K89 H91 K87 H93 K93 H95 K91 H97 K95 K188 K97 H188 K99 K153 K101 K47 K103 H108 K105 H110 K108 H112 K110 H114 K114 H116 K112 H63 K116 H120 K120 H122 K122 H124 K118 H126 K124 H128 K128 H130 K126 H132 K130 H134 K134 H118 K132 H148 K139 H151 K151 H153 K148 H156 K156 H159 K159 H164 K164 H167 K167 H169 K169 H171 K171 H177 K177 H139 K179 H49 K199 H162 K162 H179 H99 H101 H103 H190 H197 H199" xr:uid="{1BDEF99A-D43E-4DBA-917C-B89C764C547B}">
      <formula1>-1000000000</formula1>
      <formula2>1000000000</formula2>
    </dataValidation>
    <dataValidation type="whole" allowBlank="1" showInputMessage="1" showErrorMessage="1" prompt="Please enter a whole number of at least 30." sqref="N39" xr:uid="{00FD7B8A-92C0-4312-9E7E-A4A7FB43CDA7}">
      <formula1>30</formula1>
      <formula2>999</formula2>
    </dataValidation>
    <dataValidation type="list" allowBlank="1" showInputMessage="1" showErrorMessage="1" sqref="P320 P322 P326 P330 P324 P328 P342 P344" xr:uid="{B235B1F8-9669-4E95-B72C-AF7727DD0F47}">
      <formula1>"&lt;select one&gt;, Yes, No"</formula1>
    </dataValidation>
    <dataValidation type="list" allowBlank="1" showInputMessage="1" showErrorMessage="1" sqref="K266:N266 K268:N268 K270:N270 K272:N272 K274:N274 K296:N296 K320:N320 K322:N322 K324:N324 K326:N326 K328:N328 K330:N330 K342:N342 K344:N344 K294:N294 K276" xr:uid="{162F038C-EEA6-4C69-9C98-E07C4C6FB6F6}">
      <formula1>DS_ProAppSources_DDMenu</formula1>
    </dataValidation>
  </dataValidations>
  <pageMargins left="0.7" right="0.7" top="0.75" bottom="0.75" header="0.3" footer="0.3"/>
  <pageSetup scale="78"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rowBreaks count="7" manualBreakCount="7">
    <brk id="75" max="15" man="1"/>
    <brk id="141" max="15" man="1"/>
    <brk id="203" max="15" man="1"/>
    <brk id="254" max="15" man="1"/>
    <brk id="308" max="16383" man="1"/>
    <brk id="356" max="15" man="1"/>
    <brk id="420" max="15" man="1"/>
  </rowBreaks>
  <ignoredErrors>
    <ignoredError sqref="P189"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7" id="{912693A0-E14F-4C18-A88F-91EE6ACEE73C}">
            <xm:f>AND(Funding!$L$184=0,Funding!$L$188=0)</xm:f>
            <x14:dxf>
              <fill>
                <patternFill patternType="lightUp">
                  <fgColor theme="0" tint="-0.499984740745262"/>
                </patternFill>
              </fill>
            </x14:dxf>
          </x14:cfRule>
          <xm:sqref>B421:N473</xm:sqref>
        </x14:conditionalFormatting>
        <x14:conditionalFormatting xmlns:xm="http://schemas.microsoft.com/office/excel/2006/main">
          <x14:cfRule type="expression" priority="86" id="{EE1DA426-3777-495E-8CEF-6F202DDFAFF7}">
            <xm:f>Funding!$I$188&gt;0</xm:f>
            <x14:dxf>
              <font>
                <b val="0"/>
                <i/>
                <color theme="0" tint="-0.499984740745262"/>
              </font>
              <fill>
                <patternFill>
                  <bgColor theme="0"/>
                </patternFill>
              </fill>
            </x14:dxf>
          </x14:cfRule>
          <xm:sqref>Q101:Z102 Q105:Z106 Q112:Z113 Q120:Z121 Q156:Z159 Q164:Z165</xm:sqref>
        </x14:conditionalFormatting>
        <x14:conditionalFormatting xmlns:xm="http://schemas.microsoft.com/office/excel/2006/main">
          <x14:cfRule type="expression" priority="62" id="{40F6F4EB-4803-41E7-90EB-94CD8400F33A}">
            <xm:f>Funding!$L$188=0</xm:f>
            <x14:dxf>
              <fill>
                <patternFill patternType="lightUp">
                  <fgColor theme="0" tint="-0.499984740745262"/>
                </patternFill>
              </fill>
            </x14:dxf>
          </x14:cfRule>
          <xm:sqref>B474:N482</xm:sqref>
        </x14:conditionalFormatting>
        <x14:conditionalFormatting xmlns:xm="http://schemas.microsoft.com/office/excel/2006/main">
          <x14:cfRule type="expression" priority="182" id="{00000000-000E-0000-0100-00000D000000}">
            <xm:f>(Data3!$G$164+Data3!$G$166)&lt;&gt;21%</xm:f>
            <x14:dxf>
              <fill>
                <patternFill>
                  <bgColor theme="1"/>
                </patternFill>
              </fill>
            </x14:dxf>
          </x14:cfRule>
          <xm:sqref>H193 N193</xm:sqref>
        </x14:conditionalFormatting>
        <x14:conditionalFormatting xmlns:xm="http://schemas.microsoft.com/office/excel/2006/main">
          <x14:cfRule type="expression" priority="18" id="{36113936-6A94-4B3F-BC79-522C86DE8DD9}">
            <xm:f>AND(Funding!$L252=1,N(Funding!$I$252)&gt;0,$K$266&lt;&gt;"FHFC - MMRB")</xm:f>
            <x14:dxf>
              <font>
                <color rgb="FFC00000"/>
              </font>
              <fill>
                <patternFill>
                  <bgColor rgb="FFFFE6FF"/>
                </patternFill>
              </fill>
            </x14:dxf>
          </x14:cfRule>
          <x14:cfRule type="expression" priority="42" id="{D11438AD-F2A1-4D53-9AAB-7FE0C6588B4E}">
            <xm:f>AND(Funding!L188=1,ConstrAnalysis__1st_Type&lt;&gt;"FHFC - MMRB",ConstrAnalysis__1st_Type&lt;&gt;"Local HFA Bonds")</xm:f>
            <x14:dxf>
              <font>
                <b val="0"/>
                <i val="0"/>
                <color rgb="FFC00000"/>
              </font>
              <fill>
                <patternFill>
                  <bgColor rgb="FFFFE6FF"/>
                </patternFill>
              </fill>
            </x14:dxf>
          </x14:cfRule>
          <xm:sqref>K266:N266</xm:sqref>
        </x14:conditionalFormatting>
        <x14:conditionalFormatting xmlns:xm="http://schemas.microsoft.com/office/excel/2006/main">
          <x14:cfRule type="expression" priority="201" id="{101495CA-A019-4617-964F-0D48CCE2A5BF}">
            <xm:f>Data1!$E$613="Yes"</xm:f>
            <x14:dxf>
              <font>
                <b/>
                <i val="0"/>
              </font>
              <fill>
                <patternFill patternType="none">
                  <bgColor auto="1"/>
                </patternFill>
              </fill>
            </x14:dxf>
          </x14:cfRule>
          <xm:sqref>N197</xm:sqref>
        </x14:conditionalFormatting>
        <x14:conditionalFormatting xmlns:xm="http://schemas.microsoft.com/office/excel/2006/main">
          <x14:cfRule type="expression" priority="253" id="{F214F08D-DE99-4E80-B7B7-BEAC46DFC338}">
            <xm:f>Data1!$E$612="Yes"</xm:f>
            <x14:dxf>
              <font>
                <color theme="0"/>
              </font>
              <fill>
                <patternFill patternType="none">
                  <bgColor auto="1"/>
                </patternFill>
              </fill>
              <border>
                <left/>
                <right/>
                <top/>
                <bottom/>
                <vertical/>
                <horizontal/>
              </border>
            </x14:dxf>
          </x14:cfRule>
          <xm:sqref>P317:P318 P320 P322 P324 P326 P328 P330 P342 P344</xm:sqref>
        </x14:conditionalFormatting>
        <x14:conditionalFormatting xmlns:xm="http://schemas.microsoft.com/office/excel/2006/main">
          <x14:cfRule type="expression" priority="194" id="{1B002A59-674E-4792-8B01-C4C950508BEA}">
            <xm:f>Data1!$E$613="No"</xm:f>
            <x14:dxf>
              <fill>
                <patternFill>
                  <bgColor theme="1"/>
                </patternFill>
              </fill>
            </x14:dxf>
          </x14:cfRule>
          <xm:sqref>K197 N197</xm:sqref>
        </x14:conditionalFormatting>
        <x14:conditionalFormatting xmlns:xm="http://schemas.microsoft.com/office/excel/2006/main">
          <x14:cfRule type="expression" priority="196" id="{64C83BCA-6F81-4095-84F3-F6BF49282E7B}">
            <xm:f>Data1!$E$613="Yes"</xm:f>
            <x14:dxf>
              <font>
                <color rgb="FF0000FF"/>
              </font>
              <fill>
                <patternFill patternType="none">
                  <bgColor auto="1"/>
                </patternFill>
              </fill>
              <border>
                <bottom style="thin">
                  <color rgb="FF0000FF"/>
                </bottom>
                <vertical/>
                <horizontal/>
              </border>
            </x14:dxf>
          </x14:cfRule>
          <xm:sqref>H197</xm:sqref>
        </x14:conditionalFormatting>
        <x14:conditionalFormatting xmlns:xm="http://schemas.microsoft.com/office/excel/2006/main">
          <x14:cfRule type="expression" priority="923" id="{632777D8-7F95-4603-9CDC-FEF0F6D05CF2}">
            <xm:f>Data1!$E$614="Yes"</xm:f>
            <x14:dxf>
              <font>
                <color theme="0"/>
              </font>
              <fill>
                <patternFill patternType="none">
                  <bgColor auto="1"/>
                </patternFill>
              </fill>
              <border>
                <left/>
                <right/>
                <top/>
                <bottom/>
                <vertical/>
                <horizontal/>
              </border>
            </x14:dxf>
          </x14:cfRule>
          <xm:sqref>R421:S421 P422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pane="bottomLeft" activeCell="E3" sqref="E3"/>
    </sheetView>
  </sheetViews>
  <sheetFormatPr defaultColWidth="8.81640625" defaultRowHeight="14.5"/>
  <cols>
    <col min="1" max="1" width="3" style="1328" customWidth="1"/>
    <col min="2" max="3" width="3.54296875" style="1328" customWidth="1"/>
    <col min="4" max="4" width="29.453125" style="1328" customWidth="1"/>
    <col min="5" max="8" width="15" style="1328" customWidth="1"/>
    <col min="9" max="9" width="11.81640625" style="1328" customWidth="1"/>
    <col min="10" max="10" width="8.81640625" style="1328" customWidth="1"/>
    <col min="11" max="11" width="3.54296875" style="1328" customWidth="1"/>
    <col min="12" max="13" width="3.81640625" style="1328" hidden="1" customWidth="1"/>
    <col min="14" max="14" width="35.81640625" style="1328" hidden="1" customWidth="1"/>
    <col min="15" max="15" width="3.54296875" style="1328" hidden="1" customWidth="1"/>
    <col min="16" max="16384" width="8.81640625" style="1328"/>
  </cols>
  <sheetData>
    <row r="1" spans="1:28" ht="35.9" customHeight="1" thickBot="1">
      <c r="A1" s="2326" t="s">
        <v>2133</v>
      </c>
      <c r="B1" s="2327"/>
      <c r="C1" s="2327"/>
      <c r="D1" s="2327"/>
      <c r="E1" s="2327"/>
      <c r="F1" s="2327"/>
      <c r="G1" s="2327"/>
      <c r="H1" s="2327"/>
      <c r="I1" s="2328"/>
      <c r="K1" s="2186"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"&amp;IF(Data1!G615=1,"is ","are ")&amp;TEXT(Data1!G615,"0")&amp;" required input field"&amp;IF(Data1!G615=1," that needs an entry","s that need entries")&amp;" and "&amp;TEXT(Data1!H615,"0")&amp;" optional input field"&amp;IF(Data1!H615=1,"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186"/>
      <c r="M1" s="2186"/>
      <c r="N1" s="2186"/>
      <c r="O1" s="2186"/>
      <c r="P1" s="2186"/>
      <c r="Q1" s="2186"/>
      <c r="R1" s="2186"/>
      <c r="S1" s="2186"/>
      <c r="T1" s="2186"/>
      <c r="U1" s="2186"/>
      <c r="V1" s="2186"/>
      <c r="W1" s="2186"/>
      <c r="X1" s="2186"/>
      <c r="Y1" s="2186"/>
      <c r="Z1" s="2186"/>
      <c r="AA1" s="2186"/>
      <c r="AB1" s="2186"/>
    </row>
    <row r="2" spans="1:28">
      <c r="K2" s="2186"/>
      <c r="L2" s="2186"/>
      <c r="M2" s="2186"/>
      <c r="N2" s="2186"/>
      <c r="O2" s="2186"/>
      <c r="P2" s="2186"/>
      <c r="Q2" s="2186"/>
      <c r="R2" s="2186"/>
      <c r="S2" s="2186"/>
      <c r="T2" s="2186"/>
      <c r="U2" s="2186"/>
      <c r="V2" s="2186"/>
      <c r="W2" s="2186"/>
      <c r="X2" s="2186"/>
      <c r="Y2" s="2186"/>
      <c r="Z2" s="2186"/>
      <c r="AA2" s="2186"/>
      <c r="AB2" s="2186"/>
    </row>
    <row r="3" spans="1:28" ht="17.5" customHeight="1">
      <c r="A3" s="1348" t="s">
        <v>206</v>
      </c>
      <c r="B3" s="1094" t="s">
        <v>1579</v>
      </c>
      <c r="E3" s="1959" t="s">
        <v>2</v>
      </c>
      <c r="L3" s="1841">
        <v>1</v>
      </c>
      <c r="M3" s="1842">
        <f>IF(E3&lt;&gt;"&lt;select one&gt;",L3,0)</f>
        <v>0</v>
      </c>
      <c r="N3" s="1840" t="str">
        <f>CHOOSE(L3+1,"Not to be included in this RFA","A REQUIRED input field for this RFA","An OPTIONAL input field for this RFA")</f>
        <v>A REQUIRED input field for this RFA</v>
      </c>
    </row>
    <row r="4" spans="1:28" ht="14.5" customHeight="1">
      <c r="C4" s="1349" t="s">
        <v>1580</v>
      </c>
      <c r="E4" s="1350"/>
      <c r="F4" s="1350"/>
      <c r="G4" s="1349"/>
      <c r="H4" s="1350"/>
      <c r="I4" s="1350"/>
      <c r="J4" s="1351"/>
      <c r="K4" s="1351"/>
      <c r="L4" s="2540" t="s">
        <v>1772</v>
      </c>
      <c r="M4" s="2540"/>
      <c r="N4" s="2540"/>
      <c r="O4" s="2540"/>
    </row>
    <row r="5" spans="1:28" ht="14.5" customHeight="1">
      <c r="C5" s="1350"/>
      <c r="D5" s="1352"/>
      <c r="E5" s="1350"/>
      <c r="F5" s="1350"/>
      <c r="G5" s="2542" t="str">
        <f>IF(E3="No","(This set of questions can be skipped based on the response in 4.A.11.a. above)","")</f>
        <v/>
      </c>
      <c r="H5" s="2542"/>
      <c r="I5" s="2542"/>
      <c r="J5" s="1351"/>
      <c r="K5" s="1351"/>
      <c r="L5" s="1572" t="s">
        <v>2081</v>
      </c>
    </row>
    <row r="6" spans="1:28" ht="17.5" customHeight="1">
      <c r="A6" s="1878" t="s">
        <v>215</v>
      </c>
      <c r="B6" s="1879" t="s">
        <v>1581</v>
      </c>
      <c r="C6" s="1350"/>
      <c r="D6" s="1350"/>
      <c r="E6" s="1350"/>
      <c r="G6" s="2542"/>
      <c r="H6" s="2542"/>
      <c r="I6" s="2542"/>
      <c r="L6" s="1572" t="s">
        <v>1775</v>
      </c>
    </row>
    <row r="7" spans="1:28" ht="17.5" customHeight="1">
      <c r="B7" s="1354" t="s">
        <v>208</v>
      </c>
      <c r="C7" s="1094" t="s">
        <v>1582</v>
      </c>
      <c r="D7" s="1094"/>
      <c r="E7" s="1094"/>
      <c r="F7" s="1959"/>
      <c r="G7" s="1094"/>
      <c r="H7" s="1094"/>
      <c r="I7" s="1094"/>
      <c r="J7" s="1094"/>
      <c r="K7" s="1094"/>
      <c r="L7" s="1954">
        <f>IF(O7=0,0,IF(AND(L$3&lt;&gt;0,E$3="No"),3,1))</f>
        <v>1</v>
      </c>
      <c r="M7" s="1958">
        <f>IF(N(F7)&gt;0,L7,0)</f>
        <v>0</v>
      </c>
      <c r="N7" s="1956" t="str">
        <f>CHOOSE(L7+1,"Not to be included in this RFA","A REQUIRED input field for this RFA","An OPTIONAL input field for this RFA","Not tracked in this RFA")</f>
        <v>A REQUIRED input field for this RFA</v>
      </c>
      <c r="O7" s="1957">
        <v>1</v>
      </c>
    </row>
    <row r="8" spans="1:28" ht="17.5" customHeight="1">
      <c r="B8" s="1354" t="s">
        <v>210</v>
      </c>
      <c r="C8" s="1094" t="s">
        <v>1583</v>
      </c>
      <c r="D8" s="1094"/>
      <c r="E8" s="1959"/>
      <c r="F8" s="1094"/>
      <c r="G8" s="1094"/>
      <c r="H8" s="1094"/>
      <c r="I8" s="1094"/>
      <c r="J8" s="1094"/>
      <c r="K8" s="1094"/>
      <c r="L8" s="1954">
        <f t="shared" ref="L8:L13" si="0">IF(O8=0,0,IF(AND(L$3&lt;&gt;0,E$3="No"),3,1))</f>
        <v>1</v>
      </c>
      <c r="M8" s="1958">
        <f>IF(N(E8)&gt;0,L8,0)</f>
        <v>0</v>
      </c>
      <c r="N8" s="1956" t="str">
        <f t="shared" ref="N8:N13" si="1">CHOOSE(L8+1,"Not to be included in this RFA","A REQUIRED input field for this RFA","An OPTIONAL input field for this RFA","Not tracked in this RFA")</f>
        <v>A REQUIRED input field for this RFA</v>
      </c>
      <c r="O8" s="1957">
        <v>1</v>
      </c>
    </row>
    <row r="9" spans="1:28" ht="14.5" customHeight="1">
      <c r="B9" s="1354" t="s">
        <v>212</v>
      </c>
      <c r="C9" s="2538" t="s">
        <v>2080</v>
      </c>
      <c r="D9" s="2538"/>
      <c r="E9" s="2538"/>
      <c r="F9" s="2538"/>
      <c r="G9" s="2538"/>
      <c r="H9" s="2539" t="s">
        <v>2</v>
      </c>
      <c r="I9" s="1094"/>
      <c r="J9" s="1355"/>
      <c r="K9" s="1355"/>
      <c r="L9" s="2201">
        <f t="shared" si="0"/>
        <v>1</v>
      </c>
      <c r="M9" s="2541">
        <f>IF(H9&lt;&gt;"&lt;select one&gt;",L9,0)</f>
        <v>0</v>
      </c>
      <c r="N9" s="2537" t="str">
        <f t="shared" si="1"/>
        <v>A REQUIRED input field for this RFA</v>
      </c>
      <c r="O9" s="2543">
        <v>1</v>
      </c>
    </row>
    <row r="10" spans="1:28" ht="14.5" customHeight="1">
      <c r="B10" s="1354"/>
      <c r="C10" s="2538"/>
      <c r="D10" s="2538"/>
      <c r="E10" s="2538"/>
      <c r="F10" s="2538"/>
      <c r="G10" s="2538"/>
      <c r="H10" s="2539"/>
      <c r="I10" s="1094"/>
      <c r="J10" s="1354"/>
      <c r="K10" s="1354"/>
      <c r="L10" s="2201"/>
      <c r="M10" s="2541"/>
      <c r="N10" s="2537"/>
      <c r="O10" s="2544"/>
    </row>
    <row r="11" spans="1:28" ht="17.5" customHeight="1">
      <c r="B11" s="1094"/>
      <c r="C11" s="1094"/>
      <c r="D11" s="1094" t="s">
        <v>1584</v>
      </c>
      <c r="E11" s="1094"/>
      <c r="F11" s="1959"/>
      <c r="G11" s="1094"/>
      <c r="H11" s="1094"/>
      <c r="I11" s="1094"/>
      <c r="J11" s="1094"/>
      <c r="K11" s="1094"/>
      <c r="L11" s="1954">
        <f t="shared" si="0"/>
        <v>1</v>
      </c>
      <c r="M11" s="1958">
        <f>IF(N(F11)&gt;0,L11,0)</f>
        <v>0</v>
      </c>
      <c r="N11" s="1956" t="str">
        <f t="shared" si="1"/>
        <v>A REQUIRED input field for this RFA</v>
      </c>
      <c r="O11" s="1957">
        <v>1</v>
      </c>
    </row>
    <row r="12" spans="1:28" ht="17.5" customHeight="1">
      <c r="B12" s="1354" t="s">
        <v>1493</v>
      </c>
      <c r="C12" s="1094" t="s">
        <v>1585</v>
      </c>
      <c r="D12" s="1094"/>
      <c r="E12" s="1094"/>
      <c r="F12" s="1094"/>
      <c r="G12" s="1959" t="s">
        <v>2</v>
      </c>
      <c r="I12" s="1094"/>
      <c r="J12" s="1094"/>
      <c r="K12" s="1094"/>
      <c r="L12" s="1954">
        <f t="shared" si="0"/>
        <v>1</v>
      </c>
      <c r="M12" s="1958">
        <f>IF(G12&lt;&gt;"&lt;select one&gt;",L12,0)</f>
        <v>0</v>
      </c>
      <c r="N12" s="1956" t="str">
        <f t="shared" si="1"/>
        <v>A REQUIRED input field for this RFA</v>
      </c>
      <c r="O12" s="1957">
        <v>1</v>
      </c>
    </row>
    <row r="13" spans="1:28" ht="17.5" customHeight="1">
      <c r="B13" s="1094"/>
      <c r="D13" s="1094" t="s">
        <v>1586</v>
      </c>
      <c r="E13" s="1094"/>
      <c r="F13" s="1094"/>
      <c r="G13" s="1959"/>
      <c r="H13" s="1094"/>
      <c r="I13" s="1094"/>
      <c r="J13" s="1094"/>
      <c r="K13" s="1094"/>
      <c r="L13" s="1954">
        <f t="shared" si="0"/>
        <v>1</v>
      </c>
      <c r="M13" s="1958">
        <f>IF(N(G13)&gt;0,L13,0)</f>
        <v>0</v>
      </c>
      <c r="N13" s="1956" t="str">
        <f t="shared" si="1"/>
        <v>A REQUIRED input field for this RFA</v>
      </c>
      <c r="O13" s="1957">
        <v>1</v>
      </c>
    </row>
    <row r="14" spans="1:28" ht="14.5" customHeight="1">
      <c r="B14" s="1094"/>
      <c r="C14" s="1094"/>
      <c r="D14" s="1094"/>
      <c r="E14" s="1094"/>
      <c r="F14" s="1094"/>
      <c r="G14" s="1094"/>
      <c r="H14" s="1094"/>
      <c r="I14" s="1094"/>
      <c r="J14" s="1094"/>
      <c r="K14" s="1094"/>
    </row>
    <row r="15" spans="1:28" ht="17.5" customHeight="1">
      <c r="A15" s="1348" t="s">
        <v>231</v>
      </c>
      <c r="B15" s="1353" t="s">
        <v>1587</v>
      </c>
      <c r="C15" s="1094"/>
      <c r="D15" s="1094"/>
      <c r="E15" s="1094"/>
      <c r="F15" s="1094"/>
      <c r="G15" s="1094"/>
      <c r="H15" s="1094"/>
      <c r="I15" s="1094"/>
      <c r="J15" s="1094"/>
      <c r="K15" s="1094"/>
    </row>
    <row r="16" spans="1:28" ht="17.5" customHeight="1">
      <c r="B16" s="1094" t="s">
        <v>1588</v>
      </c>
      <c r="C16" s="1094"/>
      <c r="D16" s="1094"/>
      <c r="E16" s="1094"/>
      <c r="F16" s="1959" t="s">
        <v>2</v>
      </c>
      <c r="G16" s="1804"/>
      <c r="H16" s="1803"/>
      <c r="I16" s="2536" t="str">
        <f>IF(F16="Yes","(Questions (2) through (4) can be skipped based on the response in 11.c.(1))","")</f>
        <v/>
      </c>
      <c r="J16" s="1094"/>
      <c r="K16" s="1094"/>
      <c r="L16" s="1957">
        <v>1</v>
      </c>
      <c r="M16" s="1958">
        <f>IF(F16&lt;&gt;"&lt;select one&gt;",L16,0)</f>
        <v>0</v>
      </c>
      <c r="N16" s="1956" t="str">
        <f>CHOOSE(L16+1,"Not to be included in this RFA","A REQUIRED input field for this RFA","An OPTIONAL input field for this RFA","Not tracked in this RFA")</f>
        <v>A REQUIRED input field for this RFA</v>
      </c>
      <c r="O16" s="1957">
        <v>1</v>
      </c>
    </row>
    <row r="17" spans="2:15" ht="14.5" customHeight="1">
      <c r="B17" s="1094"/>
      <c r="D17" s="1094" t="s">
        <v>1589</v>
      </c>
      <c r="E17" s="1094"/>
      <c r="F17" s="1094"/>
      <c r="G17" s="1804"/>
      <c r="H17" s="1804"/>
      <c r="I17" s="2536"/>
      <c r="J17" s="1094"/>
      <c r="K17" s="1094"/>
    </row>
    <row r="18" spans="2:15" ht="14.5" customHeight="1">
      <c r="B18" s="1094"/>
      <c r="D18" s="1094" t="s">
        <v>1590</v>
      </c>
      <c r="E18" s="1094"/>
      <c r="F18" s="1094"/>
      <c r="G18" s="1804"/>
      <c r="H18" s="1804"/>
      <c r="I18" s="2536"/>
      <c r="J18" s="1094"/>
      <c r="K18" s="1094"/>
    </row>
    <row r="19" spans="2:15" ht="17.5" customHeight="1">
      <c r="B19" s="1094" t="s">
        <v>1591</v>
      </c>
      <c r="C19" s="1094"/>
      <c r="D19" s="1094"/>
      <c r="E19" s="1094"/>
      <c r="F19" s="1959" t="s">
        <v>2</v>
      </c>
      <c r="G19" s="1803"/>
      <c r="H19" s="2536" t="str">
        <f>IF(F19="Yes","(Questions (3) and (4) can be skipped based on the response in 11.c.(2))","")</f>
        <v/>
      </c>
      <c r="I19" s="2536"/>
      <c r="J19" s="1094"/>
      <c r="K19" s="1094"/>
      <c r="L19" s="1715">
        <f>IF(O19=0,0,IF(F$16="Yes",3,O19))</f>
        <v>1</v>
      </c>
      <c r="M19" s="1958">
        <f>IF(F19&lt;&gt;"&lt;select one&gt;",L19,0)</f>
        <v>0</v>
      </c>
      <c r="N19" s="1956" t="str">
        <f>CHOOSE(L19+1,"Not to be included in this RFA","A REQUIRED input field for this RFA","An OPTIONAL input field for this RFA","Not tracked in this RFA")</f>
        <v>A REQUIRED input field for this RFA</v>
      </c>
      <c r="O19" s="1957">
        <f>IF(I$16="Yes",2,1)</f>
        <v>1</v>
      </c>
    </row>
    <row r="20" spans="2:15">
      <c r="B20" s="1094"/>
      <c r="D20" s="1094" t="s">
        <v>1592</v>
      </c>
      <c r="E20" s="1094"/>
      <c r="F20" s="1094"/>
      <c r="G20" s="2536" t="str">
        <f>IF(F22="No","(Question (4) can be skipped based on the response in 11.c.(3))","")</f>
        <v/>
      </c>
      <c r="H20" s="2536"/>
      <c r="I20" s="2536"/>
      <c r="J20" s="1094"/>
      <c r="K20" s="1094"/>
    </row>
    <row r="21" spans="2:15">
      <c r="B21" s="1094"/>
      <c r="D21" s="1094" t="s">
        <v>1593</v>
      </c>
      <c r="E21" s="1094"/>
      <c r="F21" s="1094"/>
      <c r="G21" s="2536"/>
      <c r="H21" s="2536"/>
      <c r="I21" s="2536"/>
      <c r="J21" s="1094"/>
      <c r="K21" s="1094"/>
    </row>
    <row r="22" spans="2:15" ht="17.5" customHeight="1">
      <c r="B22" s="1094" t="s">
        <v>1594</v>
      </c>
      <c r="C22" s="1094"/>
      <c r="D22" s="1094"/>
      <c r="E22" s="1094"/>
      <c r="F22" s="1959" t="s">
        <v>2</v>
      </c>
      <c r="G22" s="2536"/>
      <c r="H22" s="2536"/>
      <c r="I22" s="2536"/>
      <c r="J22" s="1094"/>
      <c r="K22" s="1094"/>
      <c r="L22" s="1715">
        <f>IF(O22=0,0,IF(OR(F$16="Yes",F$19="Yes"),3,O22))</f>
        <v>1</v>
      </c>
      <c r="M22" s="1958">
        <f>IF(F22&lt;&gt;"&lt;select one&gt;",L22,0)</f>
        <v>0</v>
      </c>
      <c r="N22" s="1956" t="str">
        <f>CHOOSE(L22+1,"Not to be included in this RFA","A REQUIRED input field for this RFA","An OPTIONAL input field for this RFA","Not tracked in this RFA")</f>
        <v>A REQUIRED input field for this RFA</v>
      </c>
      <c r="O22" s="1957">
        <f>IF(OR(I$16="Yes",I$19="Yes"),2,1)</f>
        <v>1</v>
      </c>
    </row>
    <row r="23" spans="2:15" ht="14.5" customHeight="1">
      <c r="B23" s="1094"/>
      <c r="D23" s="1094" t="s">
        <v>1595</v>
      </c>
      <c r="E23" s="1094"/>
      <c r="F23" s="1094"/>
      <c r="G23" s="2536"/>
      <c r="H23" s="2536"/>
      <c r="I23" s="2536"/>
      <c r="J23" s="1094"/>
      <c r="K23" s="1094"/>
    </row>
    <row r="24" spans="2:15" ht="14.5" customHeight="1">
      <c r="B24" s="1094"/>
      <c r="D24" s="1094" t="s">
        <v>1596</v>
      </c>
      <c r="E24" s="1094"/>
      <c r="F24" s="1094"/>
      <c r="G24" s="2536"/>
      <c r="H24" s="2536"/>
      <c r="I24" s="2536"/>
      <c r="J24" s="1094"/>
      <c r="K24" s="1094"/>
    </row>
    <row r="25" spans="2:15" ht="17.5" customHeight="1">
      <c r="B25" s="1094" t="s">
        <v>1597</v>
      </c>
      <c r="C25" s="1094"/>
      <c r="D25" s="1094"/>
      <c r="E25" s="1094"/>
      <c r="F25" s="1959" t="s">
        <v>2</v>
      </c>
      <c r="G25" s="2536"/>
      <c r="H25" s="2536"/>
      <c r="I25" s="2536"/>
      <c r="J25" s="1094"/>
      <c r="K25" s="1094"/>
      <c r="L25" s="1715">
        <f>IF(O25=0,0,IF(OR(F$16="Yes",F$19="Yes",F$22="No"),3,O25))</f>
        <v>1</v>
      </c>
      <c r="M25" s="1958">
        <f>IF(F25&lt;&gt;"&lt;select one&gt;",L25,0)</f>
        <v>0</v>
      </c>
      <c r="N25" s="1956" t="str">
        <f>CHOOSE(L25+1,"Not to be included in this RFA","A REQUIRED input field for this RFA","An OPTIONAL input field for this RFA","Not tracked in this RFA")</f>
        <v>A REQUIRED input field for this RFA</v>
      </c>
      <c r="O25" s="1957">
        <f>IF(OR(I$16="Yes",I$19="Yes",I$22="No"),2,1)</f>
        <v>1</v>
      </c>
    </row>
    <row r="26" spans="2:15" ht="14.5" customHeight="1">
      <c r="B26" s="1094"/>
      <c r="D26" s="1527"/>
      <c r="E26" s="1094"/>
      <c r="F26" s="1094"/>
      <c r="J26" s="1094"/>
      <c r="K26" s="1094"/>
    </row>
    <row r="27" spans="2:15" ht="14.5" customHeight="1">
      <c r="B27" s="1094"/>
      <c r="D27" s="1527"/>
      <c r="E27" s="1094"/>
      <c r="F27" s="1094"/>
      <c r="J27" s="1094"/>
      <c r="K27" s="1094"/>
    </row>
    <row r="28" spans="2:15" ht="15.65" customHeight="1"/>
    <row r="29" spans="2:15" ht="15.65" customHeight="1">
      <c r="H29" s="1803"/>
      <c r="I29" s="1803"/>
    </row>
    <row r="30" spans="2:15" ht="15.65" customHeight="1">
      <c r="H30" s="1803"/>
      <c r="I30" s="1803"/>
    </row>
    <row r="31" spans="2:15" ht="15.65" customHeight="1"/>
    <row r="32" spans="2:15" ht="15.65" customHeight="1"/>
    <row r="33" ht="15.65" customHeight="1"/>
    <row r="34" ht="15.65" customHeight="1"/>
    <row r="35" ht="15.65" customHeight="1"/>
    <row r="36" ht="15.65" customHeight="1"/>
    <row r="37" ht="15.65" customHeight="1"/>
    <row r="38" ht="15.65" customHeight="1"/>
  </sheetData>
  <sheetProtection algorithmName="SHA-512" hashValue="NxofQPALy0EwbA4EKN9z6d7sv6Pr/C/s06guBjsiaNZU9bPc/okwDkmczTLSX4ZGlk2pVinFb8ax78GOn/JS2w==" saltValue="8SgP3RLudPZoAnS66sSKPQ==" spinCount="100000" sheet="1" objects="1" scenarios="1" formatRows="0" selectLockedCells="1"/>
  <mergeCells count="13">
    <mergeCell ref="H19:H25"/>
    <mergeCell ref="I16:I25"/>
    <mergeCell ref="G20:G25"/>
    <mergeCell ref="N9:N10"/>
    <mergeCell ref="A1:I1"/>
    <mergeCell ref="C9:G10"/>
    <mergeCell ref="H9:H10"/>
    <mergeCell ref="K1:AB2"/>
    <mergeCell ref="L4:O4"/>
    <mergeCell ref="L9:L10"/>
    <mergeCell ref="M9:M10"/>
    <mergeCell ref="G5:I6"/>
    <mergeCell ref="O9:O10"/>
  </mergeCells>
  <conditionalFormatting sqref="E3 H9 G12 F16 F19 F22 F25">
    <cfRule type="cellIs" dxfId="33" priority="2" operator="notEqual">
      <formula>"&lt;select one&gt;"</formula>
    </cfRule>
  </conditionalFormatting>
  <conditionalFormatting sqref="F7 E8 F11 G13">
    <cfRule type="cellIs" dxfId="32" priority="4" operator="notEqual">
      <formula>""</formula>
    </cfRule>
  </conditionalFormatting>
  <conditionalFormatting sqref="D11:F11">
    <cfRule type="expression" dxfId="31" priority="7">
      <formula>$H$9="No"</formula>
    </cfRule>
  </conditionalFormatting>
  <conditionalFormatting sqref="A6:E6 B7:H13">
    <cfRule type="expression" dxfId="30" priority="3">
      <formula>$E$3="No"</formula>
    </cfRule>
  </conditionalFormatting>
  <conditionalFormatting sqref="D13:F13">
    <cfRule type="expression" dxfId="29" priority="8">
      <formula>$G$12="No"</formula>
    </cfRule>
  </conditionalFormatting>
  <conditionalFormatting sqref="B19:E25">
    <cfRule type="expression" dxfId="28" priority="9">
      <formula>$F$16="Yes"</formula>
    </cfRule>
  </conditionalFormatting>
  <conditionalFormatting sqref="B22:E25">
    <cfRule type="expression" dxfId="27" priority="13">
      <formula>$F$19="Yes"</formula>
    </cfRule>
  </conditionalFormatting>
  <conditionalFormatting sqref="B25:E25">
    <cfRule type="expression" dxfId="26" priority="16">
      <formula>$F$22="No"</formula>
    </cfRule>
  </conditionalFormatting>
  <conditionalFormatting sqref="F19 F22 F25">
    <cfRule type="expression" dxfId="25" priority="10">
      <formula>$F$16="Yes"</formula>
    </cfRule>
  </conditionalFormatting>
  <conditionalFormatting sqref="F22 F25">
    <cfRule type="expression" dxfId="24" priority="15">
      <formula>"$f$19=""Yes"""</formula>
    </cfRule>
  </conditionalFormatting>
  <conditionalFormatting sqref="F25">
    <cfRule type="expression" dxfId="23" priority="19">
      <formula>$F$22="No"</formula>
    </cfRule>
  </conditionalFormatting>
  <conditionalFormatting sqref="F7 E8 H9 F11 G12 G13">
    <cfRule type="expression" dxfId="22" priority="5">
      <formula>$E$3="No"</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3 L11:L13 O11:O13 L16 L19 O25 L22 O22 O7:O9 O16 O19 L7:L9 L25"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D3366D9-172F-4506-A4DF-9B87808D2E31}">
            <xm:f>Data1!$E$615="Yes"</xm:f>
            <x14:dxf>
              <font>
                <color theme="0"/>
              </font>
              <fill>
                <patternFill>
                  <bgColor theme="0"/>
                </patternFill>
              </fill>
              <border>
                <left/>
                <right/>
                <top/>
                <bottom/>
                <vertical/>
                <horizontal/>
              </border>
            </x14:dxf>
          </x14:cfRule>
          <xm:sqref>L3:N3 L5:N6 L7:O13 L16:O16 L19:O19 L22:O22 L25:O25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dimension ref="A1:R45"/>
  <sheetViews>
    <sheetView showGridLines="0" zoomScaleNormal="100" zoomScaleSheetLayoutView="100" workbookViewId="0">
      <pane ySplit="2" topLeftCell="A3" activePane="bottomLeft" state="frozen"/>
      <selection pane="bottomLeft" activeCell="O24" sqref="O24"/>
    </sheetView>
  </sheetViews>
  <sheetFormatPr defaultColWidth="8.54296875" defaultRowHeight="14.5"/>
  <cols>
    <col min="1" max="1" width="3" style="42" customWidth="1"/>
    <col min="2" max="3" width="3.54296875" style="42" customWidth="1"/>
    <col min="4" max="4" width="4.453125" style="42" customWidth="1"/>
    <col min="5" max="5" width="8.54296875" style="42"/>
    <col min="6" max="6" width="12.54296875" style="42" customWidth="1"/>
    <col min="7" max="8" width="18.453125" style="42" customWidth="1"/>
    <col min="9" max="9" width="20.81640625" style="42" customWidth="1"/>
    <col min="10" max="10" width="18.1796875" style="42" customWidth="1"/>
    <col min="11" max="11" width="8.81640625" style="42" customWidth="1"/>
    <col min="12" max="14" width="3.54296875" style="42" customWidth="1"/>
    <col min="15" max="15" width="35.81640625" style="42" customWidth="1"/>
    <col min="16" max="16" width="3.54296875" style="42" customWidth="1"/>
    <col min="17" max="16384" width="8.54296875" style="42"/>
  </cols>
  <sheetData>
    <row r="1" spans="1:18" ht="35.9" customHeight="1" thickBot="1">
      <c r="A1" s="2115" t="s">
        <v>478</v>
      </c>
      <c r="B1" s="2116"/>
      <c r="C1" s="2116"/>
      <c r="D1" s="2116"/>
      <c r="E1" s="2116"/>
      <c r="F1" s="2116"/>
      <c r="G1" s="2116"/>
      <c r="H1" s="2116"/>
      <c r="I1" s="2116"/>
      <c r="J1" s="2117"/>
      <c r="K1" s="62"/>
    </row>
    <row r="2" spans="1:18" ht="14.5" customHeight="1">
      <c r="A2" s="4"/>
      <c r="B2" s="4"/>
      <c r="C2" s="4"/>
      <c r="D2" s="4"/>
      <c r="E2" s="4"/>
      <c r="F2" s="4"/>
      <c r="G2" s="4"/>
      <c r="M2" s="2147" t="s">
        <v>1772</v>
      </c>
      <c r="N2" s="2147"/>
      <c r="O2" s="2147"/>
      <c r="P2" s="2147"/>
    </row>
    <row r="3" spans="1:18" ht="35.15" customHeight="1">
      <c r="A3" s="1774" t="str">
        <f>IF($O$3=0,"","a")</f>
        <v>a</v>
      </c>
      <c r="B3" s="2134" t="str">
        <f>"Based on the selected Development Category of "&amp;Development_Category&amp;", the Applicant "&amp;IF(OR(Development_Category="Rehabilitation",Development_Category="Acquisition and Rehabilitation",Development_Category="Preservation",Development_Category="Acquisition and Preservation"),"will automatically receive the maximum points.",IF(Development_Category="&lt;select one&gt;","is still dependent upon the Development Category to be selected on whether or not it will automatically earn the maximum points.","does NOT automatically receive the maximum points."))</f>
        <v>Based on the selected Development Category of New Construction, the Applicant does NOT automatically receive the maximum points.</v>
      </c>
      <c r="C3" s="2134"/>
      <c r="D3" s="2134"/>
      <c r="E3" s="2134"/>
      <c r="F3" s="2134"/>
      <c r="G3" s="2134"/>
      <c r="H3" s="2134"/>
      <c r="I3" s="2134"/>
      <c r="J3" s="2134"/>
      <c r="M3" s="1773"/>
      <c r="N3" s="1773"/>
      <c r="O3" s="1110">
        <v>1</v>
      </c>
      <c r="P3" s="1773"/>
    </row>
    <row r="4" spans="1:18" ht="45" customHeight="1">
      <c r="A4" s="1774" t="str">
        <f>IF($O$3=0,"","b")</f>
        <v>b</v>
      </c>
      <c r="B4" s="2134" t="s">
        <v>1955</v>
      </c>
      <c r="C4" s="2134"/>
      <c r="D4" s="2134"/>
      <c r="E4" s="2134"/>
      <c r="F4" s="2134"/>
      <c r="G4" s="2134"/>
      <c r="H4" s="2134"/>
      <c r="I4" s="2134"/>
      <c r="J4" s="405" t="s">
        <v>2</v>
      </c>
      <c r="M4" s="1773"/>
      <c r="N4" s="1773"/>
      <c r="O4" s="1773"/>
      <c r="P4" s="1773"/>
    </row>
    <row r="5" spans="1:18" ht="10.4" customHeight="1">
      <c r="B5" s="4"/>
      <c r="C5" s="4"/>
      <c r="D5" s="4"/>
      <c r="E5" s="4"/>
      <c r="F5" s="4"/>
      <c r="G5" s="4"/>
    </row>
    <row r="6" spans="1:18" ht="30" customHeight="1">
      <c r="A6" s="1774" t="str">
        <f>IF($O$3=0,"","c")</f>
        <v>c</v>
      </c>
      <c r="B6" s="2134" t="s">
        <v>1956</v>
      </c>
      <c r="C6" s="2134"/>
      <c r="D6" s="2134"/>
      <c r="E6" s="2134"/>
      <c r="F6" s="2134"/>
      <c r="G6" s="2134"/>
      <c r="H6" s="2134"/>
      <c r="I6" s="2134"/>
      <c r="J6" s="2134"/>
      <c r="M6" s="45"/>
      <c r="N6" s="45"/>
      <c r="O6" s="45"/>
      <c r="P6" s="45"/>
      <c r="Q6" s="45"/>
      <c r="R6" s="45"/>
    </row>
    <row r="7" spans="1:18" ht="10.4" customHeight="1">
      <c r="B7" s="71"/>
      <c r="C7" s="416"/>
      <c r="D7" s="416"/>
      <c r="E7" s="416"/>
      <c r="F7" s="416"/>
      <c r="G7" s="416"/>
      <c r="H7" s="417"/>
      <c r="I7" s="417"/>
      <c r="J7" s="417"/>
    </row>
    <row r="8" spans="1:18" ht="77.150000000000006" customHeight="1">
      <c r="B8" s="2103" t="s">
        <v>1960</v>
      </c>
      <c r="C8" s="2103"/>
      <c r="D8" s="2103"/>
      <c r="E8" s="2103"/>
      <c r="F8" s="2103"/>
      <c r="G8" s="2103"/>
      <c r="H8" s="2103"/>
      <c r="I8" s="2103"/>
      <c r="J8" s="2103"/>
    </row>
    <row r="9" spans="1:18" ht="10.4" customHeight="1">
      <c r="A9" s="71"/>
      <c r="B9" s="416"/>
      <c r="C9" s="416"/>
      <c r="D9" s="416"/>
      <c r="E9" s="416"/>
      <c r="F9" s="416"/>
      <c r="G9" s="416"/>
      <c r="H9" s="417"/>
      <c r="I9" s="417"/>
      <c r="J9" s="417"/>
    </row>
    <row r="10" spans="1:18" ht="17.5" customHeight="1" thickBot="1">
      <c r="B10" s="419" t="s">
        <v>755</v>
      </c>
      <c r="C10" s="420"/>
      <c r="D10" s="420"/>
      <c r="E10" s="420"/>
      <c r="F10" s="420"/>
      <c r="G10" s="425" t="s">
        <v>756</v>
      </c>
      <c r="H10" s="425" t="s">
        <v>757</v>
      </c>
      <c r="I10" s="426" t="s">
        <v>758</v>
      </c>
      <c r="J10" s="417"/>
      <c r="M10" s="1573" t="s">
        <v>1962</v>
      </c>
    </row>
    <row r="11" spans="1:18" ht="17.5" customHeight="1">
      <c r="B11" s="421" t="s">
        <v>759</v>
      </c>
      <c r="C11" s="422"/>
      <c r="D11" s="422"/>
      <c r="E11" s="422"/>
      <c r="F11" s="422"/>
      <c r="G11" s="438"/>
      <c r="H11" s="438"/>
      <c r="I11" s="427">
        <f>N(G11)-N(H11)</f>
        <v>0</v>
      </c>
      <c r="J11" s="417"/>
      <c r="M11" s="1573" t="s">
        <v>1961</v>
      </c>
    </row>
    <row r="12" spans="1:18" ht="17.5" customHeight="1">
      <c r="B12" s="423" t="s">
        <v>760</v>
      </c>
      <c r="C12" s="424"/>
      <c r="D12" s="424"/>
      <c r="E12" s="424"/>
      <c r="F12" s="424"/>
      <c r="G12" s="439"/>
      <c r="H12" s="433"/>
      <c r="I12" s="428">
        <f>N(G12)-N(H12)</f>
        <v>0</v>
      </c>
      <c r="J12" s="417"/>
    </row>
    <row r="13" spans="1:18" ht="17.5" customHeight="1">
      <c r="B13" s="423" t="s">
        <v>761</v>
      </c>
      <c r="C13" s="424"/>
      <c r="D13" s="424"/>
      <c r="E13" s="424"/>
      <c r="F13" s="424"/>
      <c r="G13" s="439"/>
      <c r="H13" s="434"/>
      <c r="I13" s="428">
        <f>N(G13)-N(H13)</f>
        <v>0</v>
      </c>
      <c r="J13" s="417"/>
    </row>
    <row r="14" spans="1:18" ht="17.5" customHeight="1">
      <c r="B14" s="423" t="s">
        <v>762</v>
      </c>
      <c r="C14" s="424"/>
      <c r="D14" s="424"/>
      <c r="E14" s="424"/>
      <c r="F14" s="424"/>
      <c r="G14" s="439"/>
      <c r="H14" s="440"/>
      <c r="I14" s="428">
        <f>N(G14)-N(H14)</f>
        <v>0</v>
      </c>
      <c r="J14" s="417"/>
    </row>
    <row r="15" spans="1:18" ht="5.15" customHeight="1" thickBot="1">
      <c r="B15" s="418"/>
      <c r="C15" s="416"/>
      <c r="D15" s="416"/>
      <c r="E15" s="416"/>
      <c r="F15" s="416"/>
      <c r="G15" s="1086"/>
      <c r="H15" s="1086"/>
      <c r="I15" s="435"/>
      <c r="J15" s="417"/>
    </row>
    <row r="16" spans="1:18" ht="17.5" customHeight="1" thickTop="1">
      <c r="B16" s="429" t="s">
        <v>763</v>
      </c>
      <c r="C16" s="430"/>
      <c r="D16" s="430"/>
      <c r="E16" s="430"/>
      <c r="F16" s="430"/>
      <c r="G16" s="431">
        <f>SUM(G11:G15)</f>
        <v>0</v>
      </c>
      <c r="H16" s="431">
        <f>SUM(H11:H15)</f>
        <v>0</v>
      </c>
      <c r="I16" s="432">
        <f>SUM(I11:I15)</f>
        <v>0</v>
      </c>
      <c r="J16" s="417"/>
    </row>
    <row r="17" spans="1:16" ht="10.4" customHeight="1">
      <c r="A17" s="71"/>
      <c r="B17" s="416"/>
      <c r="C17" s="416"/>
      <c r="D17" s="416"/>
      <c r="E17" s="416"/>
      <c r="F17" s="416"/>
      <c r="G17" s="416"/>
      <c r="H17" s="417"/>
      <c r="I17" s="417"/>
      <c r="J17" s="417"/>
    </row>
    <row r="18" spans="1:16" ht="100" customHeight="1">
      <c r="B18" s="2134" t="str">
        <f>IF(OR(Development_Category="Rehabilitation",Development_Category="Acquisition and Rehabilitation",Development_Category="Preservation",Development_Category="Acquisition and Preservation"),""," In order for the Applicant to receive the maximum of five points without the automatic qualification, the applicable Local Government Verification of Contribution form(s) "&amp;"provided as evidence of Local Government grant(s), loan(s), fee waiver(s) and/or fee deferral(s) "&amp;"meeting the eligibility criteria for such contributions must have "&amp;IF(Data1!B591="Face","a face amount(s) of the commitment(s)",IF(Data1!B591="Δ NPV","a total amount calculated by taking the face amount of the commitment(s) minus the net present value of the commitment(s) (per RFA guidelines)","TBD"))&amp;" with a cumulative total dollar amount equal to or greater than "&amp;TEXT(IFERROR(VLOOKUP(County,DS_CountyData,3),"TBD"),"$#,##0")&amp;".  Applicants that do not have the necessary contribution amount to achieve maximum points will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18" s="2134"/>
      <c r="D18" s="2134"/>
      <c r="E18" s="2134"/>
      <c r="F18" s="2134"/>
      <c r="G18" s="2134"/>
      <c r="H18" s="2134"/>
      <c r="I18" s="2134"/>
      <c r="J18" s="2134"/>
      <c r="K18" s="45"/>
    </row>
    <row r="19" spans="1:16" ht="35.15" customHeight="1">
      <c r="B19" s="2546" t="str">
        <f>"Based on the above information, it appears the Applicant would receive a total of "&amp;TEXT(IF(OR(Development_Category="Rehabilitation",Development_Category="Acquisition and Rehabilitation",Development_Category="Preservation",Development_Category="Acquisition and Preservation"),5,MIN(5,ROUND(5*IF(Data1!B591="Face",G16,I16)/IF(IFERROR(VLOOKUP(County,DS_CountyData,3),1)="NA",1,IFERROR(VLOOKUP(County,DS_CountyData,3),1)),2))),"0.00")&amp;" points towards the 5-point Local Government Contribution Points."</f>
        <v>Based on the above information, it appears the Applicant would receive a total of 0.00 points towards the 5-point Local Government Contribution Points.</v>
      </c>
      <c r="C19" s="2546"/>
      <c r="D19" s="2546"/>
      <c r="E19" s="2546"/>
      <c r="F19" s="2546"/>
      <c r="G19" s="2546"/>
      <c r="H19" s="2546"/>
      <c r="I19" s="2546"/>
      <c r="J19" s="2546"/>
      <c r="K19" s="45"/>
    </row>
    <row r="20" spans="1:16" ht="10.4" customHeight="1"/>
    <row r="21" spans="1:16" ht="50.15" customHeight="1">
      <c r="A21" s="1774" t="str">
        <f>IF($O$3=0,"","d")</f>
        <v>d</v>
      </c>
      <c r="B21" s="2103" t="s">
        <v>1957</v>
      </c>
      <c r="C21" s="2103"/>
      <c r="D21" s="2103"/>
      <c r="E21" s="2103"/>
      <c r="F21" s="2103"/>
      <c r="G21" s="2103"/>
      <c r="H21" s="2103"/>
      <c r="I21" s="2103"/>
      <c r="J21" s="1753" t="s">
        <v>2</v>
      </c>
    </row>
    <row r="22" spans="1:16">
      <c r="B22" s="436" t="s">
        <v>764</v>
      </c>
      <c r="O22" s="2042" t="s">
        <v>753</v>
      </c>
    </row>
    <row r="23" spans="1:16" ht="10.4" customHeight="1">
      <c r="B23" s="436"/>
      <c r="O23" s="2042"/>
    </row>
    <row r="24" spans="1:16" ht="95.15" customHeight="1">
      <c r="B24" s="2232" t="str">
        <f>"Qualifications for the Local Government Areas of Opportunity Designation include a demonstration of a high level of interest in the development"&amp;" via an increased amont of Local Government contributions in the form of cash loans and/or cash grants with a minium total amount of "&amp;TEXT(IFERROR(VLOOKUP(County,DS_CountyData,4),"TBD"),"$#,##0")&amp;" for "&amp;IF(County="&lt;select one&gt;","(not yet selected)",County)&amp;" County. In addition, a Local Government can only contribute to one Application that qualifies for the Local Government Area of Opportunity Designation. "&amp;"Please enter the name(s) of the Local Government(s) below that contributed cash loans and/or cash grants to earn the designation for the proposed Development as well as the amounts."</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below that contributed cash loans and/or cash grants to earn the designation for the proposed Development as well as the amounts.</v>
      </c>
      <c r="C24" s="2232"/>
      <c r="D24" s="2232"/>
      <c r="E24" s="2232"/>
      <c r="F24" s="2232"/>
      <c r="G24" s="2232"/>
      <c r="H24" s="2232"/>
      <c r="I24" s="2232"/>
      <c r="J24" s="2232"/>
      <c r="O24" s="1839" t="s">
        <v>191</v>
      </c>
      <c r="P24" s="25"/>
    </row>
    <row r="25" spans="1:16" ht="10.4" customHeight="1">
      <c r="O25" s="2545" t="str">
        <f>"(Given a '"&amp;O3&amp;"' in O3, a "&amp;IF(O24="No","'Yes' above will add rows "&amp;CHOOSE(O3+1," 22:33 and 36:44."," 21 and 23:35."),"'No' above will remove lines "&amp;CHOOSE(O3+1," 22:33 and 36:44."&amp;CHOOSE(O3+1,", eliminating all lines on this page.","")," 21 and 23:35."))&amp;IF(O24="&lt;select one&gt;"," and a 'Yes' will keep everything as presented.","")&amp;")"</f>
        <v>(Given a '1' in O3, a 'No' above will remove lines  21 and 23:35.)</v>
      </c>
      <c r="P25" s="2545"/>
    </row>
    <row r="26" spans="1:16" ht="15" customHeight="1" thickBot="1">
      <c r="B26" s="2549" t="s">
        <v>765</v>
      </c>
      <c r="C26" s="2550"/>
      <c r="D26" s="2550"/>
      <c r="E26" s="2550"/>
      <c r="F26" s="2550"/>
      <c r="G26" s="2550"/>
      <c r="H26" s="425" t="s">
        <v>767</v>
      </c>
      <c r="I26" s="426" t="s">
        <v>768</v>
      </c>
      <c r="J26" s="426" t="s">
        <v>766</v>
      </c>
      <c r="O26" s="2545"/>
      <c r="P26" s="2545"/>
    </row>
    <row r="27" spans="1:16">
      <c r="B27" s="2551"/>
      <c r="C27" s="2552"/>
      <c r="D27" s="2552"/>
      <c r="E27" s="2552"/>
      <c r="F27" s="2552"/>
      <c r="G27" s="2552"/>
      <c r="H27" s="450"/>
      <c r="I27" s="451"/>
      <c r="J27" s="447">
        <f>SUM(H27:I27)</f>
        <v>0</v>
      </c>
      <c r="O27" s="2545"/>
      <c r="P27" s="2545"/>
    </row>
    <row r="28" spans="1:16">
      <c r="B28" s="2547"/>
      <c r="C28" s="2548"/>
      <c r="D28" s="2548"/>
      <c r="E28" s="2548"/>
      <c r="F28" s="2548"/>
      <c r="G28" s="2548"/>
      <c r="H28" s="452"/>
      <c r="I28" s="453"/>
      <c r="J28" s="448">
        <f>SUM(H28:I28)</f>
        <v>0</v>
      </c>
      <c r="O28" s="2545"/>
      <c r="P28" s="2545"/>
    </row>
    <row r="29" spans="1:16">
      <c r="B29" s="2547"/>
      <c r="C29" s="2548"/>
      <c r="D29" s="2548"/>
      <c r="E29" s="2548"/>
      <c r="F29" s="2548"/>
      <c r="G29" s="2548"/>
      <c r="H29" s="452"/>
      <c r="I29" s="453"/>
      <c r="J29" s="448">
        <f>SUM(H29:I29)</f>
        <v>0</v>
      </c>
      <c r="O29" t="s">
        <v>2086</v>
      </c>
      <c r="P29"/>
    </row>
    <row r="30" spans="1:16">
      <c r="B30" s="2547"/>
      <c r="C30" s="2548"/>
      <c r="D30" s="2548"/>
      <c r="E30" s="2548"/>
      <c r="F30" s="2548"/>
      <c r="G30" s="2548"/>
      <c r="H30" s="452"/>
      <c r="I30" s="453"/>
      <c r="J30" s="448">
        <f>SUM(H30:I30)</f>
        <v>0</v>
      </c>
    </row>
    <row r="31" spans="1:16" ht="5.15" customHeight="1" thickBot="1">
      <c r="B31" s="442"/>
      <c r="C31" s="4"/>
      <c r="D31" s="4"/>
      <c r="E31" s="4"/>
      <c r="F31" s="4"/>
      <c r="G31" s="4"/>
      <c r="H31" s="4"/>
      <c r="I31" s="443"/>
      <c r="J31" s="449"/>
    </row>
    <row r="32" spans="1:16" ht="15" thickTop="1">
      <c r="B32" s="444"/>
      <c r="C32" s="441"/>
      <c r="D32" s="441"/>
      <c r="E32" s="441"/>
      <c r="F32" s="441"/>
      <c r="G32" s="441"/>
      <c r="H32" s="445">
        <f>SUM(H27:H31)</f>
        <v>0</v>
      </c>
      <c r="I32" s="446">
        <f>SUM(I27:I31)</f>
        <v>0</v>
      </c>
      <c r="J32" s="446">
        <f>SUM(J27:J31)</f>
        <v>0</v>
      </c>
    </row>
    <row r="33" spans="1:15" ht="10.4" customHeight="1"/>
    <row r="34" spans="1:15" ht="35.15" customHeight="1">
      <c r="B34" s="2232" t="str">
        <f>IF(LGAO_Designation="&lt;select one&gt;","",IF(County="&lt;select one&gt;","",IF(IFERROR(VLOOKUP(County,DS_CountyData,4),100000000)="NA","The selected County does NOT offer an Local Government Areas of Opportunity Designation.","The Total Cash amount provided in the above table does "&amp;IF(J32&gt;=IFERROR(VLOOKUP(County,DS_CountyData,4),100000000),"","NOT ")&amp;"qualify for Local Government Areas of Opportunity Designation for "&amp;County&amp;" County.")))</f>
        <v/>
      </c>
      <c r="C34" s="2232"/>
      <c r="D34" s="2232"/>
      <c r="E34" s="2232"/>
      <c r="F34" s="2232"/>
      <c r="G34" s="2232"/>
      <c r="H34" s="2232"/>
      <c r="I34" s="2232"/>
      <c r="J34" s="2232"/>
    </row>
    <row r="35" spans="1:15" ht="10.4" customHeight="1"/>
    <row r="36" spans="1:15" ht="45" customHeight="1">
      <c r="A36" s="1771" t="s">
        <v>914</v>
      </c>
      <c r="B36" s="2220" t="s">
        <v>1948</v>
      </c>
      <c r="C36" s="2220"/>
      <c r="D36" s="2220"/>
      <c r="E36" s="2220"/>
      <c r="F36" s="2220"/>
      <c r="G36" s="2220"/>
      <c r="H36" s="2220"/>
      <c r="I36" s="2220"/>
      <c r="J36" s="1776" t="str">
        <f>IF(County="&lt;select one&gt;","",IF(IFERROR(VLOOKUP(County,DS_CountyData,4),100000000)="NA","The selected County does NOT offer an LGAO.","Total Cash does "&amp;IF(J32&gt;=IFERROR(VLOOKUP(County,DS_CountyData,4),100000000),"","NOT ")&amp;"qualify for LGAO."))</f>
        <v/>
      </c>
      <c r="O36" s="1777">
        <f>CHOOSE(O3+1,1,0,0)</f>
        <v>0</v>
      </c>
    </row>
    <row r="37" spans="1:15" ht="10.4" customHeight="1"/>
    <row r="38" spans="1:15">
      <c r="A38" s="402" t="s">
        <v>215</v>
      </c>
      <c r="B38" t="s">
        <v>1949</v>
      </c>
      <c r="C38"/>
      <c r="D38"/>
      <c r="E38"/>
      <c r="F38"/>
      <c r="G38"/>
      <c r="H38"/>
      <c r="I38"/>
      <c r="J38"/>
      <c r="O38" s="1880" t="s">
        <v>2082</v>
      </c>
    </row>
    <row r="39" spans="1:15" ht="10.4" customHeight="1">
      <c r="A39"/>
      <c r="B39"/>
      <c r="C39"/>
      <c r="D39"/>
      <c r="E39"/>
      <c r="F39"/>
      <c r="G39"/>
      <c r="H39"/>
      <c r="I39"/>
      <c r="J39"/>
    </row>
    <row r="40" spans="1:15" ht="45" customHeight="1">
      <c r="A40"/>
      <c r="B40" s="2101" t="s">
        <v>1950</v>
      </c>
      <c r="C40" s="2101"/>
      <c r="D40" s="2101"/>
      <c r="E40" s="2101"/>
      <c r="F40" s="2101"/>
      <c r="G40" s="2101"/>
      <c r="H40" s="2101"/>
      <c r="I40" s="2101"/>
      <c r="J40" s="2101"/>
    </row>
    <row r="41" spans="1:15" ht="35.15" customHeight="1">
      <c r="A41" s="1772" t="str">
        <f>IF(Data1!B594=TRUE,"Yes","No")</f>
        <v>No</v>
      </c>
      <c r="B41" s="1194"/>
      <c r="C41"/>
      <c r="D41" s="2101" t="s">
        <v>1951</v>
      </c>
      <c r="E41" s="2101"/>
      <c r="F41" s="2101"/>
      <c r="G41" s="2101"/>
      <c r="H41" s="2101"/>
      <c r="I41" s="2101"/>
      <c r="J41" s="2101"/>
    </row>
    <row r="42" spans="1:15" ht="50.15" customHeight="1">
      <c r="A42" s="1772" t="str">
        <f>IF(Data1!B595=TRUE,"Yes","No")</f>
        <v>No</v>
      </c>
      <c r="B42" s="1194"/>
      <c r="C42"/>
      <c r="D42" s="2101" t="s">
        <v>1952</v>
      </c>
      <c r="E42" s="2101"/>
      <c r="F42" s="2101"/>
      <c r="G42" s="2101"/>
      <c r="H42" s="2101"/>
      <c r="I42" s="2101"/>
      <c r="J42" s="1817"/>
    </row>
    <row r="43" spans="1:15" ht="35.15" customHeight="1">
      <c r="A43" s="1772" t="str">
        <f>IF(Data1!B596=TRUE,"Yes","No")</f>
        <v>No</v>
      </c>
      <c r="B43" s="1194"/>
      <c r="C43"/>
      <c r="D43" s="2101" t="s">
        <v>1953</v>
      </c>
      <c r="E43" s="2101"/>
      <c r="F43" s="2101"/>
      <c r="G43" s="2101"/>
      <c r="H43" s="2101"/>
      <c r="I43" s="2101"/>
      <c r="J43" s="2101"/>
    </row>
    <row r="44" spans="1:15">
      <c r="A44"/>
      <c r="B44" s="1669" t="s">
        <v>1954</v>
      </c>
      <c r="C44"/>
      <c r="D44"/>
      <c r="E44"/>
      <c r="F44"/>
      <c r="G44"/>
      <c r="H44"/>
      <c r="I44"/>
      <c r="J44"/>
    </row>
    <row r="45" spans="1:15" ht="10.4" customHeight="1"/>
  </sheetData>
  <mergeCells count="23">
    <mergeCell ref="B34:J34"/>
    <mergeCell ref="O25:P28"/>
    <mergeCell ref="D42:I42"/>
    <mergeCell ref="D43:J43"/>
    <mergeCell ref="B3:J3"/>
    <mergeCell ref="B21:I21"/>
    <mergeCell ref="B19:J19"/>
    <mergeCell ref="B24:J24"/>
    <mergeCell ref="B36:I36"/>
    <mergeCell ref="B40:J40"/>
    <mergeCell ref="D41:J41"/>
    <mergeCell ref="B30:G30"/>
    <mergeCell ref="B26:G26"/>
    <mergeCell ref="B27:G27"/>
    <mergeCell ref="B28:G28"/>
    <mergeCell ref="B29:G29"/>
    <mergeCell ref="B18:J18"/>
    <mergeCell ref="O22:O23"/>
    <mergeCell ref="M2:P2"/>
    <mergeCell ref="A1:J1"/>
    <mergeCell ref="B4:I4"/>
    <mergeCell ref="B6:J6"/>
    <mergeCell ref="B8:J8"/>
  </mergeCells>
  <conditionalFormatting sqref="J4">
    <cfRule type="expression" dxfId="20" priority="5">
      <formula>OR(Development_Category="Rehabilitation",Development_Category="Acquisition and Rehabilitation",Development_Category="Preservation",Development_Category="Acquisition and Preservation")</formula>
    </cfRule>
    <cfRule type="cellIs" dxfId="19" priority="7" operator="notEqual">
      <formula>"&lt;select one&gt;"</formula>
    </cfRule>
  </conditionalFormatting>
  <conditionalFormatting sqref="G11:G14 H11 H14">
    <cfRule type="cellIs" dxfId="18" priority="10" operator="greaterThan">
      <formula>0</formula>
    </cfRule>
  </conditionalFormatting>
  <conditionalFormatting sqref="H27:J30">
    <cfRule type="cellIs" dxfId="17" priority="1779" operator="greaterThan">
      <formula>0</formula>
    </cfRule>
  </conditionalFormatting>
  <conditionalFormatting sqref="B27:G30">
    <cfRule type="cellIs" dxfId="16" priority="470" operator="notEqual">
      <formula>""</formula>
    </cfRule>
  </conditionalFormatting>
  <conditionalFormatting sqref="J36">
    <cfRule type="expression" dxfId="15" priority="1821">
      <formula>OR(LEFT(RIGHT(J36,18),3)="NOT",LEFT(RIGHT(J36,21),3)="NOT")</formula>
    </cfRule>
  </conditionalFormatting>
  <conditionalFormatting sqref="J42">
    <cfRule type="cellIs" dxfId="14" priority="1923" operator="notEqual">
      <formula>""</formula>
    </cfRule>
  </conditionalFormatting>
  <conditionalFormatting sqref="A3:J21 A34:J35">
    <cfRule type="expression" dxfId="13" priority="1">
      <formula>$O$3=0</formula>
    </cfRule>
  </conditionalFormatting>
  <conditionalFormatting sqref="J21">
    <cfRule type="cellIs" dxfId="12" priority="22" operator="notEqual">
      <formula>"&lt;select one&gt;"</formula>
    </cfRule>
  </conditionalFormatting>
  <conditionalFormatting sqref="B4:I4">
    <cfRule type="expression" dxfId="11" priority="3">
      <formula>OR(Development_Category="Rehabilitation",Development_Category="Acquisition and Rehabilitation",Development_Category="Preservation",Development_Category="Acquisition and Preservation")</formula>
    </cfRule>
  </conditionalFormatting>
  <conditionalFormatting sqref="A22:J22 A36:J45">
    <cfRule type="expression" dxfId="10" priority="468">
      <formula>$O$36=0</formula>
    </cfRule>
  </conditionalFormatting>
  <conditionalFormatting sqref="A21:J45">
    <cfRule type="expression" dxfId="9" priority="16">
      <formula>$O$24="No"</formula>
    </cfRule>
  </conditionalFormatting>
  <dataValidations count="1">
    <dataValidation type="list" allowBlank="1" showInputMessage="1" showErrorMessage="1" sqref="J4 J21 O24" xr:uid="{D09B4B7F-58DF-4CE5-B181-B03E123C6EC4}">
      <formula1>"&lt;select one&gt;, Yes, No"</formula1>
    </dataValidation>
  </dataValidations>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12700</xdr:colOff>
                    <xdr:row>39</xdr:row>
                    <xdr:rowOff>546100</xdr:rowOff>
                  </from>
                  <to>
                    <xdr:col>4</xdr:col>
                    <xdr:colOff>101600</xdr:colOff>
                    <xdr:row>40</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12700</xdr:colOff>
                    <xdr:row>39</xdr:row>
                    <xdr:rowOff>546100</xdr:rowOff>
                  </from>
                  <to>
                    <xdr:col>4</xdr:col>
                    <xdr:colOff>101600</xdr:colOff>
                    <xdr:row>40</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12700</xdr:colOff>
                    <xdr:row>40</xdr:row>
                    <xdr:rowOff>419100</xdr:rowOff>
                  </from>
                  <to>
                    <xdr:col>4</xdr:col>
                    <xdr:colOff>101600</xdr:colOff>
                    <xdr:row>41</xdr:row>
                    <xdr:rowOff>203200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12700</xdr:colOff>
                    <xdr:row>41</xdr:row>
                    <xdr:rowOff>596900</xdr:rowOff>
                  </from>
                  <to>
                    <xdr:col>4</xdr:col>
                    <xdr:colOff>101600</xdr:colOff>
                    <xdr:row>42</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4E7FF59A-6E04-4917-B5BA-36790A69BCF4}">
            <xm:f>Data1!$E$616="Yes"</xm:f>
            <x14:dxf>
              <font>
                <color theme="0"/>
              </font>
            </x14:dxf>
          </x14:cfRule>
          <xm:sqref>O3 M10:O11 O22:O29 O36 O38</xm:sqref>
        </x14:conditionalFormatting>
        <x14:conditionalFormatting xmlns:xm="http://schemas.microsoft.com/office/excel/2006/main">
          <x14:cfRule type="expression" priority="13" id="{3E06F4D1-52F9-4F59-89A9-7944BEC01F9E}">
            <xm:f>IF(OR(Development_Category="Rehabilitation",Development_Category="Acquisition and Rehabilitation",Development_Category="Preservation",Development_Category="Acquisition and Preservation"),5,ROUND(5*IF(Data1!B592="Face",G16,I16)/IFERROR(VLOOKUP(County,DS_CountyData,3),1),2))=5</xm:f>
            <x14:dxf>
              <font>
                <b val="0"/>
                <i val="0"/>
              </font>
              <fill>
                <patternFill>
                  <bgColor theme="9" tint="0.79998168889431442"/>
                </patternFill>
              </fill>
            </x14:dxf>
          </x14:cfRule>
          <xm:sqref>B19</xm:sqref>
        </x14:conditionalFormatting>
        <x14:conditionalFormatting xmlns:xm="http://schemas.microsoft.com/office/excel/2006/main">
          <x14:cfRule type="expression" priority="1841" id="{781E488D-24A1-4CBC-9ADC-4930DA931CB2}">
            <xm:f>Data1!$B594=TRUE</xm:f>
            <x14:dxf>
              <fill>
                <patternFill>
                  <bgColor theme="9" tint="0.79998168889431442"/>
                </patternFill>
              </fill>
            </x14:dxf>
          </x14:cfRule>
          <xm:sqref>B41:J41 B42:I42 B43:J43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4296875" defaultRowHeight="14.5"/>
  <cols>
    <col min="1" max="1" width="3" style="42" customWidth="1"/>
    <col min="2" max="3" width="3.54296875" style="42" customWidth="1"/>
    <col min="4" max="4" width="4.453125" style="42" customWidth="1"/>
    <col min="5" max="8" width="16.453125" style="42" customWidth="1"/>
    <col min="9" max="9" width="15.81640625" style="42" customWidth="1"/>
    <col min="10" max="10" width="15.453125" style="42" customWidth="1"/>
    <col min="11" max="11" width="8.81640625" style="42" customWidth="1"/>
    <col min="12" max="16384" width="8.54296875" style="42"/>
  </cols>
  <sheetData>
    <row r="1" spans="1:10" ht="35.9" customHeight="1" thickBot="1">
      <c r="A1" s="2115" t="s">
        <v>428</v>
      </c>
      <c r="B1" s="2116"/>
      <c r="C1" s="2116"/>
      <c r="D1" s="2116"/>
      <c r="E1" s="2116"/>
      <c r="F1" s="2116"/>
      <c r="G1" s="2116"/>
      <c r="H1" s="2116"/>
      <c r="I1" s="2116"/>
      <c r="J1" s="2117"/>
    </row>
    <row r="2" spans="1:10" ht="14.5" customHeight="1">
      <c r="A2" s="4"/>
      <c r="B2" s="4"/>
      <c r="C2" s="4"/>
      <c r="D2" s="4"/>
      <c r="E2" s="4"/>
      <c r="F2" s="4"/>
      <c r="G2" s="4"/>
      <c r="H2" s="4"/>
      <c r="I2" s="4"/>
      <c r="J2" s="4"/>
    </row>
    <row r="3" spans="1:10" ht="43.5" customHeight="1">
      <c r="A3" s="2134" t="s">
        <v>773</v>
      </c>
      <c r="B3" s="2134"/>
      <c r="C3" s="2134"/>
      <c r="D3" s="2134"/>
      <c r="E3" s="2134"/>
      <c r="F3" s="2134"/>
      <c r="G3" s="2134"/>
      <c r="H3" s="2134"/>
      <c r="I3" s="2134"/>
      <c r="J3" s="2134"/>
    </row>
    <row r="4" spans="1:10" ht="17.5" customHeight="1">
      <c r="A4" s="457" t="s">
        <v>769</v>
      </c>
      <c r="B4" s="415" t="s">
        <v>770</v>
      </c>
      <c r="C4" s="414"/>
      <c r="D4" s="414"/>
      <c r="E4" s="414"/>
      <c r="F4" s="414"/>
      <c r="G4" s="414"/>
      <c r="H4" s="414"/>
      <c r="I4" s="414"/>
      <c r="J4" s="414"/>
    </row>
    <row r="5" spans="1:10" ht="17.5" customHeight="1">
      <c r="A5" s="457" t="s">
        <v>769</v>
      </c>
      <c r="B5" s="415" t="s">
        <v>771</v>
      </c>
      <c r="C5" s="414"/>
      <c r="D5" s="414"/>
      <c r="E5" s="414"/>
      <c r="F5" s="414"/>
      <c r="G5" s="414"/>
      <c r="H5" s="414"/>
      <c r="I5" s="414"/>
      <c r="J5" s="414"/>
    </row>
    <row r="6" spans="1:10" ht="29.15" customHeight="1">
      <c r="A6" s="457" t="s">
        <v>769</v>
      </c>
      <c r="B6" s="2134" t="s">
        <v>772</v>
      </c>
      <c r="C6" s="2134"/>
      <c r="D6" s="2134"/>
      <c r="E6" s="2134"/>
      <c r="F6" s="2134"/>
      <c r="G6" s="2134"/>
      <c r="H6" s="2134"/>
      <c r="I6" s="2134"/>
      <c r="J6" s="2134"/>
    </row>
    <row r="7" spans="1:10" ht="10.4" customHeight="1">
      <c r="A7" s="414"/>
      <c r="B7" s="414"/>
      <c r="C7" s="414"/>
      <c r="D7" s="414"/>
      <c r="E7" s="414"/>
      <c r="F7" s="414"/>
      <c r="G7" s="414"/>
      <c r="H7" s="414"/>
      <c r="I7" s="414"/>
      <c r="J7" s="414"/>
    </row>
    <row r="8" spans="1:10">
      <c r="A8" s="2554"/>
      <c r="B8" s="2554"/>
      <c r="C8" s="2554"/>
      <c r="D8" s="2554"/>
      <c r="E8" s="2554"/>
      <c r="F8" s="2554"/>
      <c r="G8" s="2554"/>
      <c r="H8" s="2554"/>
      <c r="I8" s="2554"/>
      <c r="J8" s="2554"/>
    </row>
    <row r="9" spans="1:10">
      <c r="A9" s="2539"/>
      <c r="B9" s="2539"/>
      <c r="C9" s="2539"/>
      <c r="D9" s="2539"/>
      <c r="E9" s="2539"/>
      <c r="F9" s="2539"/>
      <c r="G9" s="2539"/>
      <c r="H9" s="2539"/>
      <c r="I9" s="2539"/>
      <c r="J9" s="2539"/>
    </row>
    <row r="10" spans="1:10" s="45" customFormat="1" ht="15" thickBot="1">
      <c r="A10" s="65"/>
      <c r="B10" s="65"/>
      <c r="C10" s="65"/>
      <c r="D10" s="65"/>
      <c r="E10" s="65"/>
      <c r="F10" s="3"/>
      <c r="G10" s="3"/>
      <c r="H10" s="3"/>
      <c r="I10" s="3"/>
      <c r="J10" s="3"/>
    </row>
    <row r="11" spans="1:10" ht="35.9" customHeight="1" thickBot="1">
      <c r="A11" s="2115" t="s">
        <v>429</v>
      </c>
      <c r="B11" s="2116"/>
      <c r="C11" s="2116"/>
      <c r="D11" s="2116"/>
      <c r="E11" s="2116"/>
      <c r="F11" s="2116"/>
      <c r="G11" s="2116"/>
      <c r="H11" s="2116"/>
      <c r="I11" s="2116"/>
      <c r="J11" s="2117"/>
    </row>
    <row r="12" spans="1:10" ht="14.5" customHeight="1">
      <c r="A12" s="74"/>
      <c r="B12" s="74"/>
      <c r="C12" s="74"/>
      <c r="D12" s="74"/>
      <c r="E12" s="74"/>
      <c r="F12" s="74"/>
      <c r="G12" s="74"/>
      <c r="H12" s="74"/>
      <c r="I12" s="74"/>
      <c r="J12" s="74"/>
    </row>
    <row r="13" spans="1:10" ht="14.5" customHeight="1">
      <c r="A13" s="6" t="s">
        <v>430</v>
      </c>
      <c r="B13" s="74"/>
      <c r="C13" s="74"/>
      <c r="D13" s="74"/>
      <c r="E13" s="74"/>
      <c r="F13" s="74"/>
      <c r="G13" s="74"/>
      <c r="H13" s="74"/>
      <c r="I13" s="74"/>
      <c r="J13" s="74"/>
    </row>
    <row r="14" spans="1:10" ht="10.4" customHeight="1" thickBot="1">
      <c r="A14" s="4"/>
      <c r="B14" s="4"/>
      <c r="C14" s="4"/>
      <c r="D14" s="4"/>
      <c r="E14" s="4"/>
      <c r="F14" s="4"/>
      <c r="G14" s="4"/>
      <c r="H14" s="4"/>
      <c r="I14" s="4"/>
      <c r="J14" s="4"/>
    </row>
    <row r="15" spans="1:10" ht="35.9" customHeight="1" thickBot="1">
      <c r="A15" s="2115" t="s">
        <v>431</v>
      </c>
      <c r="B15" s="2116"/>
      <c r="C15" s="2116"/>
      <c r="D15" s="2116"/>
      <c r="E15" s="2116"/>
      <c r="F15" s="2116"/>
      <c r="G15" s="2116"/>
      <c r="H15" s="2116"/>
      <c r="I15" s="2116"/>
      <c r="J15" s="2117"/>
    </row>
    <row r="16" spans="1:10" ht="14.5" customHeight="1"/>
    <row r="17" spans="1:10" ht="45" customHeight="1">
      <c r="A17" s="2134" t="s">
        <v>432</v>
      </c>
      <c r="B17" s="2134"/>
      <c r="C17" s="2134"/>
      <c r="D17" s="2134"/>
      <c r="E17" s="2134"/>
      <c r="F17" s="2134"/>
      <c r="G17" s="2134"/>
      <c r="H17" s="2134"/>
      <c r="I17" s="2134"/>
      <c r="J17" s="2134"/>
    </row>
    <row r="18" spans="1:10" ht="250" customHeight="1">
      <c r="A18" s="2553"/>
      <c r="B18" s="2553"/>
      <c r="C18" s="2553"/>
      <c r="D18" s="2553"/>
      <c r="E18" s="2553"/>
      <c r="F18" s="2553"/>
      <c r="G18" s="2553"/>
      <c r="H18" s="2553"/>
      <c r="I18" s="2553"/>
      <c r="J18" s="2553"/>
    </row>
    <row r="19" spans="1:10" ht="409" customHeight="1">
      <c r="A19" s="2553"/>
      <c r="B19" s="2553"/>
      <c r="C19" s="2553"/>
      <c r="D19" s="2553"/>
      <c r="E19" s="2553"/>
      <c r="F19" s="2553"/>
      <c r="G19" s="2553"/>
      <c r="H19" s="2553"/>
      <c r="I19" s="2553"/>
      <c r="J19" s="2553"/>
    </row>
  </sheetData>
  <sheetProtection algorithmName="SHA-512" hashValue="M2wmbk+73MTRYc4LcXz8jFEzIBNm7d6Jns1bEGROBAtJQ5EVWY/8EvhaqTCL08bX5iUD8550etAOydVy2YXujw==" saltValue="Z31BcfVxSkjOf1BfOinulw=="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5" priority="3" operator="notEqual">
      <formula>""</formula>
    </cfRule>
  </conditionalFormatting>
  <conditionalFormatting sqref="A19:J19">
    <cfRule type="expression" dxfId="4" priority="4">
      <formula>$A$18&lt;&gt;""</formula>
    </cfRule>
  </conditionalFormatting>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0"/>
  <sheetViews>
    <sheetView showGridLines="0" zoomScaleNormal="100" workbookViewId="0">
      <pane ySplit="2" topLeftCell="A12" activePane="bottomLeft" state="frozen"/>
      <selection pane="bottomLeft" activeCell="K35" sqref="K35:M35"/>
    </sheetView>
  </sheetViews>
  <sheetFormatPr defaultColWidth="8.54296875" defaultRowHeight="14.5"/>
  <cols>
    <col min="1" max="1" width="3.54296875" style="66" customWidth="1"/>
    <col min="2" max="3" width="3.54296875" style="42" customWidth="1"/>
    <col min="4" max="4" width="4.453125" style="42" customWidth="1"/>
    <col min="5" max="11" width="8.54296875" style="42"/>
    <col min="12" max="12" width="8.453125" style="42" customWidth="1"/>
    <col min="13" max="13" width="27.81640625" style="42" customWidth="1"/>
    <col min="14" max="14" width="8.81640625" style="42" customWidth="1"/>
    <col min="15" max="15" width="3.54296875" style="42" customWidth="1"/>
    <col min="16" max="16" width="35.81640625" style="42" hidden="1" customWidth="1"/>
    <col min="17" max="17" width="3.54296875" style="42" hidden="1" customWidth="1"/>
    <col min="18" max="16384" width="8.54296875" style="42"/>
  </cols>
  <sheetData>
    <row r="1" spans="1:17" ht="35.9" customHeight="1" thickBot="1">
      <c r="A1" s="2559" t="s">
        <v>433</v>
      </c>
      <c r="B1" s="2560"/>
      <c r="C1" s="2560"/>
      <c r="D1" s="2560"/>
      <c r="E1" s="2560"/>
      <c r="F1" s="2560"/>
      <c r="G1" s="2560"/>
      <c r="H1" s="2560"/>
      <c r="I1" s="2560"/>
      <c r="J1" s="2560"/>
      <c r="K1" s="2560"/>
      <c r="L1" s="2560"/>
      <c r="M1" s="2561"/>
    </row>
    <row r="2" spans="1:17" ht="14.5" customHeight="1">
      <c r="A2" s="8"/>
      <c r="B2" s="4"/>
      <c r="C2" s="4"/>
      <c r="D2" s="4"/>
      <c r="E2" s="4"/>
      <c r="F2" s="4"/>
      <c r="G2" s="4"/>
      <c r="H2" s="4"/>
      <c r="I2" s="4"/>
      <c r="J2" s="4"/>
      <c r="K2" s="4"/>
      <c r="L2" s="4"/>
      <c r="M2" s="4"/>
      <c r="P2" s="2147" t="s">
        <v>1772</v>
      </c>
      <c r="Q2" s="2147"/>
    </row>
    <row r="3" spans="1:17" ht="14.5" customHeight="1">
      <c r="A3" s="2562" t="s">
        <v>434</v>
      </c>
      <c r="B3" s="2562"/>
      <c r="C3" s="2562"/>
      <c r="D3" s="2562"/>
      <c r="E3" s="2562"/>
      <c r="F3" s="2562"/>
      <c r="G3" s="2562"/>
      <c r="H3" s="2562"/>
      <c r="I3" s="2562"/>
      <c r="J3" s="2562"/>
      <c r="K3" s="2562"/>
      <c r="L3" s="2562"/>
      <c r="M3" s="2562"/>
    </row>
    <row r="4" spans="1:17" ht="10.4" customHeight="1">
      <c r="A4" s="8"/>
      <c r="B4" s="6"/>
      <c r="C4" s="6"/>
      <c r="D4" s="6"/>
      <c r="E4" s="6"/>
      <c r="F4" s="171"/>
      <c r="G4" s="171"/>
      <c r="H4" s="171"/>
      <c r="I4" s="171"/>
      <c r="J4" s="171"/>
      <c r="K4" s="6"/>
      <c r="L4" s="6"/>
      <c r="M4" s="6"/>
    </row>
    <row r="5" spans="1:17" ht="80.150000000000006" customHeight="1">
      <c r="A5" s="1778">
        <f>IF($P5=0,"",MAX(A$4:A4)+1)</f>
        <v>1</v>
      </c>
      <c r="B5" s="2134" t="s">
        <v>435</v>
      </c>
      <c r="C5" s="2134"/>
      <c r="D5" s="2134"/>
      <c r="E5" s="2134"/>
      <c r="F5" s="2134"/>
      <c r="G5" s="2134"/>
      <c r="H5" s="2134"/>
      <c r="I5" s="2134"/>
      <c r="J5" s="2134"/>
      <c r="K5" s="2134"/>
      <c r="L5" s="2134"/>
      <c r="M5" s="2134"/>
      <c r="N5" s="83"/>
      <c r="P5" s="1780">
        <v>1</v>
      </c>
    </row>
    <row r="6" spans="1:17" ht="35.15" customHeight="1">
      <c r="A6" s="1778">
        <f>IF($P6=0,"",MAX(A$4:A5)+1)</f>
        <v>2</v>
      </c>
      <c r="B6" s="2134" t="s">
        <v>2097</v>
      </c>
      <c r="C6" s="2134"/>
      <c r="D6" s="2134"/>
      <c r="E6" s="2134"/>
      <c r="F6" s="2134"/>
      <c r="G6" s="2134"/>
      <c r="H6" s="2134"/>
      <c r="I6" s="2134"/>
      <c r="J6" s="2134"/>
      <c r="K6" s="2134"/>
      <c r="L6" s="2134"/>
      <c r="M6" s="2134"/>
      <c r="P6" s="1780">
        <v>1</v>
      </c>
    </row>
    <row r="7" spans="1:17" ht="35.15" customHeight="1">
      <c r="A7" s="1778">
        <f>IF($P7=0,"",MAX(A$4:A6)+1)</f>
        <v>3</v>
      </c>
      <c r="B7" s="2134" t="s">
        <v>436</v>
      </c>
      <c r="C7" s="2134"/>
      <c r="D7" s="2134"/>
      <c r="E7" s="2134"/>
      <c r="F7" s="2134"/>
      <c r="G7" s="2134"/>
      <c r="H7" s="2134"/>
      <c r="I7" s="2134"/>
      <c r="J7" s="2134"/>
      <c r="K7" s="2134"/>
      <c r="L7" s="2134"/>
      <c r="M7" s="2134"/>
      <c r="P7" s="1780">
        <v>1</v>
      </c>
    </row>
    <row r="8" spans="1:17" ht="50.15" customHeight="1">
      <c r="A8" s="1778">
        <f>IF($P8=0,"",MAX(A$4:A7)+1)</f>
        <v>4</v>
      </c>
      <c r="B8" s="2134" t="s">
        <v>437</v>
      </c>
      <c r="C8" s="2134"/>
      <c r="D8" s="2134"/>
      <c r="E8" s="2134"/>
      <c r="F8" s="2134"/>
      <c r="G8" s="2134"/>
      <c r="H8" s="2134"/>
      <c r="I8" s="2134"/>
      <c r="J8" s="2134"/>
      <c r="K8" s="2134"/>
      <c r="L8" s="2134"/>
      <c r="M8" s="2134"/>
      <c r="P8" s="1780">
        <v>1</v>
      </c>
    </row>
    <row r="9" spans="1:17" ht="95.15" customHeight="1">
      <c r="A9" s="1778">
        <f>IF($P9=0,"",MAX(A$4:A8)+1)</f>
        <v>5</v>
      </c>
      <c r="B9" s="2134" t="s">
        <v>438</v>
      </c>
      <c r="C9" s="2134"/>
      <c r="D9" s="2134"/>
      <c r="E9" s="2134"/>
      <c r="F9" s="2134"/>
      <c r="G9" s="2134"/>
      <c r="H9" s="2134"/>
      <c r="I9" s="2134"/>
      <c r="J9" s="2134"/>
      <c r="K9" s="2134"/>
      <c r="L9" s="2134"/>
      <c r="M9" s="2134"/>
      <c r="P9" s="1780">
        <v>1</v>
      </c>
    </row>
    <row r="10" spans="1:17" ht="65.150000000000006" customHeight="1">
      <c r="A10" s="1778">
        <f>IF($P10=0,"",MAX(A$4:A9)+1)</f>
        <v>6</v>
      </c>
      <c r="B10" s="2134" t="s">
        <v>439</v>
      </c>
      <c r="C10" s="2134"/>
      <c r="D10" s="2134"/>
      <c r="E10" s="2134"/>
      <c r="F10" s="2134"/>
      <c r="G10" s="2134"/>
      <c r="H10" s="2134"/>
      <c r="I10" s="2134"/>
      <c r="J10" s="2134"/>
      <c r="K10" s="2134"/>
      <c r="L10" s="2134"/>
      <c r="M10" s="2134"/>
      <c r="P10" s="1780">
        <v>1</v>
      </c>
    </row>
    <row r="11" spans="1:17" ht="110.15" customHeight="1">
      <c r="A11" s="1778">
        <f>IF($P11=0,"",MAX(A$4:A10)+1)</f>
        <v>7</v>
      </c>
      <c r="B11" s="2134" t="s">
        <v>440</v>
      </c>
      <c r="C11" s="2134"/>
      <c r="D11" s="2134"/>
      <c r="E11" s="2134"/>
      <c r="F11" s="2134"/>
      <c r="G11" s="2134"/>
      <c r="H11" s="2134"/>
      <c r="I11" s="2134"/>
      <c r="J11" s="2134"/>
      <c r="K11" s="2134"/>
      <c r="L11" s="2134"/>
      <c r="M11" s="2134"/>
      <c r="P11" s="1780">
        <v>1</v>
      </c>
    </row>
    <row r="12" spans="1:17" ht="140.15" customHeight="1">
      <c r="A12" s="1778">
        <f>IF($P12=0,"",MAX(A$4:A11)+1)</f>
        <v>8</v>
      </c>
      <c r="B12" s="2134" t="s">
        <v>441</v>
      </c>
      <c r="C12" s="2134"/>
      <c r="D12" s="2134"/>
      <c r="E12" s="2134"/>
      <c r="F12" s="2134"/>
      <c r="G12" s="2134"/>
      <c r="H12" s="2134"/>
      <c r="I12" s="2134"/>
      <c r="J12" s="2134"/>
      <c r="K12" s="2134"/>
      <c r="L12" s="2134"/>
      <c r="M12" s="2134"/>
      <c r="P12" s="1780">
        <v>1</v>
      </c>
    </row>
    <row r="13" spans="1:17" ht="50.15" customHeight="1">
      <c r="A13" s="1778">
        <f>IF($P13=0,"",MAX(A$4:A12)+1)</f>
        <v>9</v>
      </c>
      <c r="B13" s="2134" t="s">
        <v>442</v>
      </c>
      <c r="C13" s="2134"/>
      <c r="D13" s="2134"/>
      <c r="E13" s="2134"/>
      <c r="F13" s="2134"/>
      <c r="G13" s="2134"/>
      <c r="H13" s="2134"/>
      <c r="I13" s="2134"/>
      <c r="J13" s="2134"/>
      <c r="K13" s="2134"/>
      <c r="L13" s="2134"/>
      <c r="M13" s="2134"/>
      <c r="P13" s="1780">
        <v>1</v>
      </c>
      <c r="Q13" s="1779" t="s">
        <v>1968</v>
      </c>
    </row>
    <row r="14" spans="1:17" ht="80.150000000000006" customHeight="1">
      <c r="A14" s="1778">
        <f>IF($P14=0,"",MAX(A$4:A13)+1)</f>
        <v>10</v>
      </c>
      <c r="B14" s="2134" t="s">
        <v>2010</v>
      </c>
      <c r="C14" s="2134"/>
      <c r="D14" s="2134"/>
      <c r="E14" s="2134"/>
      <c r="F14" s="2134"/>
      <c r="G14" s="2134"/>
      <c r="H14" s="2134"/>
      <c r="I14" s="2134"/>
      <c r="J14" s="2134"/>
      <c r="K14" s="2134"/>
      <c r="L14" s="2134"/>
      <c r="M14" s="2134"/>
      <c r="P14" s="1780">
        <v>1</v>
      </c>
    </row>
    <row r="15" spans="1:17" ht="35.15" customHeight="1">
      <c r="A15" s="1778">
        <f>IF($P15=0,"",MAX(A$4:A14)+1)</f>
        <v>11</v>
      </c>
      <c r="B15" s="2134" t="s">
        <v>2011</v>
      </c>
      <c r="C15" s="2134"/>
      <c r="D15" s="2134"/>
      <c r="E15" s="2134"/>
      <c r="F15" s="2134"/>
      <c r="G15" s="2134"/>
      <c r="H15" s="2134"/>
      <c r="I15" s="2134"/>
      <c r="J15" s="2134"/>
      <c r="K15" s="2134"/>
      <c r="L15" s="2134"/>
      <c r="M15" s="2134"/>
      <c r="P15" s="1780">
        <v>1</v>
      </c>
    </row>
    <row r="16" spans="1:17" ht="50.15" customHeight="1">
      <c r="A16" s="1778" t="str">
        <f>IF($P16=0,"",MAX(A$4:A15)+1)</f>
        <v/>
      </c>
      <c r="B16" s="2134" t="s">
        <v>1624</v>
      </c>
      <c r="C16" s="2134"/>
      <c r="D16" s="2134"/>
      <c r="E16" s="2134"/>
      <c r="F16" s="2134"/>
      <c r="G16" s="2134"/>
      <c r="H16" s="2134"/>
      <c r="I16" s="2134"/>
      <c r="J16" s="2134"/>
      <c r="K16" s="2134"/>
      <c r="L16" s="2134"/>
      <c r="M16" s="2134"/>
      <c r="P16" s="1780">
        <v>0</v>
      </c>
    </row>
    <row r="17" spans="1:16" ht="35.15" customHeight="1">
      <c r="A17" s="1778" t="str">
        <f>IF($P17=0,"",MAX(A$4:A16)+1)</f>
        <v/>
      </c>
      <c r="B17" s="2134" t="s">
        <v>1625</v>
      </c>
      <c r="C17" s="2134"/>
      <c r="D17" s="2134"/>
      <c r="E17" s="2134"/>
      <c r="F17" s="2134"/>
      <c r="G17" s="2134"/>
      <c r="H17" s="2134"/>
      <c r="I17" s="2134"/>
      <c r="J17" s="2134"/>
      <c r="K17" s="2134"/>
      <c r="L17" s="2134"/>
      <c r="M17" s="2134"/>
      <c r="P17" s="1780">
        <v>0</v>
      </c>
    </row>
    <row r="18" spans="1:16" ht="95.15" customHeight="1">
      <c r="A18" s="1778">
        <f>IF($P18=0,"",MAX(A$4:A17)+1)</f>
        <v>12</v>
      </c>
      <c r="B18" s="2134" t="s">
        <v>443</v>
      </c>
      <c r="C18" s="2134"/>
      <c r="D18" s="2134"/>
      <c r="E18" s="2134"/>
      <c r="F18" s="2134"/>
      <c r="G18" s="2134"/>
      <c r="H18" s="2134"/>
      <c r="I18" s="2134"/>
      <c r="J18" s="2134"/>
      <c r="K18" s="2134"/>
      <c r="L18" s="2134"/>
      <c r="M18" s="2134"/>
      <c r="P18" s="1780">
        <v>1</v>
      </c>
    </row>
    <row r="19" spans="1:16" ht="31.5" customHeight="1">
      <c r="A19" s="1778">
        <f>IF($P19=0,"",MAX(A$4:A18)+1)</f>
        <v>13</v>
      </c>
      <c r="B19" s="2134" t="s">
        <v>444</v>
      </c>
      <c r="C19" s="2134"/>
      <c r="D19" s="2134"/>
      <c r="E19" s="2134"/>
      <c r="F19" s="2134"/>
      <c r="G19" s="2134"/>
      <c r="H19" s="2134"/>
      <c r="I19" s="2134"/>
      <c r="J19" s="2134"/>
      <c r="K19" s="2134"/>
      <c r="L19" s="2134"/>
      <c r="M19" s="2134"/>
      <c r="P19" s="1780">
        <v>1</v>
      </c>
    </row>
    <row r="20" spans="1:16" ht="80.150000000000006" customHeight="1">
      <c r="A20" s="1778">
        <f>IF($P20=0,"",MAX(A$4:A19)+1)</f>
        <v>14</v>
      </c>
      <c r="B20" s="2134" t="s">
        <v>445</v>
      </c>
      <c r="C20" s="2134"/>
      <c r="D20" s="2134"/>
      <c r="E20" s="2134"/>
      <c r="F20" s="2134"/>
      <c r="G20" s="2134"/>
      <c r="H20" s="2134"/>
      <c r="I20" s="2134"/>
      <c r="J20" s="2134"/>
      <c r="K20" s="2134"/>
      <c r="L20" s="2134"/>
      <c r="M20" s="2134"/>
      <c r="P20" s="1780">
        <v>1</v>
      </c>
    </row>
    <row r="21" spans="1:16" ht="35.15" customHeight="1">
      <c r="A21" s="1778">
        <f>IF($P21=0,"",MAX(A$4:A20)+1)</f>
        <v>15</v>
      </c>
      <c r="B21" s="2134" t="s">
        <v>446</v>
      </c>
      <c r="C21" s="2134"/>
      <c r="D21" s="2134"/>
      <c r="E21" s="2134"/>
      <c r="F21" s="2134"/>
      <c r="G21" s="2134"/>
      <c r="H21" s="2134"/>
      <c r="I21" s="2134"/>
      <c r="J21" s="2134"/>
      <c r="K21" s="2134"/>
      <c r="L21" s="2134"/>
      <c r="M21" s="2134"/>
      <c r="P21" s="1780">
        <v>1</v>
      </c>
    </row>
    <row r="22" spans="1:16" ht="35.15" customHeight="1">
      <c r="A22" s="1778" t="str">
        <f>IF($P22=0,"",MAX(A$4:A21)+1)</f>
        <v/>
      </c>
      <c r="B22" s="2134" t="s">
        <v>447</v>
      </c>
      <c r="C22" s="2134"/>
      <c r="D22" s="2134"/>
      <c r="E22" s="2134"/>
      <c r="F22" s="2134"/>
      <c r="G22" s="2134"/>
      <c r="H22" s="2134"/>
      <c r="I22" s="2134"/>
      <c r="J22" s="2134"/>
      <c r="K22" s="2134"/>
      <c r="L22" s="2134"/>
      <c r="M22" s="2134"/>
      <c r="P22" s="1780">
        <v>0</v>
      </c>
    </row>
    <row r="23" spans="1:16" ht="65.150000000000006" customHeight="1">
      <c r="A23" s="1778" t="str">
        <f>IF($P23=0,"",MAX(A$4:A22)+1)</f>
        <v/>
      </c>
      <c r="B23" s="2101" t="s">
        <v>1963</v>
      </c>
      <c r="C23" s="2101"/>
      <c r="D23" s="2101"/>
      <c r="E23" s="2101"/>
      <c r="F23" s="2101"/>
      <c r="G23" s="2101"/>
      <c r="H23" s="2101"/>
      <c r="I23" s="2101"/>
      <c r="J23" s="2101"/>
      <c r="K23" s="2101"/>
      <c r="L23" s="2101"/>
      <c r="M23" s="2101"/>
      <c r="P23" s="1780">
        <v>0</v>
      </c>
    </row>
    <row r="24" spans="1:16" ht="65.150000000000006" customHeight="1">
      <c r="A24" s="1778">
        <f>IF($P24=0,"",MAX(A$4:A23)+1)</f>
        <v>16</v>
      </c>
      <c r="B24" s="2101" t="s">
        <v>2012</v>
      </c>
      <c r="C24" s="2101"/>
      <c r="D24" s="2101"/>
      <c r="E24" s="2101"/>
      <c r="F24" s="2101"/>
      <c r="G24" s="2101"/>
      <c r="H24" s="2101"/>
      <c r="I24" s="2101"/>
      <c r="J24" s="2101"/>
      <c r="K24" s="2101"/>
      <c r="L24" s="2101"/>
      <c r="M24" s="2101"/>
      <c r="P24" s="1780">
        <v>1</v>
      </c>
    </row>
    <row r="25" spans="1:16" ht="95.15" hidden="1" customHeight="1">
      <c r="A25" s="1778" t="str">
        <f>IF($P25=0,"",MAX(A$4:A24)+1)</f>
        <v/>
      </c>
      <c r="B25" s="2101" t="s">
        <v>2013</v>
      </c>
      <c r="C25" s="2101"/>
      <c r="D25" s="2101"/>
      <c r="E25" s="2101"/>
      <c r="F25" s="2101"/>
      <c r="G25" s="2101"/>
      <c r="H25" s="2101"/>
      <c r="I25" s="2101"/>
      <c r="J25" s="2101"/>
      <c r="K25" s="2101"/>
      <c r="L25" s="2101"/>
      <c r="M25" s="2101"/>
      <c r="P25" s="1780">
        <v>0</v>
      </c>
    </row>
    <row r="26" spans="1:16" ht="35.15" customHeight="1">
      <c r="A26" s="1778">
        <f>IF($P26=0,"",MAX(A$4:A25)+1)</f>
        <v>17</v>
      </c>
      <c r="B26" s="2134" t="s">
        <v>448</v>
      </c>
      <c r="C26" s="2134"/>
      <c r="D26" s="2134"/>
      <c r="E26" s="2134"/>
      <c r="F26" s="2134"/>
      <c r="G26" s="2134"/>
      <c r="H26" s="2134"/>
      <c r="I26" s="2134"/>
      <c r="J26" s="2134"/>
      <c r="K26" s="2134"/>
      <c r="L26" s="2134"/>
      <c r="M26" s="2134"/>
      <c r="P26" s="1780">
        <v>1</v>
      </c>
    </row>
    <row r="27" spans="1:16" ht="35.15" hidden="1" customHeight="1">
      <c r="A27" s="1778" t="str">
        <f>IF($P27=0,"",MAX(A$4:A26)+1)</f>
        <v/>
      </c>
      <c r="B27" s="2101" t="s">
        <v>1964</v>
      </c>
      <c r="C27" s="2101"/>
      <c r="D27" s="2101"/>
      <c r="E27" s="2101"/>
      <c r="F27" s="2101"/>
      <c r="G27" s="2101"/>
      <c r="H27" s="2101"/>
      <c r="I27" s="2101"/>
      <c r="J27" s="2101"/>
      <c r="K27" s="2101"/>
      <c r="L27" s="2101"/>
      <c r="M27" s="2101"/>
      <c r="P27" s="1780">
        <v>0</v>
      </c>
    </row>
    <row r="28" spans="1:16" ht="20.149999999999999" customHeight="1">
      <c r="A28" s="1778">
        <f>IF($P28=0,"",MAX(A$4:A27)+1)</f>
        <v>18</v>
      </c>
      <c r="B28" s="2134" t="s">
        <v>449</v>
      </c>
      <c r="C28" s="2134"/>
      <c r="D28" s="2134"/>
      <c r="E28" s="2134"/>
      <c r="F28" s="2134"/>
      <c r="G28" s="2134"/>
      <c r="H28" s="2134"/>
      <c r="I28" s="2134"/>
      <c r="J28" s="2134"/>
      <c r="K28" s="2134"/>
      <c r="L28" s="2134"/>
      <c r="M28" s="2134"/>
      <c r="P28" s="1780">
        <v>1</v>
      </c>
    </row>
    <row r="29" spans="1:16" ht="35.15" customHeight="1">
      <c r="A29" s="1778">
        <f>IF($P29=0,"",MAX(A$4:A28)+1)</f>
        <v>19</v>
      </c>
      <c r="B29" s="2134" t="s">
        <v>450</v>
      </c>
      <c r="C29" s="2134"/>
      <c r="D29" s="2134"/>
      <c r="E29" s="2134"/>
      <c r="F29" s="2134"/>
      <c r="G29" s="2134"/>
      <c r="H29" s="2134"/>
      <c r="I29" s="2134"/>
      <c r="J29" s="2134"/>
      <c r="K29" s="2134"/>
      <c r="L29" s="2134"/>
      <c r="M29" s="2134"/>
      <c r="P29" s="1780">
        <v>1</v>
      </c>
    </row>
    <row r="30" spans="1:16" ht="35.15" customHeight="1">
      <c r="A30" s="1778">
        <f>IF($P30=0,"",MAX(A$4:A29)+1)</f>
        <v>20</v>
      </c>
      <c r="B30" s="2134" t="s">
        <v>451</v>
      </c>
      <c r="C30" s="2134"/>
      <c r="D30" s="2134"/>
      <c r="E30" s="2134"/>
      <c r="F30" s="2134"/>
      <c r="G30" s="2134"/>
      <c r="H30" s="2134"/>
      <c r="I30" s="2134"/>
      <c r="J30" s="2134"/>
      <c r="K30" s="2134"/>
      <c r="L30" s="2134"/>
      <c r="M30" s="2134"/>
      <c r="P30" s="1780">
        <v>1</v>
      </c>
    </row>
    <row r="31" spans="1:16" ht="80.150000000000006" customHeight="1">
      <c r="A31" s="1778">
        <f>IF($P31=0,"",MAX(A$4:A30)+1)</f>
        <v>21</v>
      </c>
      <c r="B31" s="2101" t="s">
        <v>1681</v>
      </c>
      <c r="C31" s="2101"/>
      <c r="D31" s="2101"/>
      <c r="E31" s="2101"/>
      <c r="F31" s="2101"/>
      <c r="G31" s="2101"/>
      <c r="H31" s="2101"/>
      <c r="I31" s="2101"/>
      <c r="J31" s="2101"/>
      <c r="K31" s="2101"/>
      <c r="L31" s="2101"/>
      <c r="M31" s="2101"/>
      <c r="P31" s="1780">
        <v>1</v>
      </c>
    </row>
    <row r="32" spans="1:16" ht="10.4" customHeight="1">
      <c r="A32" s="8"/>
      <c r="B32" s="1299"/>
      <c r="C32" s="1299"/>
      <c r="D32" s="1299"/>
      <c r="E32" s="1299"/>
      <c r="F32" s="1299"/>
      <c r="G32" s="1299"/>
      <c r="H32" s="1299"/>
      <c r="I32" s="1299"/>
      <c r="J32" s="1299"/>
      <c r="K32" s="1299"/>
      <c r="L32" s="1299"/>
      <c r="M32" s="1299"/>
    </row>
    <row r="33" spans="1:21" ht="35.15" customHeight="1">
      <c r="A33" s="8"/>
      <c r="B33" s="2557" t="s">
        <v>2113</v>
      </c>
      <c r="C33" s="2557"/>
      <c r="D33" s="2557"/>
      <c r="E33" s="2557"/>
      <c r="F33" s="2557"/>
      <c r="G33" s="2557"/>
      <c r="H33" s="2557"/>
      <c r="I33" s="2557"/>
      <c r="J33" s="2557"/>
      <c r="K33" s="2557"/>
      <c r="L33" s="2557"/>
      <c r="M33" s="2557"/>
    </row>
    <row r="34" spans="1:21" ht="10.4" customHeight="1">
      <c r="A34" s="8"/>
      <c r="B34" s="6"/>
      <c r="C34" s="6"/>
      <c r="D34" s="6"/>
      <c r="E34" s="6"/>
      <c r="F34" s="171"/>
      <c r="G34" s="171"/>
      <c r="H34" s="171"/>
      <c r="I34" s="171"/>
      <c r="J34" s="171"/>
      <c r="K34" s="6"/>
      <c r="L34" s="6"/>
      <c r="M34" s="6"/>
    </row>
    <row r="35" spans="1:21" ht="17.5" customHeight="1">
      <c r="A35" s="87" t="s">
        <v>452</v>
      </c>
      <c r="B35" s="87"/>
      <c r="C35" s="87"/>
      <c r="D35" s="87"/>
      <c r="E35" s="87"/>
      <c r="F35" s="87"/>
      <c r="G35" s="87"/>
      <c r="H35" s="87"/>
      <c r="I35" s="87"/>
      <c r="J35" s="87"/>
      <c r="K35" s="2558"/>
      <c r="L35" s="2558"/>
      <c r="M35" s="2558"/>
      <c r="N35" s="2556" t="str">
        <f>IF(Cert_Signature="","",IF(Cert_Signature=Data1!F144,"This Applicant Certification and Acknowledgement Form has been signed by the Authorized Principal Representative as required.","This Applicant Certification and Acknowledgement Form has not been signed by the Authorized Principal Representative."))</f>
        <v/>
      </c>
      <c r="O35" s="2556"/>
      <c r="P35" s="2556"/>
      <c r="Q35" s="2556"/>
      <c r="R35" s="2556"/>
      <c r="S35" s="2556"/>
      <c r="T35" s="2556"/>
      <c r="U35" s="2556"/>
    </row>
    <row r="36" spans="1:21" ht="10.4" customHeight="1">
      <c r="A36" s="88"/>
      <c r="B36" s="87"/>
      <c r="C36" s="87"/>
      <c r="D36" s="87"/>
      <c r="E36" s="87"/>
      <c r="F36" s="87"/>
      <c r="G36" s="87"/>
      <c r="H36" s="87"/>
      <c r="I36" s="87"/>
      <c r="J36" s="87"/>
      <c r="K36" s="87"/>
      <c r="L36" s="87"/>
      <c r="M36" s="87"/>
      <c r="N36" s="2556"/>
      <c r="O36" s="2556"/>
      <c r="P36" s="2556"/>
      <c r="Q36" s="2556"/>
      <c r="R36" s="2556"/>
      <c r="S36" s="2556"/>
      <c r="T36" s="2556"/>
      <c r="U36" s="2556"/>
    </row>
    <row r="37" spans="1:21" ht="17.5" customHeight="1">
      <c r="A37" s="88"/>
      <c r="B37" s="617" t="s">
        <v>453</v>
      </c>
      <c r="C37" s="2558"/>
      <c r="D37" s="2558"/>
      <c r="E37" s="2558"/>
      <c r="F37" s="2558"/>
      <c r="G37" s="2558"/>
      <c r="H37" s="2558"/>
      <c r="I37" s="2558"/>
      <c r="J37" s="2558"/>
      <c r="K37" s="2558"/>
      <c r="L37" s="2558"/>
      <c r="M37" s="2558"/>
      <c r="N37" s="2556"/>
      <c r="O37" s="2556"/>
      <c r="P37" s="2556"/>
      <c r="Q37" s="2556"/>
      <c r="R37" s="2556"/>
      <c r="S37" s="2556"/>
      <c r="T37" s="2556"/>
      <c r="U37" s="2556"/>
    </row>
    <row r="38" spans="1:21" ht="10.4" customHeight="1">
      <c r="A38" s="88"/>
      <c r="B38" s="87"/>
      <c r="C38" s="87"/>
      <c r="D38" s="87"/>
      <c r="E38" s="87"/>
      <c r="F38" s="87"/>
      <c r="G38" s="87"/>
      <c r="H38" s="87"/>
      <c r="I38" s="87"/>
      <c r="J38" s="87"/>
      <c r="K38" s="87"/>
      <c r="L38" s="87"/>
      <c r="M38" s="87"/>
    </row>
    <row r="39" spans="1:21" ht="31.5" customHeight="1">
      <c r="A39" s="2555" t="s">
        <v>454</v>
      </c>
      <c r="B39" s="2555"/>
      <c r="C39" s="2555"/>
      <c r="D39" s="2555"/>
      <c r="E39" s="2555"/>
      <c r="F39" s="2555"/>
      <c r="G39" s="2555"/>
      <c r="H39" s="2555"/>
      <c r="I39" s="2555"/>
      <c r="J39" s="2555"/>
      <c r="K39" s="2555"/>
      <c r="L39" s="2555"/>
      <c r="M39" s="2555"/>
    </row>
    <row r="40" spans="1:21" ht="10.4" customHeight="1"/>
  </sheetData>
  <sheetProtection algorithmName="SHA-512" hashValue="Ubvxqos/q0WlGl5iD/1L66qX+A5XN+MQ3G+xtP+SFvXCwt+PPdW5bzS/jjHTLO30NmTFBdh+pC3xa3uYXau5Sg==" saltValue="MgowjlHSpT7nqNTAdptDFg==" spinCount="100000" sheet="1" objects="1" scenarios="1" formatRows="0" selectLockedCells="1"/>
  <mergeCells count="35">
    <mergeCell ref="B16:M16"/>
    <mergeCell ref="B17:M17"/>
    <mergeCell ref="K35:M35"/>
    <mergeCell ref="B9:M9"/>
    <mergeCell ref="B10:M10"/>
    <mergeCell ref="B11:M11"/>
    <mergeCell ref="B12:M12"/>
    <mergeCell ref="B13:M13"/>
    <mergeCell ref="B31:M31"/>
    <mergeCell ref="B14:M14"/>
    <mergeCell ref="B15:M15"/>
    <mergeCell ref="B24:M24"/>
    <mergeCell ref="B25:M25"/>
    <mergeCell ref="B8:M8"/>
    <mergeCell ref="A1:M1"/>
    <mergeCell ref="A3:M3"/>
    <mergeCell ref="B5:M5"/>
    <mergeCell ref="B6:M6"/>
    <mergeCell ref="B7:M7"/>
    <mergeCell ref="P2:Q2"/>
    <mergeCell ref="A39:M39"/>
    <mergeCell ref="N35:U37"/>
    <mergeCell ref="B18:M18"/>
    <mergeCell ref="B19:M19"/>
    <mergeCell ref="B20:M20"/>
    <mergeCell ref="B33:M33"/>
    <mergeCell ref="B22:M22"/>
    <mergeCell ref="B26:M26"/>
    <mergeCell ref="B28:M28"/>
    <mergeCell ref="B29:M29"/>
    <mergeCell ref="B30:M30"/>
    <mergeCell ref="C37:M37"/>
    <mergeCell ref="B21:M21"/>
    <mergeCell ref="B23:M23"/>
    <mergeCell ref="B27:M27"/>
  </mergeCells>
  <conditionalFormatting sqref="K35:M35 C37:M37">
    <cfRule type="cellIs" dxfId="3" priority="6" operator="notEqual">
      <formula>""</formula>
    </cfRule>
  </conditionalFormatting>
  <conditionalFormatting sqref="N35:U37">
    <cfRule type="cellIs" dxfId="2" priority="5" operator="equal">
      <formula>"This Applicant Certification and Acknowledgement Form has not been signed by the Authorized Principal Representative."</formula>
    </cfRule>
  </conditionalFormatting>
  <conditionalFormatting sqref="A5:M31">
    <cfRule type="expression" dxfId="1" priority="2">
      <formula>$P5=0</formula>
    </cfRule>
  </conditionalFormatting>
  <pageMargins left="0.7" right="0.7" top="0.75" bottom="0.75" header="0.3" footer="0.3"/>
  <pageSetup scale="80" fitToHeight="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0FC841A-A799-4B13-BCB2-2AB94B27D433}">
            <xm:f>Data1!$E$617="Yes"</xm:f>
            <x14:dxf>
              <font>
                <color theme="0"/>
              </font>
              <fill>
                <patternFill>
                  <bgColor theme="0"/>
                </patternFill>
              </fill>
              <border>
                <left/>
                <right/>
                <top/>
                <bottom/>
                <vertical/>
                <horizontal/>
              </border>
            </x14:dxf>
          </x14:cfRule>
          <xm:sqref>P5:P31 Q13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pane="bottomLeft" activeCell="A2" sqref="A2"/>
    </sheetView>
  </sheetViews>
  <sheetFormatPr defaultColWidth="8.81640625" defaultRowHeight="14.5"/>
  <cols>
    <col min="1" max="1" width="3" customWidth="1"/>
    <col min="2" max="3" width="3.81640625" customWidth="1"/>
    <col min="4" max="6" width="4.453125" customWidth="1"/>
    <col min="7" max="10" width="17.81640625" customWidth="1"/>
    <col min="11" max="11" width="16.81640625" customWidth="1"/>
  </cols>
  <sheetData>
    <row r="1" spans="1:11" ht="35.75" customHeight="1" thickBot="1">
      <c r="A1" s="2326" t="s">
        <v>1569</v>
      </c>
      <c r="B1" s="2327"/>
      <c r="C1" s="2327"/>
      <c r="D1" s="2327"/>
      <c r="E1" s="2327"/>
      <c r="F1" s="2327"/>
      <c r="G1" s="2327"/>
      <c r="H1" s="2327"/>
      <c r="I1" s="2327"/>
      <c r="J1" s="2327"/>
      <c r="K1" s="2328"/>
    </row>
    <row r="3" spans="1:11" ht="14.5" customHeight="1">
      <c r="A3" s="2563" t="s">
        <v>1570</v>
      </c>
      <c r="B3" s="2563"/>
      <c r="C3" s="2563"/>
      <c r="D3" s="2563"/>
      <c r="E3" s="2563"/>
      <c r="F3" s="2563"/>
      <c r="G3" s="2563"/>
      <c r="H3" s="2563"/>
      <c r="I3" s="2563"/>
      <c r="J3" s="2563"/>
      <c r="K3" s="2563"/>
    </row>
    <row r="4" spans="1:11">
      <c r="A4" s="2563"/>
      <c r="B4" s="2563"/>
      <c r="C4" s="2563"/>
      <c r="D4" s="2563"/>
      <c r="E4" s="2563"/>
      <c r="F4" s="2563"/>
      <c r="G4" s="2563"/>
      <c r="H4" s="2563"/>
      <c r="I4" s="2563"/>
      <c r="J4" s="2563"/>
      <c r="K4" s="2563"/>
    </row>
    <row r="5" spans="1:11">
      <c r="A5" s="2563"/>
      <c r="B5" s="2563"/>
      <c r="C5" s="2563"/>
      <c r="D5" s="2563"/>
      <c r="E5" s="2563"/>
      <c r="F5" s="2563"/>
      <c r="G5" s="2563"/>
      <c r="H5" s="2563"/>
      <c r="I5" s="2563"/>
      <c r="J5" s="2563"/>
      <c r="K5" s="2563"/>
    </row>
    <row r="6" spans="1:11">
      <c r="A6" s="2563"/>
      <c r="B6" s="2563"/>
      <c r="C6" s="2563"/>
      <c r="D6" s="2563"/>
      <c r="E6" s="2563"/>
      <c r="F6" s="2563"/>
      <c r="G6" s="2563"/>
      <c r="H6" s="2563"/>
      <c r="I6" s="2563"/>
      <c r="J6" s="2563"/>
      <c r="K6" s="2563"/>
    </row>
    <row r="10" spans="1:11">
      <c r="B10" s="1055"/>
    </row>
    <row r="11" spans="1:11">
      <c r="B11" s="1055"/>
    </row>
    <row r="12" spans="1:11">
      <c r="B12" s="1055"/>
    </row>
  </sheetData>
  <sheetProtection algorithmName="SHA-512" hashValue="1+xLtnbOZeGMaXMUPscfyDmSI2avMKNMIxK2hipWDs1sslFtoOmvD/kA7hFXIUpY+hwP11ynCPHBUpSA73HHhg==" saltValue="McIlXfhiAw/fRN1p0APLTQ==" spinCount="100000" sheet="1" formatRows="0" selectLockedCells="1"/>
  <mergeCells count="2">
    <mergeCell ref="A1:K1"/>
    <mergeCell ref="A3:K6"/>
  </mergeCells>
  <pageMargins left="0.7" right="0.7" top="0.75" bottom="0.75" header="0.3" footer="0.3"/>
  <pageSetup scale="80" orientation="portrait" cellComments="atEnd" r:id="rId1"/>
  <headerFooter>
    <oddHeader>&amp;C&amp;B&amp;14&amp;K7030A0Exhibit A to RFA 2023-102 SAIL Financing For Smaller Permanent Supportive Housing Developments For Persons With Special Needs</oddHeader>
    <oddFooter>&amp;LRFA 2023-102&amp;R&amp;K000000'&amp;A' worksheet tab: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7" ma:contentTypeDescription="Create a new document." ma:contentTypeScope="" ma:versionID="6ff3ab84981c6d7a118c934efb6f2015">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d25d06b1e425733ee7b3af914fe5cbd1"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661A3A-390D-4EEB-A0A9-F8B95F513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a84349eb-4374-47bc-83f0-36d288636098"/>
    <ds:schemaRef ds:uri="http://schemas.openxmlformats.org/package/2006/metadata/core-properties"/>
    <ds:schemaRef ds:uri="68dfe011-c19e-4dbd-a5cd-00e4d25ab099"/>
    <ds:schemaRef ds:uri="http://purl.org/dc/terms/"/>
    <ds:schemaRef ds:uri="http://purl.org/dc/elements/1.1/"/>
    <ds:schemaRef ds:uri="ee2a4f69-3a29-4b24-b170-d37fab3647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1094</vt:i4>
      </vt:variant>
    </vt:vector>
  </HeadingPairs>
  <TitlesOfParts>
    <vt:vector size="1107"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URA</vt:lpstr>
      <vt:lpstr>B. Other Information</vt:lpstr>
      <vt:lpstr>Certification</vt:lpstr>
      <vt:lpstr>Narrative Scoring</vt:lpstr>
      <vt:lpstr>ACC_units</vt:lpstr>
      <vt:lpstr>Acq_elig</vt:lpstr>
      <vt:lpstr>Acq_inelig</vt:lpstr>
      <vt:lpstr>Acq_total</vt:lpstr>
      <vt:lpstr>Acquisition_eligible</vt:lpstr>
      <vt:lpstr>Acquisition_ineligible</vt:lpstr>
      <vt:lpstr>Acquisition_total</vt:lpstr>
      <vt:lpstr>Actual_Accessory_eligible</vt:lpstr>
      <vt:lpstr>Actual_Accessory_ineligible</vt:lpstr>
      <vt:lpstr>Actual_Accessory_total</vt:lpstr>
      <vt:lpstr>Actual_Comm_Retail_eligible</vt:lpstr>
      <vt:lpstr>Actual_Comm_Retail_ineligible</vt:lpstr>
      <vt:lpstr>Actual_Comm_Retail_total</vt:lpstr>
      <vt:lpstr>Actual_commonareas_eligible</vt:lpstr>
      <vt:lpstr>Actual_commonareas_ineligible</vt:lpstr>
      <vt:lpstr>Actual_commonareas_total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Actual_existingrental_eligible</vt:lpstr>
      <vt:lpstr>Actual_existingrental_ineligible</vt:lpstr>
      <vt:lpstr>Actual_existingrental_total</vt:lpstr>
      <vt:lpstr>Actual_GCfee_eligible</vt:lpstr>
      <vt:lpstr>Actual_GCfee_ineligible</vt:lpstr>
      <vt:lpstr>Actual_GCfee_total</vt:lpstr>
      <vt:lpstr>Actual_NewUnits_eligible</vt:lpstr>
      <vt:lpstr>Actual_NewUnits_ineligible</vt:lpstr>
      <vt:lpstr>Actual_NewUnits_total</vt:lpstr>
      <vt:lpstr>Actual_Offsite_eligible</vt:lpstr>
      <vt:lpstr>Actual_Offsite_ineligible</vt:lpstr>
      <vt:lpstr>Actual_Offsite_total</vt:lpstr>
      <vt:lpstr>Actual_Other_eligible</vt:lpstr>
      <vt:lpstr>Actual_Other_ineligible</vt:lpstr>
      <vt:lpstr>Actual_Other_total</vt:lpstr>
      <vt:lpstr>Actual_recreational_eligible</vt:lpstr>
      <vt:lpstr>Actual_recreational_ineligible</vt:lpstr>
      <vt:lpstr>Actual_recreational_total</vt:lpstr>
      <vt:lpstr>Actual_sitework_eligible</vt:lpstr>
      <vt:lpstr>Actual_sitework_ineligible</vt:lpstr>
      <vt:lpstr>Actual_sitework_total</vt:lpstr>
      <vt:lpstr>Actual_TotalConstructioncost_eligible</vt:lpstr>
      <vt:lpstr>Actual_TotalConstructioncost_ineligible</vt:lpstr>
      <vt:lpstr>Actual_TotalConstructioncost_total</vt:lpstr>
      <vt:lpstr>Addenda_Comments</vt:lpstr>
      <vt:lpstr>Addenda_Comments_2</vt:lpstr>
      <vt:lpstr>AIT_HC_SA_Percent</vt:lpstr>
      <vt:lpstr>App_number_first_phase</vt:lpstr>
      <vt:lpstr>Application_Fee_Method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avg_AMI_HC_Units_in_avg_inc_chart</vt:lpstr>
      <vt:lpstr>Calc_BusRapid</vt:lpstr>
      <vt:lpstr>Calc_BusStop1</vt:lpstr>
      <vt:lpstr>Calc_BusStop2</vt:lpstr>
      <vt:lpstr>Calc_BusStop3</vt:lpstr>
      <vt:lpstr>Calc_BusTransfer</vt:lpstr>
      <vt:lpstr>Calc_Rail</vt:lpstr>
      <vt:lpstr>Cert_Signature</vt:lpstr>
      <vt:lpstr>Cert_Title_of_Signature</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County_Size</vt:lpstr>
      <vt:lpstr>DDA_nonmetro</vt:lpstr>
      <vt:lpstr>DDA_nonmetro_name</vt:lpstr>
      <vt:lpstr>Demographic</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DevCat_Test_QualBasis</vt:lpstr>
      <vt:lpstr>DevCat_Test_RehabExps</vt:lpstr>
      <vt:lpstr>DevCat_Test_Units</vt:lpstr>
      <vt:lpstr>Developer_fee_acq_eligible</vt:lpstr>
      <vt:lpstr>Developer_fee_acq_ineligible</vt:lpstr>
      <vt:lpstr>Developer_fee_acq_total</vt:lpstr>
      <vt:lpstr>Developer_fee_demo</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DevExp_first_Dev_location</vt:lpstr>
      <vt:lpstr>DevExp_first_Dev_name</vt:lpstr>
      <vt:lpstr>DevExp_first_Dev_program</vt:lpstr>
      <vt:lpstr>DevExp_first_Dev_units</vt:lpstr>
      <vt:lpstr>DevExp_first_Dev_year</vt:lpstr>
      <vt:lpstr>DevExp_natural_person</vt:lpstr>
      <vt:lpstr>DevExp_natural_person_entity</vt:lpstr>
      <vt:lpstr>DevExp_second_Dev_location</vt:lpstr>
      <vt:lpstr>DevExp_second_Dev_name</vt:lpstr>
      <vt:lpstr>DevExp_second_Dev_program</vt:lpstr>
      <vt:lpstr>DevExp_second_Dev_units</vt:lpstr>
      <vt:lpstr>DevExp_second_Dev_year</vt:lpstr>
      <vt:lpstr>DevExp_third_Dev_location</vt:lpstr>
      <vt:lpstr>DevExp_third_Dev_name</vt:lpstr>
      <vt:lpstr>DevExp_third_Dev_program</vt:lpstr>
      <vt:lpstr>DevExp_third_Dev_units</vt:lpstr>
      <vt:lpstr>DevExp_third_Dev_year</vt:lpstr>
      <vt:lpstr>DevType</vt:lpstr>
      <vt:lpstr>DLP_latitude</vt:lpstr>
      <vt:lpstr>DLP_longitude</vt:lpstr>
      <vt:lpstr>DonationOfLand</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DS_2023_Metro_QCT_Counties</vt:lpstr>
      <vt:lpstr>DS_2023_Metro_QCTs_Sorted</vt:lpstr>
      <vt:lpstr>DS_2023_NonMetro_QCT_Counties</vt:lpstr>
      <vt:lpstr>DS_2023_NonMetro_QCTs_Sorted</vt:lpstr>
      <vt:lpstr>DS_2023_ZCTAs_Sorted</vt:lpstr>
      <vt:lpstr>DS_Add_On_1</vt:lpstr>
      <vt:lpstr>DS_Add_On_1_Y</vt:lpstr>
      <vt:lpstr>DS_Add_On_2</vt:lpstr>
      <vt:lpstr>DS_Add_On_2_Y</vt:lpstr>
      <vt:lpstr>DS_AMI_List</vt:lpstr>
      <vt:lpstr>DS_AppDeadline</vt:lpstr>
      <vt:lpstr>DS_ARP_PD</vt:lpstr>
      <vt:lpstr>DS_ARP_PU</vt:lpstr>
      <vt:lpstr>DS_Authorized_Contact_Full_Name</vt:lpstr>
      <vt:lpstr>DS_Bond_ADDON</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DS_County_Sizes</vt:lpstr>
      <vt:lpstr>DS_CountyData</vt:lpstr>
      <vt:lpstr>DS_Demo_DataNames</vt:lpstr>
      <vt:lpstr>DS_Demo_DDMenu</vt:lpstr>
      <vt:lpstr>DS_Demo_Multiplier</vt:lpstr>
      <vt:lpstr>DS_Demo_Sequence</vt:lpstr>
      <vt:lpstr>DS_DevCat_DataNames</vt:lpstr>
      <vt:lpstr>DS_DevCat_DDMenu</vt:lpstr>
      <vt:lpstr>DS_DevCat_Min_Occ</vt:lpstr>
      <vt:lpstr>DS_DevCat_Note_1</vt:lpstr>
      <vt:lpstr>DS_DevCat_Note_2</vt:lpstr>
      <vt:lpstr>DS_DevCat_Note_3</vt:lpstr>
      <vt:lpstr>DS_DevCat_Note_4</vt:lpstr>
      <vt:lpstr>DS_DevCat_Note_5</vt:lpstr>
      <vt:lpstr>DS_DevCat_Note_6</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DS_DevExpDate</vt:lpstr>
      <vt:lpstr>DS_DevExpDateMinDevs</vt:lpstr>
      <vt:lpstr>DS_DevExpMinDevs_List</vt:lpstr>
      <vt:lpstr>DS_DevExpMinDevs_Units</vt:lpstr>
      <vt:lpstr>DS_DevExpMinUnitsNumber</vt:lpstr>
      <vt:lpstr>DS_DevExpMinUnitsPercent</vt:lpstr>
      <vt:lpstr>DS_DevExpMinUnitsSelect</vt:lpstr>
      <vt:lpstr>DS_DevExpPrgm</vt:lpstr>
      <vt:lpstr>DS_DevExpPrgm_Date</vt:lpstr>
      <vt:lpstr>DS_DevExpPrgmMinDevs</vt:lpstr>
      <vt:lpstr>DS_DevExpProgs_DataNames</vt:lpstr>
      <vt:lpstr>DS_DevExpProgs_DDMenu</vt:lpstr>
      <vt:lpstr>DS_DevExpProgs_Sequence</vt:lpstr>
      <vt:lpstr>DS_DevType_DataNames</vt:lpstr>
      <vt:lpstr>DS_DevType_DDMenu</vt:lpstr>
      <vt:lpstr>DS_DevType_Sequence</vt:lpstr>
      <vt:lpstr>DS_Elderly_ALF_Multiplier</vt:lpstr>
      <vt:lpstr>DS_ELI_Data</vt:lpstr>
      <vt:lpstr>DS_ELI_PD</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DS_ExcelCheckbox_flooring</vt:lpstr>
      <vt:lpstr>DS_ExcelCheckbox_Homeownership_seminar</vt:lpstr>
      <vt:lpstr>DS_ExcelCheckbox_Housekeeping</vt:lpstr>
      <vt:lpstr>DS_ExcelCheckbox_Humidistat</vt:lpstr>
      <vt:lpstr>DS_ExcelCheckBox_LessThan80</vt:lpstr>
      <vt:lpstr>DS_ExcelCheckbox_LGAO_Continuous</vt:lpstr>
      <vt:lpstr>DS_ExcelCheckbox_LGAO_NoPref</vt:lpstr>
      <vt:lpstr>DS_ExcelCheckbox_LGAO_Revite</vt:lpstr>
      <vt:lpstr>DS_ExcelCheckbox_light_pavement</vt:lpstr>
      <vt:lpstr>DS_ExcelCheckbox_Literacy_Elderly</vt:lpstr>
      <vt:lpstr>DS_ExcelCheckbox_Literacy_Family</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DS_ExcelCheckbox_windows</vt:lpstr>
      <vt:lpstr>DS_ExcelCheckbox_Yards</vt:lpstr>
      <vt:lpstr>DS_ExcelCheckBox_YouthAgingOut</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DS_FLJobs_SAIL</vt:lpstr>
      <vt:lpstr>DS_FLJobs_SFNC</vt:lpstr>
      <vt:lpstr>DS_FLJobs_Workforce</vt:lpstr>
      <vt:lpstr>DS_GAOs_effective2.1.22</vt:lpstr>
      <vt:lpstr>DS_Gap_AMI_Auto</vt:lpstr>
      <vt:lpstr>DS_Gap_AMI_Auto_AvgAIT</vt:lpstr>
      <vt:lpstr>DS_Gap_AMI_Auto_YN</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DS_Grant_PD</vt:lpstr>
      <vt:lpstr>DS_Green_DataNames</vt:lpstr>
      <vt:lpstr>DS_Green_DDMenu</vt:lpstr>
      <vt:lpstr>DS_Green_Sequence</vt:lpstr>
      <vt:lpstr>DS_HC_Min_SA_Perc</vt:lpstr>
      <vt:lpstr>DS_HOME_PD</vt:lpstr>
      <vt:lpstr>DS_HOME_PU_0Bd</vt:lpstr>
      <vt:lpstr>DS_HOME_PU_1Bd</vt:lpstr>
      <vt:lpstr>DS_HOME_PU_2Bd</vt:lpstr>
      <vt:lpstr>DS_HOME_PU_3Bd</vt:lpstr>
      <vt:lpstr>DS_HOME_PU_4Bd</vt:lpstr>
      <vt:lpstr>DS_IssueDate</vt:lpstr>
      <vt:lpstr>DS_KeysLocation_DDMenu</vt:lpstr>
      <vt:lpstr>DS_Lev_MP_Broward</vt:lpstr>
      <vt:lpstr>DS_Lev_MP_ESS</vt:lpstr>
      <vt:lpstr>DS_Lev_MP_GA</vt:lpstr>
      <vt:lpstr>DS_Lev_MP_HC</vt:lpstr>
      <vt:lpstr>DS_Lev_MP_HR</vt:lpstr>
      <vt:lpstr>DS_Lev_MP_Loan</vt:lpstr>
      <vt:lpstr>DS_Lev_MP_MR</vt:lpstr>
      <vt:lpstr>DS_Lev_MP_Oth</vt:lpstr>
      <vt:lpstr>DS_Lev_MP_PHA</vt:lpstr>
      <vt:lpstr>DS_Limiting_DevCat_Menu</vt:lpstr>
      <vt:lpstr>DS_Loan_Min_SA_Perc</vt:lpstr>
      <vt:lpstr>DS_Loan_Name</vt:lpstr>
      <vt:lpstr>DS_Managing_DDMenu</vt:lpstr>
      <vt:lpstr>DS_Max_NHTF</vt:lpstr>
      <vt:lpstr>DS_Max_ODR</vt:lpstr>
      <vt:lpstr>DS_Max_Units</vt:lpstr>
      <vt:lpstr>DS_MaxDevFeeAcq_Percent</vt:lpstr>
      <vt:lpstr>DS_MaxDevFeeNonAcq_Percent</vt:lpstr>
      <vt:lpstr>DS_MaxDevFeeODR_Percent</vt:lpstr>
      <vt:lpstr>DS_MaxGCFee</vt:lpstr>
      <vt:lpstr>DS_MaxHCCNC</vt:lpstr>
      <vt:lpstr>DS_MaxHCCR</vt:lpstr>
      <vt:lpstr>DS_MaxSCC</vt:lpstr>
      <vt:lpstr>DS_MaxUnits_E_NonOccRehab</vt:lpstr>
      <vt:lpstr>DS_MaxUnits_E_OccRehab</vt:lpstr>
      <vt:lpstr>DS_MaxUnits_Fam</vt:lpstr>
      <vt:lpstr>DS_MaxUnits_General_Large</vt:lpstr>
      <vt:lpstr>DS_MaxUnits_General_Medium</vt:lpstr>
      <vt:lpstr>DS_MaxUnits_General_Small</vt:lpstr>
      <vt:lpstr>DS_MaxUnits_NC_ALF</vt:lpstr>
      <vt:lpstr>DS_MaxUnits_NC_E_BMD</vt:lpstr>
      <vt:lpstr>DS_MaxUnits_NC_E_NonBMD</vt:lpstr>
      <vt:lpstr>DS_MaxUnits_NC_F_MMRB</vt:lpstr>
      <vt:lpstr>DS_MaxUnits_NotNC_ALF</vt:lpstr>
      <vt:lpstr>DS_MaxUnits_PDC</vt:lpstr>
      <vt:lpstr>DS_MaxUnits_PDD</vt:lpstr>
      <vt:lpstr>DS_MaxUnits_Pres</vt:lpstr>
      <vt:lpstr>DS_MDCounty_DDMenu</vt:lpstr>
      <vt:lpstr>DS_Metro_QCTs_2022</vt:lpstr>
      <vt:lpstr>DS_Metro_QCTs_2023</vt:lpstr>
      <vt:lpstr>DS_Min_ELI_AIT_Buy_NSS</vt:lpstr>
      <vt:lpstr>DS_Min_ELI_AIT_Buy_SS</vt:lpstr>
      <vt:lpstr>DS_Min_ELI_AIT_NSS</vt:lpstr>
      <vt:lpstr>DS_Min_ELI_AIT_SS</vt:lpstr>
      <vt:lpstr>DS_Min_ELI_NonAIT_Buy_NSS</vt:lpstr>
      <vt:lpstr>DS_Min_ELI_NonAIT_Buy_SS</vt:lpstr>
      <vt:lpstr>DS_Min_ELI_NonAIT_NSS</vt:lpstr>
      <vt:lpstr>DS_Min_ELI_NonAIT_SS</vt:lpstr>
      <vt:lpstr>DS_Min_Units</vt:lpstr>
      <vt:lpstr>DS_Min_Units_6Large</vt:lpstr>
      <vt:lpstr>DS_Min_Units_General_Large</vt:lpstr>
      <vt:lpstr>DS_Min_Units_General_Medium</vt:lpstr>
      <vt:lpstr>DS_Min_Units_General_Small</vt:lpstr>
      <vt:lpstr>DS_Min_Units_Keys</vt:lpstr>
      <vt:lpstr>DS_Min_Units_No_MiamiDade</vt:lpstr>
      <vt:lpstr>DS_Min_Units_PDC</vt:lpstr>
      <vt:lpstr>DS_Min_Units_PDD</vt:lpstr>
      <vt:lpstr>DS_Min_Units_Pinellas</vt:lpstr>
      <vt:lpstr>DS_Min_Units_So_MiamiDade</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DS_N_Keys_Multiplier</vt:lpstr>
      <vt:lpstr>DS_NHTF_PD</vt:lpstr>
      <vt:lpstr>DS_NHTF_PU</vt:lpstr>
      <vt:lpstr>DS_NonMetro_DDAs_2022</vt:lpstr>
      <vt:lpstr>DS_NonMetro_DDAs_2023</vt:lpstr>
      <vt:lpstr>DS_NonMetro_QCTs_2022</vt:lpstr>
      <vt:lpstr>DS_NonMetro_QCTs_2023</vt:lpstr>
      <vt:lpstr>DS_Notes_New_Construction</vt:lpstr>
      <vt:lpstr>DS_Notes_Preservation</vt:lpstr>
      <vt:lpstr>DS_Notes_Redevelopment</vt:lpstr>
      <vt:lpstr>DS_Notes_Rehabilitation</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DS_PHA_FED_ADDON</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DS_PU_Constr_Fund_Pref_Dollar</vt:lpstr>
      <vt:lpstr>DS_QualFin_DDMenu</vt:lpstr>
      <vt:lpstr>DS_Qualifying_FAFP_Basis</vt:lpstr>
      <vt:lpstr>DS_Qualifying_FAFP_Basis_Code</vt:lpstr>
      <vt:lpstr>DS_Qualifying_FAFP_Percent</vt:lpstr>
      <vt:lpstr>DS_RA_Level</vt:lpstr>
      <vt:lpstr>DS_RA_Source_DataNames</vt:lpstr>
      <vt:lpstr>DS_RA_Source_DDMenu</vt:lpstr>
      <vt:lpstr>DS_RA_Source_Sequence</vt:lpstr>
      <vt:lpstr>DS_Request_Maximum</vt:lpstr>
      <vt:lpstr>DS_Request_Minimum</vt:lpstr>
      <vt:lpstr>DS_S_Keys_Multiplier</vt:lpstr>
      <vt:lpstr>DS_SAIL_ELI_Inclusive</vt:lpstr>
      <vt:lpstr>DS_SAIL_PD_Demo</vt:lpstr>
      <vt:lpstr>DS_SAIL_PD_Large</vt:lpstr>
      <vt:lpstr>DS_SAIL_PD_Large_DevCat</vt:lpstr>
      <vt:lpstr>DS_SAIL_PD_Min_MD</vt:lpstr>
      <vt:lpstr>DS_SAIL_PD_Pres</vt:lpstr>
      <vt:lpstr>DS_SAIL_PD_Sm_Med</vt:lpstr>
      <vt:lpstr>DS_SAIL_PD_Sm_Med_DevCat</vt:lpstr>
      <vt:lpstr>DS_SAIL_Percent_TDC_1</vt:lpstr>
      <vt:lpstr>DS_SAIL_Percent_TDC_2</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DS_TabHeader</vt:lpstr>
      <vt:lpstr>DS_TabLeftFooter</vt:lpstr>
      <vt:lpstr>DS_UnitTypeMatch</vt:lpstr>
      <vt:lpstr>DS_W_SAIL_PD</vt:lpstr>
      <vt:lpstr>DS_W_SAIL_PD_FLKeys</vt:lpstr>
      <vt:lpstr>DS_W_SAIL_PU</vt:lpstr>
      <vt:lpstr>DS_W_SAIL_PU_FLKeys_80Plus</vt:lpstr>
      <vt:lpstr>DS_W_SAIL_PU_FLKeys_No80Plus</vt:lpstr>
      <vt:lpstr>DS_ZCTAs_2022</vt:lpstr>
      <vt:lpstr>DS_ZCTAs_2023</vt:lpstr>
      <vt:lpstr>eighty_AMI_Avg_Income_Units</vt:lpstr>
      <vt:lpstr>ELI_Request_Amount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Eligible_SAIL_Request_Amount</vt:lpstr>
      <vt:lpstr>Eligible_TBD_Request_Amount</vt:lpstr>
      <vt:lpstr>Eligible_Workforce_Request_Amount</vt:lpstr>
      <vt:lpstr>eminentdomain</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ExcelCheckbox_flooring</vt:lpstr>
      <vt:lpstr>ExcelCheckbox_Homeownership_seminar</vt:lpstr>
      <vt:lpstr>ExcelCheckbox_Housekeeping</vt:lpstr>
      <vt:lpstr>ExcelCheckbox_Humidistat</vt:lpstr>
      <vt:lpstr>ExcelCheckBox_LessThan80</vt:lpstr>
      <vt:lpstr>ExcelCheckbox_LGAO_Continuous</vt:lpstr>
      <vt:lpstr>ExcelCheckbox_LGAO_NoPref</vt:lpstr>
      <vt:lpstr>ExcelCheckbox_LGAO_Revite</vt:lpstr>
      <vt:lpstr>ExcelCheckbox_light_pavement</vt:lpstr>
      <vt:lpstr>ExcelCheckbox_Literacy_Elderly</vt:lpstr>
      <vt:lpstr>ExcelCheckbox_Literacy_Family</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ExcelCheckbox_windows</vt:lpstr>
      <vt:lpstr>ExcelCheckbox_Yards</vt:lpstr>
      <vt:lpstr>ExcelCheckBox_YouthAgingOut</vt:lpstr>
      <vt:lpstr>expected_PIS_date</vt:lpstr>
      <vt:lpstr>Fee_Pmt_Information</vt:lpstr>
      <vt:lpstr>FHFC_9HC_Adj_Rqst_Amt</vt:lpstr>
      <vt:lpstr>FHFC_9HC_Adj_Rqst_Label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fifty_AMI_Avg_Income_Units</vt:lpstr>
      <vt:lpstr>fifty_AMI_HC</vt:lpstr>
      <vt:lpstr>Financial_bridge_commitment_eligible</vt:lpstr>
      <vt:lpstr>Financial_bridge_commitment_ineligible</vt:lpstr>
      <vt:lpstr>Financial_bridge_commitment_total</vt:lpstr>
      <vt:lpstr>Financial_bridge_interest_eligible</vt:lpstr>
      <vt:lpstr>Financial_bridge_interest_ineligible</vt:lpstr>
      <vt:lpstr>Financial_bridge_interest_total</vt:lpstr>
      <vt:lpstr>Financial_constr_commitment_eligible</vt:lpstr>
      <vt:lpstr>Financial_constr_commitment_ineligible</vt:lpstr>
      <vt:lpstr>Financial_constr_commitment_total</vt:lpstr>
      <vt:lpstr>Financial_constr_enhancement_eligible</vt:lpstr>
      <vt:lpstr>Financial_constr_enhancement_ineligible</vt:lpstr>
      <vt:lpstr>Financial_constr_enhancement_total</vt:lpstr>
      <vt:lpstr>Financial_constr_interest_eligible</vt:lpstr>
      <vt:lpstr>Financial_constr_interest_ineligible</vt:lpstr>
      <vt:lpstr>Financial_constr_interest_total</vt:lpstr>
      <vt:lpstr>Financial_nonperm_closing_eligible</vt:lpstr>
      <vt:lpstr>Financial_nonperm_closing_ineligible</vt:lpstr>
      <vt:lpstr>Financial_nonperm_closing_total</vt:lpstr>
      <vt:lpstr>Financial_other_eligible</vt:lpstr>
      <vt:lpstr>Financial_other_ineligible</vt:lpstr>
      <vt:lpstr>Financial_other_total</vt:lpstr>
      <vt:lpstr>Financial_perm_closing_ineligible</vt:lpstr>
      <vt:lpstr>Financial_perm_closing_total</vt:lpstr>
      <vt:lpstr>Financial_perm_commitment_ineligible</vt:lpstr>
      <vt:lpstr>Financial_perm_commitment_total</vt:lpstr>
      <vt:lpstr>Financial_perm_enhancement_ineligible</vt:lpstr>
      <vt:lpstr>Financial_perm_enhancement_total</vt:lpstr>
      <vt:lpstr>Financial_total_eligible</vt:lpstr>
      <vt:lpstr>Financial_total_ineligible</vt:lpstr>
      <vt:lpstr>Financial_totalcosts_total</vt:lpstr>
      <vt:lpstr>FLJobs_Score</vt:lpstr>
      <vt:lpstr>FLKeys_N_S</vt:lpstr>
      <vt:lpstr>FO_TDC_PU_Limit</vt:lpstr>
      <vt:lpstr>forty_AMI_Avg_Income_Units</vt:lpstr>
      <vt:lpstr>forty_AMI_HC</vt:lpstr>
      <vt:lpstr>fortyfive_AMI_HC</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Garden_ESS_NC_units</vt:lpstr>
      <vt:lpstr>Garden_ESS_Rehab_units</vt:lpstr>
      <vt:lpstr>Garden_non_ESS_NC_units</vt:lpstr>
      <vt:lpstr>Garden_non_ESS_Rehab_units</vt:lpstr>
      <vt:lpstr>GCF_DollarMax</vt:lpstr>
      <vt:lpstr>GCFee_Pass</vt:lpstr>
      <vt:lpstr>GCFee_PercentMax</vt:lpstr>
      <vt:lpstr>General_Accounting_eligible</vt:lpstr>
      <vt:lpstr>General_Accounting_ineligible</vt:lpstr>
      <vt:lpstr>General_Accounting_total</vt:lpstr>
      <vt:lpstr>General_adminfee_ineligible</vt:lpstr>
      <vt:lpstr>General_adminfee_total</vt:lpstr>
      <vt:lpstr>General_applicationfee_ineligible</vt:lpstr>
      <vt:lpstr>General_applicationfee_total</vt:lpstr>
      <vt:lpstr>General_Appraisal_eligible</vt:lpstr>
      <vt:lpstr>General_Appraisal_ineligible</vt:lpstr>
      <vt:lpstr>General_Appraisal_total</vt:lpstr>
      <vt:lpstr>General_Architectfeedesign_eligible</vt:lpstr>
      <vt:lpstr>General_Architectfeedesign_ineligible</vt:lpstr>
      <vt:lpstr>General_Architectfeedesign_total</vt:lpstr>
      <vt:lpstr>General_Architectfeesupervision_eligible</vt:lpstr>
      <vt:lpstr>General_Architectfeesupervision_ineligible</vt:lpstr>
      <vt:lpstr>General_Architectfeesupervision_total</vt:lpstr>
      <vt:lpstr>General_builder_ins_eligible</vt:lpstr>
      <vt:lpstr>General_builder_ins_ineligible</vt:lpstr>
      <vt:lpstr>General_builder_ins_total</vt:lpstr>
      <vt:lpstr>General_capitalneeds_eligible</vt:lpstr>
      <vt:lpstr>General_capitalneeds_ineligible</vt:lpstr>
      <vt:lpstr>General_capitalneeds_total</vt:lpstr>
      <vt:lpstr>General_compliancefee_ineligible</vt:lpstr>
      <vt:lpstr>General_compliancefee_total</vt:lpstr>
      <vt:lpstr>General_cu_fee_eligible</vt:lpstr>
      <vt:lpstr>General_cu_fee_ineligible</vt:lpstr>
      <vt:lpstr>General_cu_fee_total</vt:lpstr>
      <vt:lpstr>General_engineering_eligible</vt:lpstr>
      <vt:lpstr>General_engineering_ineligible</vt:lpstr>
      <vt:lpstr>General_engineering_total</vt:lpstr>
      <vt:lpstr>General_environmental_eligible</vt:lpstr>
      <vt:lpstr>General_environmental_ineligible</vt:lpstr>
      <vt:lpstr>General_environmental_total</vt:lpstr>
      <vt:lpstr>General_HERS_eligible</vt:lpstr>
      <vt:lpstr>General_HERS_ineligible</vt:lpstr>
      <vt:lpstr>General_HERS_total</vt:lpstr>
      <vt:lpstr>General_Impact_eligible</vt:lpstr>
      <vt:lpstr>General_Impact_ineligible</vt:lpstr>
      <vt:lpstr>General_Impact_total</vt:lpstr>
      <vt:lpstr>General_inspectionfee_eligible</vt:lpstr>
      <vt:lpstr>General_inspectionfee_ineligible</vt:lpstr>
      <vt:lpstr>General_inspectionfee_total</vt:lpstr>
      <vt:lpstr>General_insurance_eligible</vt:lpstr>
      <vt:lpstr>General_insurance_ineligible</vt:lpstr>
      <vt:lpstr>General_insurance_total</vt:lpstr>
      <vt:lpstr>General_legalfee_eligible</vt:lpstr>
      <vt:lpstr>General_legalfee_ineligible</vt:lpstr>
      <vt:lpstr>General_legalfee_total</vt:lpstr>
      <vt:lpstr>General_marketing_ineligible</vt:lpstr>
      <vt:lpstr>General_marketing_total</vt:lpstr>
      <vt:lpstr>General_marketstudy_eligible</vt:lpstr>
      <vt:lpstr>General_marketstudy_ineligible</vt:lpstr>
      <vt:lpstr>General_marketstudy_total</vt:lpstr>
      <vt:lpstr>General_other_eligible</vt:lpstr>
      <vt:lpstr>General_other_ineligible</vt:lpstr>
      <vt:lpstr>General_other_total</vt:lpstr>
      <vt:lpstr>General_permit_eligible</vt:lpstr>
      <vt:lpstr>General_permit_ineligible</vt:lpstr>
      <vt:lpstr>General_permit_total</vt:lpstr>
      <vt:lpstr>General_propertytaxes_eligible</vt:lpstr>
      <vt:lpstr>General_propertytaxes_ineligible</vt:lpstr>
      <vt:lpstr>General_propertytaxes_total</vt:lpstr>
      <vt:lpstr>General_relocation_eligible</vt:lpstr>
      <vt:lpstr>General_relocation_ineligible</vt:lpstr>
      <vt:lpstr>General_relocation_total</vt:lpstr>
      <vt:lpstr>General_soiltest_eligible</vt:lpstr>
      <vt:lpstr>General_soiltest_ineligible</vt:lpstr>
      <vt:lpstr>General_soiltest_total</vt:lpstr>
      <vt:lpstr>General_survey_eligible</vt:lpstr>
      <vt:lpstr>General_survey_ineligible</vt:lpstr>
      <vt:lpstr>General_survey_total</vt:lpstr>
      <vt:lpstr>General_titleinsurance_eligible</vt:lpstr>
      <vt:lpstr>General_titleinsurance_ineligible</vt:lpstr>
      <vt:lpstr>General_titleinsurance_total</vt:lpstr>
      <vt:lpstr>General_totaldevelopmentcost_eligible</vt:lpstr>
      <vt:lpstr>General_totaldevelopmentcost_ineligible</vt:lpstr>
      <vt:lpstr>General_totaldevelopmentcost_total</vt:lpstr>
      <vt:lpstr>General_utilityconnection_eligible</vt:lpstr>
      <vt:lpstr>General_utilityconnection_ineligible</vt:lpstr>
      <vt:lpstr>General_utilityconnection_total</vt:lpstr>
      <vt:lpstr>Geo_Area_of_Opp_boost</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HardCC_DollarMax</vt:lpstr>
      <vt:lpstr>HardCC_Pass</vt:lpstr>
      <vt:lpstr>HardCC_PercentMax</vt:lpstr>
      <vt:lpstr>HCC_DollarMax</vt:lpstr>
      <vt:lpstr>HOME_ARP_Request_Amount</vt:lpstr>
      <vt:lpstr>HOME_Request_Amount</vt:lpstr>
      <vt:lpstr>HR_ESS_NC_units</vt:lpstr>
      <vt:lpstr>Land_ineligible</vt:lpstr>
      <vt:lpstr>Land_total</vt:lpstr>
      <vt:lpstr>LG_Name1</vt:lpstr>
      <vt:lpstr>LG_Name1_Cash_Grant</vt:lpstr>
      <vt:lpstr>LG_Name1_Cash_Loan</vt:lpstr>
      <vt:lpstr>LG_Name2</vt:lpstr>
      <vt:lpstr>LG_Name2_Cash_Grant</vt:lpstr>
      <vt:lpstr>LG_Name2_Cash_Loan</vt:lpstr>
      <vt:lpstr>LG_Name3</vt:lpstr>
      <vt:lpstr>LG_Name3_Cash_Grant</vt:lpstr>
      <vt:lpstr>LG_Name3_Cash_Loan</vt:lpstr>
      <vt:lpstr>LG_Name4</vt:lpstr>
      <vt:lpstr>LG_Name4_Cash_Grant</vt:lpstr>
      <vt:lpstr>LG_Name4_Cash_Loan</vt:lpstr>
      <vt:lpstr>LGAO_Designation</vt:lpstr>
      <vt:lpstr>LGAO_Number</vt:lpstr>
      <vt:lpstr>LGAO_Prior_App_Number</vt:lpstr>
      <vt:lpstr>LGC_FD_Face</vt:lpstr>
      <vt:lpstr>LGC_FD_NPV</vt:lpstr>
      <vt:lpstr>LGC_FW_Face</vt:lpstr>
      <vt:lpstr>LGC_Grant_Face</vt:lpstr>
      <vt:lpstr>LGC_Loan_Face</vt:lpstr>
      <vt:lpstr>LGC_Loan_NPV</vt:lpstr>
      <vt:lpstr>Local_govt_contribution</vt:lpstr>
      <vt:lpstr>Mand_distance</vt:lpstr>
      <vt:lpstr>Market_Avg_Income_Units</vt:lpstr>
      <vt:lpstr>Max_ARP</vt:lpstr>
      <vt:lpstr>Max_Competitive_HC</vt:lpstr>
      <vt:lpstr>Max_ELI</vt:lpstr>
      <vt:lpstr>Max_Grant</vt:lpstr>
      <vt:lpstr>Max_HOME</vt:lpstr>
      <vt:lpstr>Max_NHTF</vt:lpstr>
      <vt:lpstr>Max_SAIL</vt:lpstr>
      <vt:lpstr>Max_TBD</vt:lpstr>
      <vt:lpstr>Max_Workforce</vt:lpstr>
      <vt:lpstr>MD_N_S</vt:lpstr>
      <vt:lpstr>Medical_Address</vt:lpstr>
      <vt:lpstr>Medical_Distance</vt:lpstr>
      <vt:lpstr>Medical_Name</vt:lpstr>
      <vt:lpstr>Medical_points</vt:lpstr>
      <vt:lpstr>Mgmt_Co_Address</vt:lpstr>
      <vt:lpstr>Mgmt_Co_City</vt:lpstr>
      <vt:lpstr>Mgmt_Co_Email</vt:lpstr>
      <vt:lpstr>Mgmt_Co_Exp_first_currently_or_formerly_managed</vt:lpstr>
      <vt:lpstr>Mgmt_Co_Exp_first_Dev_name</vt:lpstr>
      <vt:lpstr>Mgmt_Co_Exp_first_location</vt:lpstr>
      <vt:lpstr>Mgmt_Co_Exp_first_time</vt:lpstr>
      <vt:lpstr>Mgmt_Co_Exp_first_units</vt:lpstr>
      <vt:lpstr>Mgmt_Co_Exp_secnod_currently_or_formerly_managed</vt:lpstr>
      <vt:lpstr>Mgmt_Co_Exp_second_Dev_name</vt:lpstr>
      <vt:lpstr>Mgmt_Co_Exp_second_location</vt:lpstr>
      <vt:lpstr>Mgmt_Co_Exp_second_time</vt:lpstr>
      <vt:lpstr>Mgmt_Co_Exp_second_units</vt:lpstr>
      <vt:lpstr>Mgmt_Co_Experienced_entity</vt:lpstr>
      <vt:lpstr>Mgmt_Co_Phone</vt:lpstr>
      <vt:lpstr>Mgmt_Co_Phone_ext</vt:lpstr>
      <vt:lpstr>Mgmt_Co_State</vt:lpstr>
      <vt:lpstr>Mgmt_Co_Zip_Code</vt:lpstr>
      <vt:lpstr>Mgmt_InputTracking</vt:lpstr>
      <vt:lpstr>Minimum_SetAside_per_Sec_42</vt:lpstr>
      <vt:lpstr>MMRB_Request_Amount</vt:lpstr>
      <vt:lpstr>MR_and_HR_ESS_Rehab_units</vt:lpstr>
      <vt:lpstr>MR_and_HR_non_ESS_Rehab_units</vt:lpstr>
      <vt:lpstr>MR_ESS_NC_units</vt:lpstr>
      <vt:lpstr>MR_Non_ESS_NC_units</vt:lpstr>
      <vt:lpstr>Multiphase_firstphase</vt:lpstr>
      <vt:lpstr>Multiphase_subsequent</vt:lpstr>
      <vt:lpstr>Name_Of_Applicant</vt:lpstr>
      <vt:lpstr>Name_Of_Developer_1</vt:lpstr>
      <vt:lpstr>Name_Of_Developer_2</vt:lpstr>
      <vt:lpstr>Name_Of_Developer_3</vt:lpstr>
      <vt:lpstr>Name_of_Mgmt_Co</vt:lpstr>
      <vt:lpstr>Name_of_proposed_Development</vt:lpstr>
      <vt:lpstr>NHTF_Indicator</vt:lpstr>
      <vt:lpstr>NHTF_Request_Amount</vt:lpstr>
      <vt:lpstr>Non_Competitive_HC_Request_Amount</vt:lpstr>
      <vt:lpstr>NonAIT_HC_SA_Percent</vt:lpstr>
      <vt:lpstr>NonProfit_Applicant</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occupancy_status</vt:lpstr>
      <vt:lpstr>Occupancy_status_URA</vt:lpstr>
      <vt:lpstr>Occupied_units</vt:lpstr>
      <vt:lpstr>ODR_eligible</vt:lpstr>
      <vt:lpstr>ODR_ineligible</vt:lpstr>
      <vt:lpstr>ODR_Max</vt:lpstr>
      <vt:lpstr>ODR_total</vt:lpstr>
      <vt:lpstr>One_Bed_One_Bath_Total_Units</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Other_ESS_NC_units</vt:lpstr>
      <vt:lpstr>Other_ESS_Rehab_units</vt:lpstr>
      <vt:lpstr>Other_Federal_assistance_units</vt:lpstr>
      <vt:lpstr>Other_ineligible</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vt:lpstr>
      <vt:lpstr>pct_units_in_setaside_chart</vt:lpstr>
      <vt:lpstr>Percent_Credits_Purchased</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PermSource_Use_Ratio</vt:lpstr>
      <vt:lpstr>PerUnitConstFundingPref</vt:lpstr>
      <vt:lpstr>PHA</vt:lpstr>
      <vt:lpstr>PHA_Area_of_Opp_boost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Prox_List_Related_Disregard_1</vt:lpstr>
      <vt:lpstr>Prox_List_Related_Disregard_2</vt:lpstr>
      <vt:lpstr>Prox_List_Related_Disregard_3</vt:lpstr>
      <vt:lpstr>Prox_List_Related_Disregard_4</vt:lpstr>
      <vt:lpstr>Prox_List_Related_Disregard_5</vt:lpstr>
      <vt:lpstr>Proximity_list_related</vt:lpstr>
      <vt:lpstr>QCT</vt:lpstr>
      <vt:lpstr>QCT_metro_or_nonmetro</vt:lpstr>
      <vt:lpstr>QCT_number</vt:lpstr>
      <vt:lpstr>Qualified_Fin_Assist_Pref_Met</vt:lpstr>
      <vt:lpstr>RD_Prox_boost</vt:lpstr>
      <vt:lpstr>RECAP</vt:lpstr>
      <vt:lpstr>residential_buildings</vt:lpstr>
      <vt:lpstr>SADDA_ZCTA_1</vt:lpstr>
      <vt:lpstr>SADDA_ZCTA_2</vt:lpstr>
      <vt:lpstr>SADDA_ZCTA_3</vt:lpstr>
      <vt:lpstr>SAIL_PD_Demo_Updated</vt:lpstr>
      <vt:lpstr>SAIL_Request_Amount</vt:lpstr>
      <vt:lpstr>Scattered_Sites</vt:lpstr>
      <vt:lpstr>Scattered_Sites_lat_long</vt:lpstr>
      <vt:lpstr>SCC_DollarMax</vt:lpstr>
      <vt:lpstr>School_Address</vt:lpstr>
      <vt:lpstr>School_Distance</vt:lpstr>
      <vt:lpstr>School_Name</vt:lpstr>
      <vt:lpstr>School_points</vt:lpstr>
      <vt:lpstr>Self_Sourced_Applicant</vt:lpstr>
      <vt:lpstr>seventy_AMI_Avg_Income_Units</vt:lpstr>
      <vt:lpstr>SiF_ESS_NC_Units</vt:lpstr>
      <vt:lpstr>SiF_Non_ESS_NC_Units</vt:lpstr>
      <vt:lpstr>sixty_AMI_Avg_Income_Units</vt:lpstr>
      <vt:lpstr>sixty_AMI_HC</vt:lpstr>
      <vt:lpstr>sixtyfive_AMI_Legislative</vt:lpstr>
      <vt:lpstr>Small_Area_DDA</vt:lpstr>
      <vt:lpstr>SS_Compliance_Period</vt:lpstr>
      <vt:lpstr>SS_Higher_Percentage</vt:lpstr>
      <vt:lpstr>SS_Waive_the_Option</vt:lpstr>
      <vt:lpstr>Submission_Goal_1</vt:lpstr>
      <vt:lpstr>Submission_Goal_2</vt:lpstr>
      <vt:lpstr>Submission_Goal_3</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TDC_Base_Limit</vt:lpstr>
      <vt:lpstr>TDC_eligible</vt:lpstr>
      <vt:lpstr>TDC_ineligible</vt:lpstr>
      <vt:lpstr>TDC_PU_Actual</vt:lpstr>
      <vt:lpstr>TDC_PU_Met</vt:lpstr>
      <vt:lpstr>TDC_total</vt:lpstr>
      <vt:lpstr>temp_relocated</vt:lpstr>
      <vt:lpstr>temp_relocated_units</vt:lpstr>
      <vt:lpstr>thirty_AMI_Avg_Income_Units</vt:lpstr>
      <vt:lpstr>thirty_AMI_HC</vt:lpstr>
      <vt:lpstr>thirtyfive_AMI_HC</vt:lpstr>
      <vt:lpstr>thirtythree_AMI_HC</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Total_Corp_Funding</vt:lpstr>
      <vt:lpstr>Total_Corp_Funding_PSAU</vt:lpstr>
      <vt:lpstr>Total_Existing_Units</vt:lpstr>
      <vt:lpstr>Total_Gap_Chart_Units</vt:lpstr>
      <vt:lpstr>total_HC_units_avg_inc</vt:lpstr>
      <vt:lpstr>total_HC_units_NonAIT</vt:lpstr>
      <vt:lpstr>Total_NonGrant_Mtg</vt:lpstr>
      <vt:lpstr>total_proximity_points_achieved</vt:lpstr>
      <vt:lpstr>total_proximity_points_min_met</vt:lpstr>
      <vt:lpstr>total_proximity_points_pref_met</vt:lpstr>
      <vt:lpstr>Total_Units</vt:lpstr>
      <vt:lpstr>total_units_in_setaside_chart</vt:lpstr>
      <vt:lpstr>total_units_in_unit_desc_chart</vt:lpstr>
      <vt:lpstr>Transit_BTS_distance</vt:lpstr>
      <vt:lpstr>Transit_BTS_lat</vt:lpstr>
      <vt:lpstr>Transit_BTS_long</vt:lpstr>
      <vt:lpstr>Transit_BTS_points</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Transit_Rail_distance</vt:lpstr>
      <vt:lpstr>Transit_Rail_lat</vt:lpstr>
      <vt:lpstr>Transit_Rail_long</vt:lpstr>
      <vt:lpstr>Transit_Rail_points</vt:lpstr>
      <vt:lpstr>twenty_AMI_Avg_Income_Units</vt:lpstr>
      <vt:lpstr>twentyeight_AMI_HC</vt:lpstr>
      <vt:lpstr>twentyeight_AMI_non_avg_inc</vt:lpstr>
      <vt:lpstr>twentyeight_non_avg_inc</vt:lpstr>
      <vt:lpstr>twentyfive_AMI_HC</vt:lpstr>
      <vt:lpstr>twentyfive_AMI_non</vt:lpstr>
      <vt:lpstr>twentyfive_AMI_non_avg_inc</vt:lpstr>
      <vt:lpstr>Two_Bed_One_and_half_Bath_Total_Units</vt:lpstr>
      <vt:lpstr>Two_Bed_One_Bath_Total_Units</vt:lpstr>
      <vt:lpstr>Two_Bed_Two_Bath_Total_Units</vt:lpstr>
      <vt:lpstr>UrbanCenter</vt:lpstr>
      <vt:lpstr>UrbanCenter_Name</vt:lpstr>
      <vt:lpstr>UrbanCenter_Tier</vt:lpstr>
      <vt:lpstr>Workforce_AMI_non_avg_inc</vt:lpstr>
      <vt:lpstr>Workforce_Avg_Income_Units</vt:lpstr>
      <vt:lpstr>Workforce_Request_Amount</vt:lpstr>
      <vt:lpstr>year_built</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Rita Guzman</cp:lastModifiedBy>
  <cp:revision/>
  <cp:lastPrinted>2022-10-07T21:30:42Z</cp:lastPrinted>
  <dcterms:created xsi:type="dcterms:W3CDTF">2021-01-19T14:53:27Z</dcterms:created>
  <dcterms:modified xsi:type="dcterms:W3CDTF">2022-12-01T18:28:32Z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