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floridahousing-my.sharepoint.com/personal/tracy_willis_floridahousing_org/Documents/TWillis/ANNUAL TDC Updates/New TDC Template Project 2023/FINAL Template Versions/"/>
    </mc:Choice>
  </mc:AlternateContent>
  <xr:revisionPtr revIDLastSave="263" documentId="8_{D054CCDD-7FDE-43E4-8830-DF908801A5E4}" xr6:coauthVersionLast="47" xr6:coauthVersionMax="47" xr10:uidLastSave="{62ACA3BB-436F-4996-B60F-AEF5223E4F2F}"/>
  <bookViews>
    <workbookView xWindow="-120" yWindow="-120" windowWidth="29040" windowHeight="15720" xr2:uid="{A3B7E6AC-9741-4778-8E4A-263167A7CC41}"/>
  </bookViews>
  <sheets>
    <sheet name="RFA" sheetId="2" r:id="rId1"/>
    <sheet name="Data" sheetId="5" state="hidden" r:id="rId2"/>
    <sheet name="CUR" sheetId="8" r:id="rId3"/>
    <sheet name="Sheet1" sheetId="10" state="hidden" r:id="rId4"/>
    <sheet name="Both CUR &amp; FCCA" sheetId="11" r:id="rId5"/>
  </sheets>
  <definedNames>
    <definedName name="AddOns" localSheetId="0">Data!$P$3:$CC$5</definedName>
    <definedName name="AddOns2" localSheetId="0">Data!$P$7:$CC$9</definedName>
    <definedName name="AppDue" localSheetId="0">Data!$C$44:$M$61</definedName>
    <definedName name="Base01" localSheetId="0">Data!$P$38:$CC$45</definedName>
    <definedName name="Counties" localSheetId="0">Data!$A$11:$A$78</definedName>
    <definedName name="Descriptions" localSheetId="0">Data!$C$64:$M$81</definedName>
    <definedName name="EscalationFactor">Data!$P$47:$CC$54</definedName>
    <definedName name="Identify" localSheetId="0">RFA!$C$15:$D$32</definedName>
    <definedName name="MultiplierNames" localSheetId="0">Data!$P$11:$CC$18</definedName>
    <definedName name="MultiplierNumbers" localSheetId="0">Data!$P$20:$CC$27</definedName>
    <definedName name="_xlnm.Print_Area" localSheetId="4">'Both CUR &amp; FCCA'!$B$1:$G$62</definedName>
    <definedName name="_xlnm.Print_Area" localSheetId="2">CUR!$B$1:$F$77</definedName>
    <definedName name="RFAs" localSheetId="0">Data!$C$3:$M$20</definedName>
    <definedName name="TDC_Table">RFA!$A$51:$H$57</definedName>
    <definedName name="Types" localSheetId="0">Data!$P$29:$CC$36</definedName>
    <definedName name="Year" localSheetId="0">RFA!$D$9</definedName>
    <definedName name="Years" localSheetId="0">Data!$A$3:$A$6</definedName>
    <definedName name="YesNo" localSheetId="0">Data!$A$80:$A$82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47" i="5" l="1"/>
  <c r="BZ47" i="5"/>
  <c r="CA38" i="5"/>
  <c r="BZ38" i="5"/>
  <c r="CA29" i="5"/>
  <c r="BZ29" i="5"/>
  <c r="CA20" i="5"/>
  <c r="BZ20" i="5"/>
  <c r="CA11" i="5"/>
  <c r="BZ11" i="5"/>
  <c r="CA7" i="5"/>
  <c r="BZ7" i="5"/>
  <c r="BW47" i="5"/>
  <c r="BV47" i="5"/>
  <c r="BW38" i="5"/>
  <c r="BV38" i="5"/>
  <c r="BW29" i="5"/>
  <c r="BV29" i="5"/>
  <c r="BW20" i="5"/>
  <c r="BV20" i="5"/>
  <c r="BW11" i="5"/>
  <c r="BV11" i="5"/>
  <c r="BW7" i="5"/>
  <c r="BV7" i="5"/>
  <c r="CC47" i="5"/>
  <c r="CB47" i="5"/>
  <c r="CC38" i="5"/>
  <c r="CB38" i="5"/>
  <c r="CC29" i="5"/>
  <c r="CB29" i="5"/>
  <c r="CC20" i="5"/>
  <c r="CB20" i="5"/>
  <c r="CC11" i="5"/>
  <c r="CB11" i="5"/>
  <c r="CC7" i="5"/>
  <c r="CB7" i="5"/>
  <c r="BY47" i="5"/>
  <c r="BY38" i="5"/>
  <c r="BY29" i="5"/>
  <c r="BY20" i="5"/>
  <c r="BY11" i="5"/>
  <c r="BY7" i="5"/>
  <c r="H32" i="2"/>
  <c r="F32" i="2"/>
  <c r="E32" i="2"/>
  <c r="D32" i="2"/>
  <c r="H31" i="2"/>
  <c r="F31" i="2"/>
  <c r="E31" i="2"/>
  <c r="D31" i="2"/>
  <c r="H30" i="2"/>
  <c r="F30" i="2"/>
  <c r="E30" i="2"/>
  <c r="D30" i="2"/>
  <c r="H29" i="2"/>
  <c r="F29" i="2"/>
  <c r="E29" i="2"/>
  <c r="D29" i="2"/>
  <c r="H28" i="2"/>
  <c r="F28" i="2"/>
  <c r="E28" i="2"/>
  <c r="D28" i="2"/>
  <c r="H27" i="2"/>
  <c r="F27" i="2"/>
  <c r="E27" i="2"/>
  <c r="D27" i="2"/>
  <c r="H26" i="2"/>
  <c r="F26" i="2"/>
  <c r="E26" i="2"/>
  <c r="D26" i="2"/>
  <c r="H25" i="2"/>
  <c r="F25" i="2"/>
  <c r="E25" i="2"/>
  <c r="D25" i="2"/>
  <c r="BX47" i="5"/>
  <c r="BU47" i="5"/>
  <c r="BT47" i="5"/>
  <c r="BS47" i="5"/>
  <c r="BR47" i="5"/>
  <c r="BX38" i="5"/>
  <c r="BU38" i="5"/>
  <c r="BT38" i="5"/>
  <c r="BS38" i="5"/>
  <c r="BR38" i="5"/>
  <c r="BX29" i="5"/>
  <c r="BU29" i="5"/>
  <c r="BT29" i="5"/>
  <c r="BS29" i="5"/>
  <c r="BR29" i="5"/>
  <c r="BX20" i="5"/>
  <c r="BU20" i="5"/>
  <c r="BT20" i="5"/>
  <c r="BS20" i="5"/>
  <c r="BR20" i="5"/>
  <c r="BX11" i="5"/>
  <c r="BU11" i="5"/>
  <c r="BT11" i="5"/>
  <c r="BS11" i="5"/>
  <c r="BR11" i="5"/>
  <c r="BX7" i="5"/>
  <c r="BU7" i="5"/>
  <c r="BT7" i="5"/>
  <c r="BS7" i="5"/>
  <c r="BR7" i="5"/>
  <c r="BG47" i="5"/>
  <c r="BF47" i="5"/>
  <c r="BG38" i="5"/>
  <c r="BF38" i="5"/>
  <c r="BG29" i="5"/>
  <c r="BF29" i="5"/>
  <c r="BG20" i="5"/>
  <c r="BF20" i="5"/>
  <c r="BG11" i="5"/>
  <c r="BF11" i="5"/>
  <c r="BG7" i="5"/>
  <c r="BF7" i="5"/>
  <c r="BQ47" i="5" l="1"/>
  <c r="BQ38" i="5"/>
  <c r="BQ29" i="5"/>
  <c r="BQ20" i="5"/>
  <c r="BQ11" i="5"/>
  <c r="BQ7" i="5"/>
  <c r="H16" i="2" l="1"/>
  <c r="H17" i="2"/>
  <c r="H18" i="2"/>
  <c r="H19" i="2"/>
  <c r="H20" i="2"/>
  <c r="H21" i="2"/>
  <c r="H22" i="2"/>
  <c r="H23" i="2"/>
  <c r="H24" i="2"/>
  <c r="F16" i="2"/>
  <c r="F17" i="2"/>
  <c r="F18" i="2"/>
  <c r="F19" i="2"/>
  <c r="F20" i="2"/>
  <c r="F21" i="2"/>
  <c r="F22" i="2"/>
  <c r="F23" i="2"/>
  <c r="F24" i="2"/>
  <c r="E16" i="2"/>
  <c r="E17" i="2"/>
  <c r="E18" i="2"/>
  <c r="E19" i="2"/>
  <c r="E20" i="2"/>
  <c r="E21" i="2"/>
  <c r="E22" i="2"/>
  <c r="E23" i="2"/>
  <c r="E24" i="2"/>
  <c r="BA47" i="5"/>
  <c r="AZ47" i="5"/>
  <c r="BA38" i="5"/>
  <c r="AZ38" i="5"/>
  <c r="BA29" i="5"/>
  <c r="AZ29" i="5"/>
  <c r="BA20" i="5"/>
  <c r="AZ20" i="5"/>
  <c r="BA11" i="5"/>
  <c r="AZ11" i="5"/>
  <c r="BA7" i="5"/>
  <c r="AZ7" i="5"/>
  <c r="BC47" i="5"/>
  <c r="BB47" i="5"/>
  <c r="BC38" i="5"/>
  <c r="BB38" i="5"/>
  <c r="BC29" i="5"/>
  <c r="BB29" i="5"/>
  <c r="BC20" i="5"/>
  <c r="BB20" i="5"/>
  <c r="BC11" i="5"/>
  <c r="BB11" i="5"/>
  <c r="BC7" i="5"/>
  <c r="BB7" i="5"/>
  <c r="AY47" i="5"/>
  <c r="AY38" i="5"/>
  <c r="AY29" i="5"/>
  <c r="AY20" i="5"/>
  <c r="AY11" i="5"/>
  <c r="AY7" i="5"/>
  <c r="AX47" i="5"/>
  <c r="AW47" i="5"/>
  <c r="AX38" i="5"/>
  <c r="AW38" i="5"/>
  <c r="AX29" i="5"/>
  <c r="AW29" i="5"/>
  <c r="AX20" i="5"/>
  <c r="AW20" i="5"/>
  <c r="AX11" i="5"/>
  <c r="AW11" i="5"/>
  <c r="AX7" i="5"/>
  <c r="AW7" i="5"/>
  <c r="AV47" i="5"/>
  <c r="AV38" i="5"/>
  <c r="AV29" i="5"/>
  <c r="AV20" i="5"/>
  <c r="AV11" i="5"/>
  <c r="AV7" i="5"/>
  <c r="BO47" i="5" l="1"/>
  <c r="BN47" i="5"/>
  <c r="BO38" i="5"/>
  <c r="BN38" i="5"/>
  <c r="BO29" i="5"/>
  <c r="BN29" i="5"/>
  <c r="BO20" i="5"/>
  <c r="BN20" i="5"/>
  <c r="BO11" i="5"/>
  <c r="BN11" i="5"/>
  <c r="BO7" i="5"/>
  <c r="BN7" i="5"/>
  <c r="BM47" i="5"/>
  <c r="BL47" i="5"/>
  <c r="BM38" i="5"/>
  <c r="BL38" i="5"/>
  <c r="BM29" i="5"/>
  <c r="BL29" i="5"/>
  <c r="BM20" i="5"/>
  <c r="BL20" i="5"/>
  <c r="BM11" i="5"/>
  <c r="BL11" i="5"/>
  <c r="BM7" i="5"/>
  <c r="BL7" i="5"/>
  <c r="BK47" i="5"/>
  <c r="BJ47" i="5"/>
  <c r="BK38" i="5"/>
  <c r="BJ38" i="5"/>
  <c r="BK29" i="5"/>
  <c r="BJ29" i="5"/>
  <c r="BK20" i="5"/>
  <c r="BJ20" i="5"/>
  <c r="BK11" i="5"/>
  <c r="BJ11" i="5"/>
  <c r="BK7" i="5"/>
  <c r="BJ7" i="5"/>
  <c r="BP47" i="5"/>
  <c r="BP38" i="5"/>
  <c r="BP29" i="5"/>
  <c r="BP20" i="5"/>
  <c r="BP11" i="5"/>
  <c r="BP7" i="5"/>
  <c r="BH47" i="5"/>
  <c r="BH38" i="5"/>
  <c r="BH29" i="5"/>
  <c r="BH20" i="5"/>
  <c r="BH11" i="5"/>
  <c r="BH7" i="5"/>
  <c r="BI47" i="5"/>
  <c r="BI38" i="5"/>
  <c r="BI29" i="5"/>
  <c r="BI20" i="5"/>
  <c r="BI11" i="5"/>
  <c r="BI7" i="5"/>
  <c r="BE47" i="5" l="1"/>
  <c r="BE38" i="5"/>
  <c r="BE29" i="5"/>
  <c r="BE20" i="5"/>
  <c r="BE11" i="5"/>
  <c r="BE7" i="5"/>
  <c r="AU47" i="5"/>
  <c r="AU38" i="5"/>
  <c r="AU29" i="5"/>
  <c r="AU20" i="5"/>
  <c r="AU11" i="5"/>
  <c r="AU7" i="5"/>
  <c r="AT47" i="5"/>
  <c r="AT38" i="5"/>
  <c r="AT29" i="5"/>
  <c r="AT20" i="5"/>
  <c r="AT11" i="5"/>
  <c r="AT7" i="5"/>
  <c r="D5" i="8" l="1"/>
  <c r="B96" i="8" l="1"/>
  <c r="D79" i="8"/>
  <c r="H50" i="2" l="1"/>
  <c r="G50" i="2"/>
  <c r="J81" i="11" l="1"/>
  <c r="G82" i="11"/>
  <c r="F97" i="8"/>
  <c r="I90" i="8"/>
  <c r="I96" i="8"/>
  <c r="H92" i="8"/>
  <c r="I92" i="8" s="1"/>
  <c r="AF47" i="5"/>
  <c r="AF38" i="5"/>
  <c r="AF29" i="5"/>
  <c r="AF20" i="5"/>
  <c r="AF11" i="5"/>
  <c r="AF7" i="5"/>
  <c r="D24" i="2"/>
  <c r="AK47" i="5"/>
  <c r="AK38" i="5"/>
  <c r="AK29" i="5"/>
  <c r="AK20" i="5"/>
  <c r="AK11" i="5"/>
  <c r="AK7" i="5"/>
  <c r="D16" i="2" l="1"/>
  <c r="D17" i="2"/>
  <c r="D18" i="2"/>
  <c r="D19" i="2"/>
  <c r="D20" i="2"/>
  <c r="D21" i="2"/>
  <c r="D22" i="2"/>
  <c r="D23" i="2"/>
  <c r="AJ47" i="5"/>
  <c r="AJ38" i="5"/>
  <c r="AJ29" i="5"/>
  <c r="AJ20" i="5"/>
  <c r="AJ11" i="5"/>
  <c r="AJ7" i="5"/>
  <c r="D16" i="11"/>
  <c r="D15" i="11"/>
  <c r="D14" i="11"/>
  <c r="B15" i="11" s="1"/>
  <c r="D9" i="11"/>
  <c r="B67" i="11" s="1"/>
  <c r="I77" i="11"/>
  <c r="J77" i="11" s="1"/>
  <c r="J75" i="11"/>
  <c r="D5" i="11"/>
  <c r="D4" i="11"/>
  <c r="D36" i="2" l="1"/>
  <c r="D37" i="2" s="1"/>
  <c r="B63" i="11"/>
  <c r="H76" i="11"/>
  <c r="H78" i="11" s="1"/>
  <c r="H80" i="11" s="1"/>
  <c r="H79" i="11" s="1"/>
  <c r="B64" i="11"/>
  <c r="B65" i="11"/>
  <c r="B68" i="11"/>
  <c r="B69" i="11"/>
  <c r="B70" i="11"/>
  <c r="B16" i="11"/>
  <c r="I76" i="11"/>
  <c r="I78" i="11" s="1"/>
  <c r="I80" i="11" s="1"/>
  <c r="J80" i="11" s="1"/>
  <c r="B27" i="11"/>
  <c r="B66" i="11"/>
  <c r="J76" i="11" l="1"/>
  <c r="J78" i="11" s="1"/>
  <c r="J79" i="11" s="1"/>
  <c r="I79" i="11"/>
  <c r="D17" i="8" l="1"/>
  <c r="D25" i="11" l="1"/>
  <c r="D66" i="8"/>
  <c r="D17" i="11"/>
  <c r="F17" i="8"/>
  <c r="B27" i="8"/>
  <c r="F19" i="11" l="1"/>
  <c r="D19" i="11"/>
  <c r="D64" i="8"/>
  <c r="F64" i="11"/>
  <c r="D69" i="11"/>
  <c r="F69" i="11"/>
  <c r="D64" i="11"/>
  <c r="F16" i="8"/>
  <c r="F15" i="8"/>
  <c r="B16" i="8"/>
  <c r="B15" i="8"/>
  <c r="D23" i="8" l="1"/>
  <c r="D65" i="8"/>
  <c r="B65" i="8"/>
  <c r="G27" i="8" l="1"/>
  <c r="D27" i="8"/>
  <c r="D28" i="8" s="1"/>
  <c r="D23" i="11"/>
  <c r="D27" i="11" s="1"/>
  <c r="D26" i="8"/>
  <c r="B78" i="8"/>
  <c r="B81" i="8"/>
  <c r="D26" i="11" l="1"/>
  <c r="F23" i="11"/>
  <c r="D28" i="11"/>
  <c r="B29" i="11" s="1"/>
  <c r="B82" i="8"/>
  <c r="B80" i="8"/>
  <c r="G29" i="8" l="1"/>
  <c r="G28" i="8"/>
  <c r="B29" i="8"/>
  <c r="H27" i="11"/>
  <c r="B33" i="8"/>
  <c r="D29" i="8"/>
  <c r="F27" i="11"/>
  <c r="D29" i="11"/>
  <c r="AL47" i="5"/>
  <c r="AL38" i="5"/>
  <c r="AL29" i="5"/>
  <c r="AL20" i="5"/>
  <c r="AL11" i="5"/>
  <c r="AL7" i="5"/>
  <c r="BD47" i="5"/>
  <c r="AS47" i="5"/>
  <c r="AR47" i="5"/>
  <c r="AQ47" i="5"/>
  <c r="AP47" i="5"/>
  <c r="AO47" i="5"/>
  <c r="AN47" i="5"/>
  <c r="AM47" i="5"/>
  <c r="AI47" i="5"/>
  <c r="AH47" i="5"/>
  <c r="AG47" i="5"/>
  <c r="AC47" i="5"/>
  <c r="AB47" i="5"/>
  <c r="AA47" i="5"/>
  <c r="Z47" i="5"/>
  <c r="Y47" i="5"/>
  <c r="X47" i="5"/>
  <c r="W47" i="5"/>
  <c r="V47" i="5"/>
  <c r="I51" i="2" s="1"/>
  <c r="U47" i="5"/>
  <c r="T47" i="5"/>
  <c r="S47" i="5"/>
  <c r="R47" i="5"/>
  <c r="Q47" i="5"/>
  <c r="P47" i="5"/>
  <c r="BD38" i="5"/>
  <c r="AS38" i="5"/>
  <c r="AR38" i="5"/>
  <c r="AQ38" i="5"/>
  <c r="AP38" i="5"/>
  <c r="AO38" i="5"/>
  <c r="AN38" i="5"/>
  <c r="AM38" i="5"/>
  <c r="AI38" i="5"/>
  <c r="AH38" i="5"/>
  <c r="AG38" i="5"/>
  <c r="AC38" i="5"/>
  <c r="AB38" i="5"/>
  <c r="AA38" i="5"/>
  <c r="Z38" i="5"/>
  <c r="Y38" i="5"/>
  <c r="X38" i="5"/>
  <c r="W38" i="5"/>
  <c r="V38" i="5"/>
  <c r="U38" i="5"/>
  <c r="T38" i="5"/>
  <c r="S38" i="5"/>
  <c r="R38" i="5"/>
  <c r="Q38" i="5"/>
  <c r="P38" i="5"/>
  <c r="BD29" i="5"/>
  <c r="AS29" i="5"/>
  <c r="AR29" i="5"/>
  <c r="AQ29" i="5"/>
  <c r="AP29" i="5"/>
  <c r="AO29" i="5"/>
  <c r="AN29" i="5"/>
  <c r="AM29" i="5"/>
  <c r="AI29" i="5"/>
  <c r="AH29" i="5"/>
  <c r="AG29" i="5"/>
  <c r="AC29" i="5"/>
  <c r="AB29" i="5"/>
  <c r="AA29" i="5"/>
  <c r="Z29" i="5"/>
  <c r="Y29" i="5"/>
  <c r="X29" i="5"/>
  <c r="W29" i="5"/>
  <c r="V29" i="5"/>
  <c r="U29" i="5"/>
  <c r="T29" i="5"/>
  <c r="S29" i="5"/>
  <c r="R29" i="5"/>
  <c r="Q29" i="5"/>
  <c r="P29" i="5"/>
  <c r="BD20" i="5"/>
  <c r="AS20" i="5"/>
  <c r="AR20" i="5"/>
  <c r="AQ20" i="5"/>
  <c r="AP20" i="5"/>
  <c r="AO20" i="5"/>
  <c r="AN20" i="5"/>
  <c r="AM20" i="5"/>
  <c r="AI20" i="5"/>
  <c r="AH20" i="5"/>
  <c r="AG20" i="5"/>
  <c r="AC20" i="5"/>
  <c r="AB20" i="5"/>
  <c r="AA20" i="5"/>
  <c r="Z20" i="5"/>
  <c r="Y20" i="5"/>
  <c r="X20" i="5"/>
  <c r="W20" i="5"/>
  <c r="B41" i="2" s="1"/>
  <c r="H51" i="2" s="1"/>
  <c r="V20" i="5"/>
  <c r="U20" i="5"/>
  <c r="T20" i="5"/>
  <c r="S20" i="5"/>
  <c r="R20" i="5"/>
  <c r="Q20" i="5"/>
  <c r="P20" i="5"/>
  <c r="BD11" i="5"/>
  <c r="AS11" i="5"/>
  <c r="AR11" i="5"/>
  <c r="AQ11" i="5"/>
  <c r="AP11" i="5"/>
  <c r="AO11" i="5"/>
  <c r="AN11" i="5"/>
  <c r="AM11" i="5"/>
  <c r="AI11" i="5"/>
  <c r="AH11" i="5"/>
  <c r="AG11" i="5"/>
  <c r="AC11" i="5"/>
  <c r="AB11" i="5"/>
  <c r="AA11" i="5"/>
  <c r="Z11" i="5"/>
  <c r="Y11" i="5"/>
  <c r="X11" i="5"/>
  <c r="W11" i="5"/>
  <c r="D41" i="2" s="1"/>
  <c r="V11" i="5"/>
  <c r="U11" i="5"/>
  <c r="T11" i="5"/>
  <c r="S11" i="5"/>
  <c r="R11" i="5"/>
  <c r="Q11" i="5"/>
  <c r="P11" i="5"/>
  <c r="BD7" i="5"/>
  <c r="AS7" i="5"/>
  <c r="AR7" i="5"/>
  <c r="AQ7" i="5"/>
  <c r="AP7" i="5"/>
  <c r="AO7" i="5"/>
  <c r="AN7" i="5"/>
  <c r="AM7" i="5"/>
  <c r="AI7" i="5"/>
  <c r="AH7" i="5"/>
  <c r="AG7" i="5"/>
  <c r="AC7" i="5"/>
  <c r="AB7" i="5"/>
  <c r="AA7" i="5"/>
  <c r="Z7" i="5"/>
  <c r="Y7" i="5"/>
  <c r="X7" i="5"/>
  <c r="W7" i="5"/>
  <c r="V7" i="5"/>
  <c r="U7" i="5"/>
  <c r="T7" i="5"/>
  <c r="S7" i="5"/>
  <c r="R7" i="5"/>
  <c r="Q7" i="5"/>
  <c r="P7" i="5"/>
  <c r="D15" i="2"/>
  <c r="D6" i="11" s="1"/>
  <c r="E51" i="2" l="1"/>
  <c r="F51" i="2" s="1"/>
  <c r="B42" i="2"/>
  <c r="D42" i="2"/>
  <c r="D43" i="2" s="1"/>
  <c r="D51" i="2"/>
  <c r="D52" i="2" s="1"/>
  <c r="D53" i="2" s="1"/>
  <c r="B36" i="2"/>
  <c r="B37" i="2"/>
  <c r="D44" i="2" l="1"/>
  <c r="D45" i="2" s="1"/>
  <c r="D46" i="2" s="1"/>
  <c r="D54" i="2"/>
  <c r="D55" i="2" s="1"/>
  <c r="D56" i="2" s="1"/>
  <c r="G32" i="8"/>
  <c r="B85" i="8"/>
  <c r="B84" i="8"/>
  <c r="B79" i="8"/>
  <c r="B83" i="8"/>
  <c r="D47" i="2" l="1"/>
  <c r="D57" i="2"/>
  <c r="D4" i="8"/>
  <c r="E15" i="2"/>
  <c r="U15" i="2" l="1"/>
  <c r="H15" i="2" l="1"/>
  <c r="F15" i="2"/>
  <c r="U31" i="2"/>
  <c r="U32" i="2"/>
  <c r="U30" i="2"/>
  <c r="U29" i="2"/>
  <c r="U28" i="2"/>
  <c r="U27" i="2"/>
  <c r="U26" i="2"/>
  <c r="U25" i="2"/>
  <c r="U24" i="2"/>
  <c r="U23" i="2"/>
  <c r="U21" i="2"/>
  <c r="U20" i="2"/>
  <c r="U19" i="2"/>
  <c r="U17" i="2"/>
  <c r="U16" i="2"/>
  <c r="U18" i="2" l="1"/>
  <c r="AC61" i="2"/>
  <c r="W36" i="2"/>
  <c r="U22" i="2"/>
  <c r="B51" i="2"/>
  <c r="D6" i="8"/>
  <c r="C33" i="2" l="1"/>
  <c r="H52" i="2"/>
  <c r="H53" i="2"/>
  <c r="H54" i="2"/>
  <c r="H55" i="2"/>
  <c r="H56" i="2"/>
  <c r="H57" i="2"/>
  <c r="I52" i="2"/>
  <c r="E52" i="2"/>
  <c r="G56" i="2"/>
  <c r="W37" i="2"/>
  <c r="AB51" i="2"/>
  <c r="AB57" i="2"/>
  <c r="AB56" i="2"/>
  <c r="AB55" i="2"/>
  <c r="AB54" i="2"/>
  <c r="AB53" i="2"/>
  <c r="AB52" i="2"/>
  <c r="B45" i="2" l="1"/>
  <c r="B43" i="2"/>
  <c r="G51" i="2"/>
  <c r="G55" i="2"/>
  <c r="G52" i="2"/>
  <c r="G53" i="2"/>
  <c r="G54" i="2"/>
  <c r="G57" i="2"/>
  <c r="F52" i="2"/>
  <c r="AA61" i="2"/>
  <c r="AC50" i="2"/>
  <c r="AB50" i="2"/>
  <c r="B47" i="2" l="1"/>
  <c r="B44" i="2"/>
  <c r="B46" i="2"/>
  <c r="AC55" i="2"/>
  <c r="AD55" i="2" s="1"/>
  <c r="AC53" i="2"/>
  <c r="AD53" i="2" s="1"/>
  <c r="AC56" i="2"/>
  <c r="AD56" i="2" s="1"/>
  <c r="AC52" i="2"/>
  <c r="AD52" i="2" s="1"/>
  <c r="AC54" i="2"/>
  <c r="AD54" i="2" s="1"/>
  <c r="AC57" i="2"/>
  <c r="AD57" i="2" s="1"/>
  <c r="F7" i="2" l="1"/>
  <c r="W41" i="2" l="1"/>
  <c r="C58" i="2" l="1"/>
  <c r="B13" i="2" l="1"/>
  <c r="B40" i="2" l="1"/>
  <c r="B35" i="2"/>
  <c r="I53" i="2" l="1"/>
  <c r="E53" i="2"/>
  <c r="W42" i="2"/>
  <c r="B52" i="2"/>
  <c r="W43" i="2"/>
  <c r="B53" i="2"/>
  <c r="I54" i="2" l="1"/>
  <c r="F53" i="2"/>
  <c r="E54" i="2"/>
  <c r="F54" i="2" s="1"/>
  <c r="W44" i="2"/>
  <c r="I55" i="2"/>
  <c r="B54" i="2" l="1"/>
  <c r="E55" i="2"/>
  <c r="F55" i="2" s="1"/>
  <c r="B55" i="2"/>
  <c r="W45" i="2"/>
  <c r="I56" i="2" l="1"/>
  <c r="E56" i="2"/>
  <c r="F56" i="2" s="1"/>
  <c r="E57" i="2"/>
  <c r="F57" i="2" s="1"/>
  <c r="W46" i="2"/>
  <c r="J52" i="2" s="1"/>
  <c r="I57" i="2" l="1"/>
  <c r="J57" i="2" s="1"/>
  <c r="J51" i="2"/>
  <c r="J55" i="2"/>
  <c r="J53" i="2"/>
  <c r="J54" i="2"/>
  <c r="J56" i="2"/>
  <c r="AB61" i="2"/>
  <c r="AD61" i="2" s="1"/>
  <c r="AA55" i="2"/>
  <c r="B56" i="2"/>
  <c r="J58" i="2" l="1"/>
  <c r="AA52" i="2"/>
  <c r="AA53" i="2"/>
  <c r="AA54" i="2"/>
  <c r="AA56" i="2"/>
  <c r="B57" i="2"/>
  <c r="D8" i="8" s="1"/>
  <c r="D10" i="11" l="1"/>
  <c r="D7" i="11"/>
  <c r="D8" i="11"/>
  <c r="D10" i="8"/>
  <c r="D7" i="8"/>
  <c r="AA57" i="2"/>
  <c r="AA51" i="2"/>
  <c r="AC51" i="2"/>
  <c r="D11" i="11" l="1"/>
  <c r="D12" i="11" s="1"/>
  <c r="D11" i="8"/>
  <c r="AD51" i="2"/>
  <c r="AE52" i="2" s="1"/>
  <c r="D13" i="11" l="1"/>
  <c r="D68" i="11"/>
  <c r="D70" i="11" s="1"/>
  <c r="F63" i="11"/>
  <c r="F65" i="11" s="1"/>
  <c r="F68" i="11"/>
  <c r="F70" i="11" s="1"/>
  <c r="D63" i="11"/>
  <c r="D12" i="8"/>
  <c r="AE57" i="2"/>
  <c r="AE50" i="2"/>
  <c r="AE51" i="2"/>
  <c r="AE53" i="2"/>
  <c r="AE54" i="2"/>
  <c r="AE55" i="2"/>
  <c r="AE56" i="2"/>
  <c r="D83" i="8" l="1"/>
  <c r="D78" i="8"/>
  <c r="D20" i="11"/>
  <c r="D30" i="11" s="1"/>
  <c r="D31" i="11" s="1"/>
  <c r="F20" i="11"/>
  <c r="F21" i="11" s="1"/>
  <c r="D65" i="11"/>
  <c r="G91" i="8"/>
  <c r="D21" i="11" l="1"/>
  <c r="I91" i="8"/>
  <c r="D13" i="8" l="1"/>
  <c r="I93" i="8"/>
  <c r="D80" i="8" l="1"/>
  <c r="D19" i="8"/>
  <c r="D84" i="8"/>
  <c r="G93" i="8" l="1"/>
  <c r="G95" i="8" s="1"/>
  <c r="G94" i="8" s="1"/>
  <c r="D20" i="8"/>
  <c r="D85" i="8"/>
  <c r="D30" i="8" l="1"/>
  <c r="G33" i="8" s="1"/>
  <c r="G30" i="8"/>
  <c r="D21" i="8"/>
  <c r="G31" i="8" l="1"/>
  <c r="D32" i="8"/>
  <c r="D40" i="8"/>
  <c r="D33" i="8"/>
  <c r="D31" i="8"/>
  <c r="D39" i="8" l="1"/>
  <c r="G39" i="8" s="1"/>
  <c r="D33" i="11"/>
  <c r="D39" i="11" s="1"/>
  <c r="D40" i="11"/>
  <c r="G40" i="8"/>
  <c r="D35" i="8"/>
  <c r="D43" i="8" l="1"/>
  <c r="D42" i="8"/>
  <c r="G43" i="8"/>
  <c r="G41" i="8"/>
  <c r="D41" i="8"/>
  <c r="D35" i="11"/>
  <c r="F26" i="11"/>
  <c r="F28" i="11"/>
  <c r="H91" i="8"/>
  <c r="D44" i="8" l="1"/>
  <c r="G45" i="8" s="1"/>
  <c r="D41" i="11"/>
  <c r="D42" i="11"/>
  <c r="D43" i="11"/>
  <c r="H29" i="11"/>
  <c r="B33" i="11"/>
  <c r="F29" i="11"/>
  <c r="F30" i="11" s="1"/>
  <c r="H28" i="11"/>
  <c r="H93" i="8"/>
  <c r="H95" i="8" s="1"/>
  <c r="I95" i="8" s="1"/>
  <c r="I94" i="8" s="1"/>
  <c r="D44" i="11" l="1"/>
  <c r="D66" i="11" s="1"/>
  <c r="D67" i="11" s="1"/>
  <c r="G44" i="8"/>
  <c r="D45" i="8"/>
  <c r="D46" i="8" s="1"/>
  <c r="D47" i="8" s="1"/>
  <c r="D81" i="8"/>
  <c r="D82" i="8" s="1"/>
  <c r="H30" i="11"/>
  <c r="H94" i="8"/>
  <c r="D49" i="8" l="1"/>
  <c r="G47" i="8"/>
  <c r="D45" i="11"/>
  <c r="D46" i="11" s="1"/>
  <c r="D47" i="11" s="1"/>
  <c r="D49" i="11" s="1"/>
  <c r="D70" i="8"/>
  <c r="D51" i="8"/>
  <c r="D48" i="8"/>
  <c r="D69" i="8" s="1"/>
  <c r="G48" i="8"/>
  <c r="D73" i="8"/>
  <c r="D74" i="8" s="1"/>
  <c r="G49" i="8"/>
  <c r="H31" i="11"/>
  <c r="F31" i="11"/>
  <c r="D32" i="11"/>
  <c r="D76" i="8" l="1"/>
  <c r="D75" i="8"/>
  <c r="F24" i="11"/>
  <c r="D58" i="11"/>
  <c r="D59" i="11" s="1"/>
  <c r="D48" i="11"/>
  <c r="D54" i="11" s="1"/>
  <c r="D61" i="11" s="1"/>
  <c r="D51" i="11"/>
  <c r="D55" i="11"/>
  <c r="F33" i="11" l="1"/>
  <c r="H33" i="11"/>
  <c r="F32" i="11"/>
  <c r="F35" i="11" s="1"/>
  <c r="F36" i="11" s="1"/>
  <c r="H36" i="11" s="1"/>
  <c r="D60" i="11"/>
  <c r="H32" i="11"/>
  <c r="G24" i="11" l="1"/>
  <c r="F37" i="11"/>
  <c r="F43" i="11"/>
  <c r="H43" i="11" s="1"/>
  <c r="F42" i="11"/>
  <c r="F38" i="11" l="1"/>
  <c r="H37" i="11"/>
  <c r="H38" i="11"/>
  <c r="H39" i="11"/>
  <c r="F39" i="11"/>
  <c r="F40" i="11" l="1"/>
  <c r="H41" i="11" s="1"/>
  <c r="G38" i="11" l="1"/>
  <c r="G39" i="11"/>
  <c r="G35" i="11"/>
  <c r="F41" i="11"/>
  <c r="F44" i="11" s="1"/>
  <c r="F66" i="11" s="1"/>
  <c r="F67" i="11" s="1"/>
  <c r="G40" i="11"/>
  <c r="H40" i="11"/>
  <c r="F45" i="11" l="1"/>
  <c r="F46" i="11" s="1"/>
  <c r="F47" i="11" s="1"/>
  <c r="H49" i="11" s="1"/>
  <c r="H44" i="11"/>
  <c r="H45" i="11" l="1"/>
  <c r="F51" i="11"/>
  <c r="F48" i="11"/>
  <c r="F54" i="11" s="1"/>
  <c r="F49" i="11"/>
  <c r="F55" i="11" s="1"/>
  <c r="H48" i="11"/>
  <c r="F58" i="11"/>
  <c r="F59" i="11" s="1"/>
  <c r="H47" i="11"/>
  <c r="F61" i="11" l="1"/>
  <c r="F6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Tracy Willis</author>
  </authors>
  <commentList>
    <comment ref="B58" authorId="0" shapeId="0" xr:uid="{A7EB4343-6D63-4BD2-A050-B9B05D92B0BC}">
      <text>
        <r>
          <rPr>
            <b/>
            <sz val="9"/>
            <color indexed="81"/>
            <rFont val="Tahoma"/>
            <family val="2"/>
          </rPr>
          <t>Tracy Willis:</t>
        </r>
        <r>
          <rPr>
            <sz val="9"/>
            <color indexed="81"/>
            <rFont val="Tahoma"/>
            <family val="2"/>
          </rPr>
          <t xml:space="preserve">
Must total number of units in cell E55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Tracy Willis</author>
    <author>Kevin Tatreau</author>
  </authors>
  <commentList>
    <comment ref="C2" authorId="0" shapeId="0" xr:uid="{6450CC0F-8FD4-47AC-B403-022E8D725F9C}">
      <text>
        <r>
          <rPr>
            <b/>
            <sz val="9"/>
            <color indexed="81"/>
            <rFont val="Tahoma"/>
            <family val="2"/>
          </rPr>
          <t>Tracy Willis:</t>
        </r>
        <r>
          <rPr>
            <sz val="9"/>
            <color indexed="81"/>
            <rFont val="Tahoma"/>
            <family val="2"/>
          </rPr>
          <t xml:space="preserve">
Add a Space in each blank cell so they format correctly on the RFA tab</t>
        </r>
      </text>
    </comment>
    <comment ref="O3" authorId="0" shapeId="0" xr:uid="{D5523457-BD5B-414D-8351-889F472D4073}">
      <text>
        <r>
          <rPr>
            <b/>
            <sz val="9"/>
            <color indexed="81"/>
            <rFont val="Tahoma"/>
            <family val="2"/>
          </rPr>
          <t>Tracy Willis:</t>
        </r>
        <r>
          <rPr>
            <sz val="9"/>
            <color indexed="81"/>
            <rFont val="Tahoma"/>
            <family val="2"/>
          </rPr>
          <t xml:space="preserve">
If there is an automatic boost you must include (Automatic Boost) after the boost type. See cell G41 on RFA tab for examples.</t>
        </r>
      </text>
    </comment>
    <comment ref="AC3" authorId="0" shapeId="0" xr:uid="{C4A4EEB6-ED84-41F7-B077-0B8A9A21C1B1}">
      <text>
        <r>
          <rPr>
            <b/>
            <sz val="9"/>
            <color indexed="81"/>
            <rFont val="Tahoma"/>
            <family val="2"/>
          </rPr>
          <t>Tracy Willis:</t>
        </r>
        <r>
          <rPr>
            <sz val="9"/>
            <color indexed="81"/>
            <rFont val="Tahoma"/>
            <family val="2"/>
          </rPr>
          <t xml:space="preserve">
Miami Dade Geo so all SF</t>
        </r>
      </text>
    </comment>
    <comment ref="AI3" authorId="0" shapeId="0" xr:uid="{97B98940-07FC-4869-B474-BA75A4FBA70A}">
      <text>
        <r>
          <rPr>
            <b/>
            <sz val="9"/>
            <color indexed="81"/>
            <rFont val="Tahoma"/>
            <family val="2"/>
          </rPr>
          <t>Tracy Willis:</t>
        </r>
        <r>
          <rPr>
            <sz val="9"/>
            <color indexed="81"/>
            <rFont val="Tahoma"/>
            <family val="2"/>
          </rPr>
          <t xml:space="preserve">
Monroe County Only</t>
        </r>
      </text>
    </comment>
    <comment ref="O11" authorId="0" shapeId="0" xr:uid="{BCD1A9C3-2E0B-43A8-BBE0-AE790204878B}">
      <text>
        <r>
          <rPr>
            <b/>
            <sz val="9"/>
            <color indexed="81"/>
            <rFont val="Tahoma"/>
            <family val="2"/>
          </rPr>
          <t>Tracy Willis:</t>
        </r>
        <r>
          <rPr>
            <sz val="9"/>
            <color indexed="81"/>
            <rFont val="Tahoma"/>
            <family val="2"/>
          </rPr>
          <t xml:space="preserve">
If there is an automatic multiplier you must include for certain RFA's. See cell G45 on RFA tab for examples of wording.</t>
        </r>
      </text>
    </comment>
    <comment ref="CJ18" authorId="0" shapeId="0" xr:uid="{8C9EFD7B-C0F0-4502-A388-719724EC623A}">
      <text>
        <r>
          <rPr>
            <b/>
            <sz val="9"/>
            <color indexed="81"/>
            <rFont val="Tahoma"/>
            <family val="2"/>
          </rPr>
          <t>Tracy Willis:</t>
        </r>
        <r>
          <rPr>
            <sz val="9"/>
            <color indexed="81"/>
            <rFont val="Tahoma"/>
            <family val="2"/>
          </rPr>
          <t xml:space="preserve">
Note: Add-Ons are additional per unit costs will be added to the above Maximum TDC Per Unit </t>
        </r>
      </text>
    </comment>
    <comment ref="CJ19" authorId="0" shapeId="0" xr:uid="{1DE3ED0D-2283-43C8-8099-96693B1345F9}">
      <text>
        <r>
          <rPr>
            <b/>
            <sz val="9"/>
            <color indexed="81"/>
            <rFont val="Tahoma"/>
            <family val="2"/>
          </rPr>
          <t>Tracy Willis:</t>
        </r>
        <r>
          <rPr>
            <sz val="9"/>
            <color indexed="81"/>
            <rFont val="Tahoma"/>
            <family val="2"/>
          </rPr>
          <t xml:space="preserve">
PHA Add-On for means (i) Applicants that either have a land lease with a PHA for the proposed Development’s location or the Applicant provided an Option to Enter into a Ground Lease Agreement on property where the proposed Development is to be located; AND the property which has a Declaration of Trust between the PHA and HUD; or (ii) Applicants that have a PHA/instrumentality of a PHA as a Principal</t>
        </r>
      </text>
    </comment>
    <comment ref="CJ20" authorId="0" shapeId="0" xr:uid="{8701C15F-41FB-4370-BEEA-21DD72F416C5}">
      <text>
        <r>
          <rPr>
            <b/>
            <sz val="9"/>
            <color indexed="81"/>
            <rFont val="Tahoma"/>
            <family val="2"/>
          </rPr>
          <t>Tracy Willis:</t>
        </r>
        <r>
          <rPr>
            <sz val="9"/>
            <color indexed="81"/>
            <rFont val="Tahoma"/>
            <family val="2"/>
          </rPr>
          <t xml:space="preserve">
TDC Add-on for All Applicants due to known expenses related to tax-exempt bond transactions</t>
        </r>
      </text>
    </comment>
    <comment ref="CJ30" authorId="0" shapeId="0" xr:uid="{AEE3D877-AA24-4094-9B6A-FE17926E8FE9}">
      <text>
        <r>
          <rPr>
            <b/>
            <sz val="9"/>
            <color indexed="81"/>
            <rFont val="Tahoma"/>
            <family val="2"/>
          </rPr>
          <t>Tracy Willis:</t>
        </r>
        <r>
          <rPr>
            <sz val="9"/>
            <color indexed="81"/>
            <rFont val="Tahoma"/>
            <family val="2"/>
          </rPr>
          <t xml:space="preserve">
*If the proposed Development consists of Scattered Sites, the 50% TDC Multiplier applies only if all the sites are located south of Tavernier Creek.</t>
        </r>
      </text>
    </comment>
    <comment ref="AC38" authorId="0" shapeId="0" xr:uid="{2A5A6B51-77DE-4633-A3F6-864766248C01}">
      <text>
        <r>
          <rPr>
            <b/>
            <sz val="9"/>
            <color indexed="81"/>
            <rFont val="Tahoma"/>
            <family val="2"/>
          </rPr>
          <t>Tracy Willis:</t>
        </r>
        <r>
          <rPr>
            <sz val="9"/>
            <color indexed="81"/>
            <rFont val="Tahoma"/>
            <family val="2"/>
          </rPr>
          <t xml:space="preserve">
Miami-Dade (BMP)</t>
        </r>
      </text>
    </comment>
    <comment ref="A84" authorId="1" shapeId="0" xr:uid="{E2296CDA-EF4C-4453-ABB9-28CAA90FBEE9}">
      <text>
        <r>
          <rPr>
            <b/>
            <sz val="9"/>
            <color indexed="81"/>
            <rFont val="Tahoma"/>
            <family val="2"/>
          </rPr>
          <t>Kevin Tatreau:</t>
        </r>
        <r>
          <rPr>
            <sz val="9"/>
            <color indexed="81"/>
            <rFont val="Tahoma"/>
            <family val="2"/>
          </rPr>
          <t xml:space="preserve">
This is the start of a summary message above the summary tabe at the bottom of the 'RFA' tab. To use, it would need to complete all detailed programming for the Multipliers.</t>
        </r>
      </text>
    </comment>
    <comment ref="AA139" authorId="1" shapeId="0" xr:uid="{32FB6940-F7C5-4688-92C4-5697AE140CEA}">
      <text>
        <r>
          <rPr>
            <b/>
            <sz val="9"/>
            <color indexed="81"/>
            <rFont val="Tahoma"/>
            <family val="2"/>
          </rPr>
          <t>Kevin Tatreau:</t>
        </r>
        <r>
          <rPr>
            <sz val="9"/>
            <color indexed="81"/>
            <rFont val="Tahoma"/>
            <family val="2"/>
          </rPr>
          <t xml:space="preserve">
This is the start of a summary message above the summary tabe at the bottom of the 'RFA' tab. To use, it would need to complete all detailed programming for the Multipliers.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Kevin L. Tatreau</author>
    <author>Tracy Willis</author>
    <author>Kevin Tatreau</author>
  </authors>
  <commentList>
    <comment ref="D9" authorId="0" shapeId="0" xr:uid="{F211DC79-E3AE-4E91-B95B-901B3AAC8B9C}">
      <text>
        <r>
          <rPr>
            <b/>
            <sz val="9"/>
            <color indexed="81"/>
            <rFont val="Tahoma"/>
            <family val="2"/>
          </rPr>
          <t>Kevin L. Tatreau:</t>
        </r>
        <r>
          <rPr>
            <sz val="9"/>
            <color indexed="81"/>
            <rFont val="Tahoma"/>
            <family val="2"/>
          </rPr>
          <t xml:space="preserve">
Select the percent Developer Fee from the drop-down menu.</t>
        </r>
      </text>
    </comment>
    <comment ref="D53" authorId="1" shapeId="0" xr:uid="{FFB2EB99-540E-48A4-8289-CE6F67AD2ED8}">
      <text>
        <r>
          <rPr>
            <b/>
            <sz val="9"/>
            <color indexed="81"/>
            <rFont val="Tahoma"/>
            <family val="2"/>
          </rPr>
          <t>Tracy Willis:</t>
        </r>
        <r>
          <rPr>
            <sz val="9"/>
            <color indexed="81"/>
            <rFont val="Tahoma"/>
            <family val="2"/>
          </rPr>
          <t xml:space="preserve">
Actual Total Development Costs inlcusive of the Developer Fee that is a portion of this TDC.  Do not net out any costs for this cell entry.</t>
        </r>
      </text>
    </comment>
    <comment ref="D57" authorId="1" shapeId="0" xr:uid="{E57EED3E-AABF-49E6-ABE4-9666A245F7A0}">
      <text>
        <r>
          <rPr>
            <b/>
            <sz val="9"/>
            <color indexed="81"/>
            <rFont val="Tahoma"/>
            <family val="2"/>
          </rPr>
          <t>Tracy Willis:</t>
        </r>
        <r>
          <rPr>
            <sz val="9"/>
            <color indexed="81"/>
            <rFont val="Tahoma"/>
            <family val="2"/>
          </rPr>
          <t xml:space="preserve">
The generic term ODR refers to reserves associated with the Permanent Phase financing that are not included in the Developer Fee.  These are typically things like operating deficit reserve, replacement reserves, start-up/lease-up reserves, escrow accounts, working capital reserves, debt service coverage reserves, etc.
Include everything in the Reserve Accounts table in the credit underwriting report.</t>
        </r>
      </text>
    </comment>
    <comment ref="B62" authorId="2" shapeId="0" xr:uid="{599AC994-0924-45B1-B918-ADDEFC43EE41}">
      <text>
        <r>
          <rPr>
            <b/>
            <sz val="9"/>
            <color indexed="81"/>
            <rFont val="Tahoma"/>
            <family val="2"/>
          </rPr>
          <t>Tracy Willis:</t>
        </r>
        <r>
          <rPr>
            <sz val="9"/>
            <color indexed="81"/>
            <rFont val="Tahoma"/>
            <family val="2"/>
          </rPr>
          <t xml:space="preserve">
This line is meant to be a catch-all input cell that can accommodate various intentions. (a) the reduction of costs not identified above that are allowed to further reduce actual TDC prior to testing; or (b) the addition of costs not allowed in actual TDC, but should be for TDC PU Limitation testing purposes.</t>
        </r>
      </text>
    </comment>
    <comment ref="B63" authorId="2" shapeId="0" xr:uid="{0F079611-E7D6-4DC5-A6B9-972FBBE7E331}">
      <text>
        <r>
          <rPr>
            <b/>
            <sz val="9"/>
            <color indexed="81"/>
            <rFont val="Tahoma"/>
            <family val="2"/>
          </rPr>
          <t>Kevin Tatreau:</t>
        </r>
        <r>
          <rPr>
            <sz val="9"/>
            <color indexed="81"/>
            <rFont val="Tahoma"/>
            <family val="2"/>
          </rPr>
          <t xml:space="preserve">
If adding a cost not in TDC (cell D23), the new cost would NOT be able to earn a developer fee.  If a cost that is being deducted from TDC for testing purposes, it would be eligible to earn a developer fee if it is a Development Cost (i.e., not land, not ODR, not Developer Fee).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Tracy Willis</author>
  </authors>
  <commentList>
    <comment ref="F22" authorId="0" shapeId="0" xr:uid="{8B6E0E24-6ACB-4950-BF90-2BD3D8906B3C}">
      <text>
        <r>
          <rPr>
            <b/>
            <sz val="9"/>
            <color indexed="81"/>
            <rFont val="Tahoma"/>
            <family val="2"/>
          </rPr>
          <t>Tracy Willis:</t>
        </r>
        <r>
          <rPr>
            <sz val="9"/>
            <color indexed="81"/>
            <rFont val="Tahoma"/>
            <family val="2"/>
          </rPr>
          <t xml:space="preserve">
Input the net amount of TDC that has increased since the CUR (net of FCC TDC less CUR TDC). It is assumed that all of this amount is eligible to earn a Developer Fee for the developer fee percentage analysis presented below.</t>
        </r>
      </text>
    </comment>
  </commentList>
</comments>
</file>

<file path=xl/sharedStrings.xml><?xml version="1.0" encoding="utf-8"?>
<sst xmlns="http://schemas.openxmlformats.org/spreadsheetml/2006/main" count="2845" uniqueCount="380">
  <si>
    <t>What year was the RFA issued?</t>
  </si>
  <si>
    <t>&lt;select from menu&gt;</t>
  </si>
  <si>
    <t xml:space="preserve"> </t>
  </si>
  <si>
    <t>Tax-Exempt Bonds Boost</t>
  </si>
  <si>
    <t>Questions below will ask to identify certain criteria.  This can be done by entering a "1" in the cell to the left of the appropriate criteria.</t>
  </si>
  <si>
    <t>PSN Demographic multiplier</t>
  </si>
  <si>
    <t>South Florida Keys Area</t>
  </si>
  <si>
    <t>Elderly ALF Demographic</t>
  </si>
  <si>
    <t>NC Units</t>
  </si>
  <si>
    <t>Rehab Units</t>
  </si>
  <si>
    <t>Total Units</t>
  </si>
  <si>
    <t>Identify the Development</t>
  </si>
  <si>
    <t>Application #</t>
  </si>
  <si>
    <t>Name</t>
  </si>
  <si>
    <t>County</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</si>
  <si>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</si>
  <si>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</si>
  <si>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</si>
  <si>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</si>
  <si>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</si>
  <si>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</si>
  <si>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</si>
  <si>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</si>
  <si>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</si>
  <si>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</si>
  <si>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</si>
  <si>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</si>
  <si>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</si>
  <si>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</si>
  <si>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</si>
  <si>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</si>
  <si>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</si>
  <si>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</si>
  <si>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</si>
  <si>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</si>
  <si>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</si>
  <si>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</si>
  <si>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</si>
  <si>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</si>
  <si>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</si>
  <si>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</si>
  <si>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</si>
  <si>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</si>
  <si>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</si>
  <si>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</si>
  <si>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</si>
  <si>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</si>
  <si>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</si>
  <si>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</si>
  <si>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</si>
  <si>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</si>
  <si>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</si>
  <si>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</si>
  <si>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</si>
  <si>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</si>
  <si>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</si>
  <si>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</si>
  <si>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</si>
  <si>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</si>
  <si>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</si>
  <si>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</si>
  <si>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</si>
  <si>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</si>
  <si>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</si>
  <si>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</si>
  <si>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</si>
  <si>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</si>
  <si>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</si>
  <si>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</si>
  <si>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Saint Johns</t>
  </si>
  <si>
    <t>Saint Lucie</t>
  </si>
  <si>
    <t>Santa Rosa</t>
  </si>
  <si>
    <t>Sarasota</t>
  </si>
  <si>
    <t>Seminole</t>
  </si>
  <si>
    <t>Sumter</t>
  </si>
  <si>
    <t>Suwannee</t>
  </si>
  <si>
    <t>Taylor</t>
  </si>
  <si>
    <t>Union</t>
  </si>
  <si>
    <t>Volusia</t>
  </si>
  <si>
    <t>Wakulla</t>
  </si>
  <si>
    <t>Walton</t>
  </si>
  <si>
    <t>Washington</t>
  </si>
  <si>
    <t>Yes</t>
  </si>
  <si>
    <t>No</t>
  </si>
  <si>
    <t>High-Rise (NC)</t>
  </si>
  <si>
    <t>Garden (Rehab)</t>
  </si>
  <si>
    <t>Non-Garden (Rehab)</t>
  </si>
  <si>
    <t>Types</t>
  </si>
  <si>
    <t>Base01</t>
  </si>
  <si>
    <t>AddOns</t>
  </si>
  <si>
    <t>MultiplierNames</t>
  </si>
  <si>
    <t>MultiplierNumbers</t>
  </si>
  <si>
    <t>&lt;select&gt;</t>
  </si>
  <si>
    <t>Add-On</t>
  </si>
  <si>
    <t>Multiplier</t>
  </si>
  <si>
    <t>All-In Limit</t>
  </si>
  <si>
    <t>RFAs</t>
  </si>
  <si>
    <t>RFA</t>
  </si>
  <si>
    <t>Application Deadline</t>
  </si>
  <si>
    <t>AppDue</t>
  </si>
  <si>
    <t>RFA Description</t>
  </si>
  <si>
    <t>Descriptions</t>
  </si>
  <si>
    <t>No TDC Limitation in this RFA</t>
  </si>
  <si>
    <t>Housing Credit Financing for Affordable Housing Developments Located in Medium and Small Counties</t>
  </si>
  <si>
    <t>Housing Credit Financing for Affordable Housing Developments Located in Broward, Duval, Hillsborough, Orange, Palm Beach, and Pinellas Counties</t>
  </si>
  <si>
    <t>Housing Credit Financing for Affordable Housing Developments Located in Miami-Dade County</t>
  </si>
  <si>
    <t>Financing to Build Smaller Permanent Supportive Housing Properties for Persons with Developmental Disabilities</t>
  </si>
  <si>
    <t>Financing to Develop Housing for Persons with Disabling Conditions/ Developmental Disabilities</t>
  </si>
  <si>
    <t>Housing Credit and SAIL Financing for Homeless Housing Developments Located in Medium and Large Counties</t>
  </si>
  <si>
    <t>(a)</t>
  </si>
  <si>
    <t>(b)</t>
  </si>
  <si>
    <t>(d)</t>
  </si>
  <si>
    <t>(c)</t>
  </si>
  <si>
    <t>(e)</t>
  </si>
  <si>
    <t>Garden-ESSC (NC)</t>
  </si>
  <si>
    <r>
      <t xml:space="preserve">DF=Developer Fee; NC=New Construction; TDC=Total Development Cost; CUR=Credit Underwriting Report; CU=Credit Underwriter; </t>
    </r>
    <r>
      <rPr>
        <b/>
        <i/>
        <sz val="10"/>
        <color theme="1"/>
        <rFont val="Times New Roman"/>
        <family val="1"/>
      </rPr>
      <t>Cells with a yellow background are input cells. Each input cell includes a comment to assist with the input.</t>
    </r>
  </si>
  <si>
    <t>Application # of Subject Development</t>
  </si>
  <si>
    <t>Name of Subject Development</t>
  </si>
  <si>
    <t>Applicable Competitive Application</t>
  </si>
  <si>
    <t>Maximum Developer Fee (%)</t>
  </si>
  <si>
    <t>Total Number of Units</t>
  </si>
  <si>
    <t>Rounddown to how many decimals? (Default=0)</t>
  </si>
  <si>
    <t>Enter as a negative #</t>
  </si>
  <si>
    <t>Stated DF, as a percent of Stated Development Cost</t>
  </si>
  <si>
    <t>Total $ cost reduction (Total $ Development's DF and TDC adjustment)</t>
  </si>
  <si>
    <t>Total % DF reduction from Stated DF</t>
  </si>
  <si>
    <t>Development's Final DF as a % of Stated Development Cost</t>
  </si>
  <si>
    <t>Same Development w/ both TDC Limitation events</t>
  </si>
  <si>
    <t>At CUR</t>
  </si>
  <si>
    <t>At FCCA</t>
  </si>
  <si>
    <t>Enter the number of Units for the Development Type (if there are multiple development types, # of units should be entered on each line accordingly)</t>
  </si>
  <si>
    <t>Automatically Applies</t>
  </si>
  <si>
    <t>Board Approved One-Off Modification</t>
  </si>
  <si>
    <t>(16%, 18%, 21%, 10% and a Board Approved option)</t>
  </si>
  <si>
    <t>Shaded areas below are used in formulas above.  Do not edit other than by FHFC staff in select input cells.</t>
  </si>
  <si>
    <t>TDC Review</t>
  </si>
  <si>
    <t>Garden-Non ESSC (NC)</t>
  </si>
  <si>
    <t>Mid-Rise-Non ESSC (NC)</t>
  </si>
  <si>
    <t>North Florida Keys Area (or)</t>
  </si>
  <si>
    <t>Unit Values</t>
  </si>
  <si>
    <t>TDC Rank</t>
  </si>
  <si>
    <t>Rank</t>
  </si>
  <si>
    <t>Combo #</t>
  </si>
  <si>
    <t>Prorata Distribution</t>
  </si>
  <si>
    <t>of Multiple Dev Types</t>
  </si>
  <si>
    <t>Development's Final Actual Overall TDC</t>
  </si>
  <si>
    <t>AddOns2</t>
  </si>
  <si>
    <t>Except BMP</t>
  </si>
  <si>
    <t>BMP</t>
  </si>
  <si>
    <t>=IF(AND(Year&lt;&gt;Data!A2,SUM(RFA!C21:C38)=1),"This is for"&amp;RIGHT(VLOOKUP(1,RFA!Identify,2),LEN(VLOOKUP(1,RFA!Identify,2))-1)&amp;", subject to TDC PU Limitations "&amp;IF(H4=1,"of the original RFAs, ",IF(AND(H5=1,H6=0),"in effect after the 06/15/2018 Board Meeting, but prior to the 03/06/2020 Board Meeting, ",IF(AND(H5=1,H6=1),"in effect after the 03/06/2020 Board Meeting, but prior to the 07/30/2021 Board Meeting, ",IF(H7=1,"in effect after the 07/30/2021 Board Meeting, but prior to the 04/01/2022 Board Meeting, ",IF(H8=1,"in effect after the 04/01/2022 Board Meeting, ","(need to select a Board Condtion at top of page), ")))))&amp;"incorporating "&amp;IF(SUM(C41:C43)+N(G41)+N(G42)+N(G43)&gt;0,IF(OR(C41=1,N(G41)=1),D41&amp;IF(OR(C42=1,N(G42)=1),IF(C41+N(G41)&gt;0," and "&amp;D42&amp;IF(OR(C43=1,N(G43)=1),IF(C41+C42+N(G41)+N(G42)&gt;0," and "&amp;D43,"44&amp;45"),"45"),"??"),"xx"),IF(OR(C42=1,N(G42)=1),IF(C41+N(G41)&gt;0," and ","")&amp;D42&amp;IF(OR(C43=1,N(G43)=1),IF(C41+C42+N(G41)+N(G42)&gt;0," and ","")&amp;D43,""),IF(C43+N(G43)&gt;0,D43,"")))&amp;" TDC Add-On"&amp;IF(MAX(C41,N(G41))+MAX(C42,N(G42))+MAX(C43,N(G43))&gt;1,"s, ",", "),"no Add-Ons, ")&amp;IF(SUM(C46:C51)+N(G46)+N(G47)+N(G48)+N(G49)+N(G50)+N(G51)&gt;0,IF(C46+N(G46)&gt;0,"48-53",IF(C47+N(G47)&gt;0,"49-53",IF(C48+N(G48)&gt;0,"50-53",IF(C49+N(G49)&gt;0,"51-53",IF(C50+N(G50)&gt;0,"52-53","53"))))),"and no Multipliers")&amp;".","")</t>
  </si>
  <si>
    <t xml:space="preserve">  RFA 2023-102</t>
  </si>
  <si>
    <t xml:space="preserve">  RFA 2023-102SF</t>
  </si>
  <si>
    <t xml:space="preserve">  RFA 2023-103</t>
  </si>
  <si>
    <t xml:space="preserve">  RFA 2023-104</t>
  </si>
  <si>
    <t xml:space="preserve">  RFA 2023-105</t>
  </si>
  <si>
    <t xml:space="preserve">  RFA 2023-106</t>
  </si>
  <si>
    <t xml:space="preserve">  RFA 2023-201</t>
  </si>
  <si>
    <t xml:space="preserve">  RFA 2023-202</t>
  </si>
  <si>
    <t xml:space="preserve">  RFA 2023-203</t>
  </si>
  <si>
    <t xml:space="preserve">  RFA 2023-205</t>
  </si>
  <si>
    <t xml:space="preserve">  RFA 2023-104SF</t>
  </si>
  <si>
    <t xml:space="preserve">  RFA 2023-103SF</t>
  </si>
  <si>
    <t xml:space="preserve">  RFA 2023-106SF</t>
  </si>
  <si>
    <t xml:space="preserve">  RFA 2023-202SF</t>
  </si>
  <si>
    <t xml:space="preserve">  RFA 2023-205SF</t>
  </si>
  <si>
    <t>2022/2023</t>
  </si>
  <si>
    <t>RFA Issued</t>
  </si>
  <si>
    <t>SAIL and HOME-ARP Financing for Smaller Developments for Persons with Special Needs</t>
  </si>
  <si>
    <t>SAIL Funding for Farmworker and Commercial Fishing Worker Housing</t>
  </si>
  <si>
    <t xml:space="preserve">  RFA 2023-108</t>
  </si>
  <si>
    <t>Housing Credit And RRLP Financing For Homeless Housing Developments Located In Medium And Large Counties Affected By Hurricane Ian And Nicole</t>
  </si>
  <si>
    <t xml:space="preserve">  RFA 2023-304</t>
  </si>
  <si>
    <t>Rental Recovery Loan Program (RRLP) Financing to be Used for Rental Developments in Hurricane Ian and Hurricane Nicole Impacted Counties</t>
  </si>
  <si>
    <t>SAIL Financing for the Preservation of Elderly Developments</t>
  </si>
  <si>
    <t>2023/2024</t>
  </si>
  <si>
    <t xml:space="preserve">  RFA 2023-211</t>
  </si>
  <si>
    <t>Construction Inflation Response Viability Funding</t>
  </si>
  <si>
    <t>Mid-Rise-ESSC (NC)</t>
  </si>
  <si>
    <t>Non-Geographic TDC Multiplier – Elderly-ALF Developments</t>
  </si>
  <si>
    <t>Non-Geographic TDC Multiplier – Homeless Demographic</t>
  </si>
  <si>
    <t>Non-Geographic TDC Multiplier – Demographic Commitment of either Persons with a Disabling Condition or Persons with Developmental Disabilities</t>
  </si>
  <si>
    <t>Non-Geographic TDC Multiplier – All Developments that consist of 50 total units or less and not located in the Florida Keys Area (reserved for Homeless Demographic serving PDC or PDD)</t>
  </si>
  <si>
    <t>Non-Geographic TDC Multiplier – All Developments that consist of more than 50 total units, but not more than 80 total units and not located in the Florida Keys Area (reserved for Homeless Demographic serving PDC or PDD)</t>
  </si>
  <si>
    <t>Geographic TDC Multiplier – Developments located north of Plantation Key (i.e., north of Tavernier Creek) in the Florida Keys Area</t>
  </si>
  <si>
    <t>*Geographic TDC Multiplier – Developments located south of Plantation Key (i.e., north of Tavernier Creek) in the Florida Keys Area</t>
  </si>
  <si>
    <t xml:space="preserve">  RFA 2024-102</t>
  </si>
  <si>
    <t xml:space="preserve">  RFA 2024-103</t>
  </si>
  <si>
    <t xml:space="preserve">  RFA 2024-104</t>
  </si>
  <si>
    <t xml:space="preserve">  RFA 2024-105</t>
  </si>
  <si>
    <t xml:space="preserve">  RFA 2024-106</t>
  </si>
  <si>
    <t xml:space="preserve">  RFA 2024-102SF</t>
  </si>
  <si>
    <t xml:space="preserve">  RFA 2024-103SF</t>
  </si>
  <si>
    <t xml:space="preserve">  RFA 2024-104SF</t>
  </si>
  <si>
    <t xml:space="preserve">  RFA 2024-106SF</t>
  </si>
  <si>
    <t xml:space="preserve">  RFA 2023-102 - This TDC Template does not apply to this RFA</t>
  </si>
  <si>
    <t xml:space="preserve">  RFA 2023-103 - This TDC Template does not apply to this RFA</t>
  </si>
  <si>
    <t xml:space="preserve">  RFA 2023-104 - This TDC Template does not apply to this RFA</t>
  </si>
  <si>
    <t xml:space="preserve">  RFA 2023-105 - This TDC Template does not apply to this RFA</t>
  </si>
  <si>
    <t xml:space="preserve">  RFA 2023-106 - This TDC Template does not apply to this RFA</t>
  </si>
  <si>
    <t xml:space="preserve">  RFA 2023-108 - This TDC Template does not apply to this RFA</t>
  </si>
  <si>
    <t xml:space="preserve">  RFA 2023-211 - This TDC Template does not apply to this RFA</t>
  </si>
  <si>
    <t xml:space="preserve">  RFA 2023-304 - This TDC Template does not apply to this RFA</t>
  </si>
  <si>
    <t>(This TDC Template applies to all RFA's beginning with the 2023/2024 RFA Cycle)</t>
  </si>
  <si>
    <t>PHA Boost</t>
  </si>
  <si>
    <t>Hard Cost Per Unit Factor:</t>
  </si>
  <si>
    <t>RFA Cycle</t>
  </si>
  <si>
    <t>Counties</t>
  </si>
  <si>
    <t>PHA Add-On</t>
  </si>
  <si>
    <t>Tax Exempt Bonds Add-On</t>
  </si>
  <si>
    <t>Available TDC Add-Ons</t>
  </si>
  <si>
    <t>Available TDC Multipliers</t>
  </si>
  <si>
    <t>Total Maximum Developer Fee</t>
  </si>
  <si>
    <t>ODR % (Default = 5%) for 21% DF developments - manually override if underwriter requires different amount.</t>
  </si>
  <si>
    <t>Escalation Factor</t>
  </si>
  <si>
    <t>**Yellow means RFA not issued yet - info taken from past year(s) - need to verify info</t>
  </si>
  <si>
    <t>% of Maximum Developer Fee Reduction</t>
  </si>
  <si>
    <t>Exhibit C.1.b.(1)</t>
  </si>
  <si>
    <t>Exhibit C.1.b.(2)</t>
  </si>
  <si>
    <t>Development's Final Actual Overall Developer Fee</t>
  </si>
  <si>
    <t>Need to hide or delete eventually</t>
  </si>
  <si>
    <t>Need to hide or delete eventually?</t>
  </si>
  <si>
    <t>Hard Cost Factor Per Unit</t>
  </si>
  <si>
    <t>Maximum Non-Acquisition Dev Costs for Developer Fee</t>
  </si>
  <si>
    <t>Lesser of Maximum or Applicant's Stated Building Allocation</t>
  </si>
  <si>
    <t>Maximum Non-Acquisition Dev Costs for Developer Fee PU</t>
  </si>
  <si>
    <t>Does the Development include the Acquisition of a Building?</t>
  </si>
  <si>
    <t>Select answer from dropdown</t>
  </si>
  <si>
    <t>Exhibit C.1.a.(2)</t>
  </si>
  <si>
    <t>Exhibit C.1.a.(2).(a)</t>
  </si>
  <si>
    <t>Less: Lowest Land Cost Allocation of the Three Land Cost Allocation Methods (Not DF Eligible)</t>
  </si>
  <si>
    <t>Less Building Allocation (DF Eligible)</t>
  </si>
  <si>
    <t>Less ODR (Not DF Eligible)</t>
  </si>
  <si>
    <t>Less Demolition Costs (if PHA and if applicable) (DF Eligible)</t>
  </si>
  <si>
    <t>Less Relocation Costs (if PHA and if applicable) (DF Eligible)</t>
  </si>
  <si>
    <t>Less Retail/Commercial Space (DF Eligible)</t>
  </si>
  <si>
    <t>Enter a "1" if the amount in cell D31 is a development cost eligible to earn a DF</t>
  </si>
  <si>
    <t>Less Other Allowed Cost Deductions (or Add Other Needed Costs not yet included)</t>
  </si>
  <si>
    <t>Development's Final DF as a % of Final TDC</t>
  </si>
  <si>
    <t>Stated Development Costs (total costs eligible to earn a DF)</t>
  </si>
  <si>
    <t>Maximum of Hard &amp; Soft Costs PU</t>
  </si>
  <si>
    <t>Max Non-Acquisition Development Cost for Developer Fee</t>
  </si>
  <si>
    <t>Actual Stated Overall Total Development Costs</t>
  </si>
  <si>
    <t>Exhibit C.1.a.(3)</t>
  </si>
  <si>
    <t>Less Other Costs Associated with Building Allocation (DF Eligible)</t>
  </si>
  <si>
    <t>Stated Development Costs eligible to earn a DF</t>
  </si>
  <si>
    <t>HC Staff Use Only</t>
  </si>
  <si>
    <t>Orig. Dev Type</t>
  </si>
  <si>
    <t>New Dev Type</t>
  </si>
  <si>
    <t>Modified Mix</t>
  </si>
  <si>
    <t>Number of Units</t>
  </si>
  <si>
    <t>Stated DF within Actual Stated Overall Total Development Costs</t>
  </si>
  <si>
    <t>1st Adjustment ($ DF &amp; Net TDC Reduction): Stated DF in excess of Maximum Percentage DF</t>
  </si>
  <si>
    <t>Net TDC of the Proposed Development, after 1.b.(1) potential adjustment</t>
  </si>
  <si>
    <t>Enter as a negative # for a deduction or a positive # for an addition</t>
  </si>
  <si>
    <t>Less Construction Features Deduction costs (DF Eligible)</t>
  </si>
  <si>
    <t>Is Development's Maximum TDC Component ≥ proposed Development's Net TDC?</t>
  </si>
  <si>
    <t>Maximum $ Reduction per RFA</t>
  </si>
  <si>
    <t>Maximum Developer Fee with 2nd Adjustment</t>
  </si>
  <si>
    <r>
      <t xml:space="preserve">Is the Maximum Developer Fee from 1.b.(2) </t>
    </r>
    <r>
      <rPr>
        <u/>
        <sz val="10"/>
        <color theme="1"/>
        <rFont val="Times New Roman"/>
        <family val="1"/>
      </rPr>
      <t>&gt;</t>
    </r>
    <r>
      <rPr>
        <sz val="10"/>
        <color theme="1"/>
        <rFont val="Times New Roman"/>
        <family val="1"/>
      </rPr>
      <t xml:space="preserve"> the proposed Development's Developer Fee after 1.b.(1)?</t>
    </r>
  </si>
  <si>
    <t>If Yes, then nothing further; If No, then steps below apply</t>
  </si>
  <si>
    <t>2nd Adjustment ($ DF &amp; Net TDC Reduction): Proposed Development's Developer Fee after 1.b.(1) in excess of Maximum</t>
  </si>
  <si>
    <t>Stated DF within Actual Stated Overall Total Development Costs, after 1.b.(2) potential adjustment</t>
  </si>
  <si>
    <t>Actual Stated Overall Total Development Costs, after 1.b.(2) potential adjustment</t>
  </si>
  <si>
    <t>Development's Maximum TDC Component</t>
  </si>
  <si>
    <t>Adjustment to Maximum Developer Fee (lesser of above 3 options)</t>
  </si>
  <si>
    <t>D19: Total DF</t>
  </si>
  <si>
    <t>D18: Max Acq DF</t>
  </si>
  <si>
    <t>D12: Max NA Dev Costs</t>
  </si>
  <si>
    <t>D20: Non-ODR DF</t>
  </si>
  <si>
    <t>D21: ODR DF</t>
  </si>
  <si>
    <t>Enter the FCCA Stated DF</t>
  </si>
  <si>
    <t xml:space="preserve">  RFA 2023-204 </t>
  </si>
  <si>
    <t xml:space="preserve">  RFA 2023-212</t>
  </si>
  <si>
    <t xml:space="preserve">  RFA 2023-213</t>
  </si>
  <si>
    <t>Housing Credit Viability Funding for Developments located in Monroe County that have an Active Award of SAIL Financing and 9% Housing Credits</t>
  </si>
  <si>
    <t>SAIL Funding for Live Local Mixed Income, Mixed-Use, and Urban Infill Developments</t>
  </si>
  <si>
    <t>SAIL Financing of Affordable Multifamily Housing Developments to be used in Conjunction with Tax-Exempt Bond Financing and Non-Competitive Housing Credits</t>
  </si>
  <si>
    <t xml:space="preserve">  RFA 2023-204</t>
  </si>
  <si>
    <t xml:space="preserve">  RFA 2023-204SF</t>
  </si>
  <si>
    <t>**ALL RFA YYYY-NNN headers must have 2 spaces in front of the R.</t>
  </si>
  <si>
    <t>PDC/PDD Demographic multiplier</t>
  </si>
  <si>
    <t>9%, NC, =&lt;50 Units, not in Keys (or)</t>
  </si>
  <si>
    <t>9%, NC, 51-80 Units, not in Keys</t>
  </si>
  <si>
    <t>Homeless Demographic (or)</t>
  </si>
  <si>
    <t xml:space="preserve">  RFA 2023-213SF</t>
  </si>
  <si>
    <t>(f)</t>
  </si>
  <si>
    <t>(f) = {  [  (a)  / 75%  ]  +  (c)  }  / (d) *  [  1  +  (e)  ]</t>
  </si>
  <si>
    <t>D13: Max NADC DF</t>
  </si>
  <si>
    <t>Net TDC of the Proposed Development, after 1.b.(2) potential adjustment, inclusive of Developer Fee</t>
  </si>
  <si>
    <t>Was the Developer fee reduced at CUR (by the process in b.(2))</t>
  </si>
  <si>
    <r>
      <t>Development's Maximu</t>
    </r>
    <r>
      <rPr>
        <b/>
        <sz val="10"/>
        <rFont val="Times New Roman"/>
        <family val="1"/>
      </rPr>
      <t>m TDC Component</t>
    </r>
  </si>
  <si>
    <t>Actual Amount Net TDC exceeds Maximum TDC Component</t>
  </si>
  <si>
    <t>Exhibit C.1.b.(2)(a)</t>
  </si>
  <si>
    <t>Exhibit C.1.b.(2)(b)</t>
  </si>
  <si>
    <t xml:space="preserve">Exhibit C.1.b.(2)(c) </t>
  </si>
  <si>
    <t>D34=B90; D35=B91, D36=D92</t>
  </si>
  <si>
    <t>Exhibit C.1.c.(1)</t>
  </si>
  <si>
    <t>Adjusted Stated Overall Total Development Costs</t>
  </si>
  <si>
    <t>Initial Net Stated TDC of Proposed Development, inclusive of Developer Fee</t>
  </si>
  <si>
    <t>Net TDC preliminarily stated after tested for DF compliance with the maximum DF percentage requirement</t>
  </si>
  <si>
    <t xml:space="preserve">Maximum Developer Fee Amount on Non-Acquisition Costs </t>
  </si>
  <si>
    <t xml:space="preserve">Maximum Developer Fee Amount on Building Allocation Costs </t>
  </si>
  <si>
    <r>
      <t>Change in Developments's FCCA Costs relative to CUR</t>
    </r>
    <r>
      <rPr>
        <sz val="10"/>
        <color rgb="FFFF0000"/>
        <rFont val="Times New Roman"/>
        <family val="1"/>
      </rPr>
      <t xml:space="preserve"> non-Acquisition Development</t>
    </r>
    <r>
      <rPr>
        <sz val="10"/>
        <color theme="1"/>
        <rFont val="Times New Roman"/>
        <family val="1"/>
      </rPr>
      <t xml:space="preserve"> Costs eligible to earn a DF</t>
    </r>
  </si>
  <si>
    <t>Approved changes since CUR to Other Building Acquisition Related Costs</t>
  </si>
  <si>
    <t>Exhibit C.1.c.(2)(i)</t>
  </si>
  <si>
    <t>Exhibit C.1.c.(2)(ii)</t>
  </si>
  <si>
    <t>Exhibit C.1.c.(2)(iii)</t>
  </si>
  <si>
    <t>Exhibit C.1.c.(2)</t>
  </si>
  <si>
    <t>Is the Stated DF, after compliance with the maximum DF % requirement, greater than the Maximum DF determined in 1.b.(1)?</t>
  </si>
  <si>
    <t>Developer Fee after 1.c.(1)</t>
  </si>
  <si>
    <t>Adjustment to DF required from 1.c.(1)(d)</t>
  </si>
  <si>
    <t>Exhibit C.1.c.(1)(d)</t>
  </si>
  <si>
    <t>Net TDC of the Proposed Development, after 1.b.(1) or 1.c. potential adjustments, as applicable</t>
  </si>
  <si>
    <t>Exhibit C.1.a.(2)(b)</t>
  </si>
  <si>
    <t>Exhibit C.1.a.(2)(a)</t>
  </si>
  <si>
    <t>Exhibit C.1.a.(2)(b) &amp; (3)</t>
  </si>
  <si>
    <t>Stated DF after % Fee and Total Maximum DF requirements</t>
  </si>
  <si>
    <t>DF Adjustment where Stated DF (after % Fee test) is in excess of the Total Maximum DF in 1.a.</t>
  </si>
  <si>
    <r>
      <t xml:space="preserve">Is the Maximum Developer Fee from the last adjustment </t>
    </r>
    <r>
      <rPr>
        <u/>
        <sz val="10"/>
        <color theme="1"/>
        <rFont val="Times New Roman"/>
        <family val="1"/>
      </rPr>
      <t>&gt;</t>
    </r>
    <r>
      <rPr>
        <sz val="10"/>
        <color theme="1"/>
        <rFont val="Times New Roman"/>
        <family val="1"/>
      </rPr>
      <t xml:space="preserve"> the previously stated Developer Fee?</t>
    </r>
  </si>
  <si>
    <t xml:space="preserve">  RFA 2023-203SF</t>
  </si>
  <si>
    <t>`</t>
  </si>
  <si>
    <t xml:space="preserve">  RFA 2024-206</t>
  </si>
  <si>
    <t xml:space="preserve">  RFA 2024-214</t>
  </si>
  <si>
    <t>Peach = Actual; Blue = Draft; Yellow = TBD</t>
  </si>
  <si>
    <t xml:space="preserve">  RFA 2024-215</t>
  </si>
  <si>
    <t xml:space="preserve">  RFA 2024-216</t>
  </si>
  <si>
    <t xml:space="preserve">  RFA 2024-305</t>
  </si>
  <si>
    <t>2024/2025</t>
  </si>
  <si>
    <t>SAIL Financing Farmworker and Commercial Fishing Worker Housing</t>
  </si>
  <si>
    <t>Financing to build Smaller Permanent Supportive Housing Properties for Persons with Special Needs</t>
  </si>
  <si>
    <t>HOME and Live Local SAIL Financing to be used for Rental Developments in Certain Hurricane Idalia Impacted Counties</t>
  </si>
  <si>
    <t>Live Local SAIL Funding to be used for Developing and Reconstructing Affordable Multifamily Housing Developments</t>
  </si>
  <si>
    <t>Live Local SAIL Financing for Developments near Military installations</t>
  </si>
  <si>
    <t>Live Local SAIL Financing for the Construction of Large-Scale Developments of Significant Regional Impact</t>
  </si>
  <si>
    <t>Community Development Block Grant — Disaster Recovery to be used in Conjunction with Tax-Exempt Bonds and Non-Competitive Housing Credits in Counties Deemed Hurricane Sally Recovery Priorities</t>
  </si>
  <si>
    <t>Confirm once issued</t>
  </si>
  <si>
    <t xml:space="preserve">  RFA 2024-306</t>
  </si>
  <si>
    <t xml:space="preserve">  RFA 2024-201</t>
  </si>
  <si>
    <t xml:space="preserve">  RFA 2024-202</t>
  </si>
  <si>
    <t xml:space="preserve">  RFA 2024-203</t>
  </si>
  <si>
    <t xml:space="preserve">  RFA 2024-204</t>
  </si>
  <si>
    <t xml:space="preserve">  RFA 2024-205</t>
  </si>
  <si>
    <t xml:space="preserve">  RFA 2024-202SF</t>
  </si>
  <si>
    <t xml:space="preserve">  RFA 2024-204SF</t>
  </si>
  <si>
    <t xml:space="preserve">  RFA 2024-205SF</t>
  </si>
  <si>
    <t xml:space="preserve">  RFA 2024-206SF</t>
  </si>
  <si>
    <t xml:space="preserve">  RFA 2024-214SF</t>
  </si>
  <si>
    <t xml:space="preserve">  RFA 2024-215SF</t>
  </si>
  <si>
    <t xml:space="preserve">  RFA 2024-216SF</t>
  </si>
  <si>
    <t xml:space="preserve">  RFA 2024-305SF</t>
  </si>
  <si>
    <t xml:space="preserve">  RFA 2024-306SF</t>
  </si>
  <si>
    <t>Non-Geographic TDC Multiplier – Any Applicant which (i) either has a land lease with a PHA for the proposed Development’s location or the Applicant provided an Option to Enter into a Ground Lease Agreement on property where the proposed Development is to be located; AND the property which has a Declaration of Trust between the PHA and HUD; or (ii) has a PHA or an instrumentality of a PHA as a Principal</t>
  </si>
  <si>
    <t>Non-Geographic TDC Multiplier – For Applications that do not qualify for the PHA Multiplier and are receiving funding from the Corporation which are directly generating expenses related to Davis-Bacon costs, if applicable</t>
  </si>
  <si>
    <t>N/A</t>
  </si>
  <si>
    <t>PHA/Davis Bacon Boost</t>
  </si>
  <si>
    <t>PHA multiplier</t>
  </si>
  <si>
    <t>Davis-Bacon multiplier</t>
  </si>
  <si>
    <t>PHA multiplier (or)</t>
  </si>
  <si>
    <t xml:space="preserve">  RFA 2024-213</t>
  </si>
  <si>
    <t xml:space="preserve">  RFA 2024-213SF</t>
  </si>
  <si>
    <t xml:space="preserve">  RFA 2025-102</t>
  </si>
  <si>
    <t xml:space="preserve">  RFA 2025-102SF</t>
  </si>
  <si>
    <t xml:space="preserve">  RFA 2025-103</t>
  </si>
  <si>
    <t xml:space="preserve">  RFA 2025-103SF</t>
  </si>
  <si>
    <t xml:space="preserve">  RFA 2025-106</t>
  </si>
  <si>
    <t xml:space="preserve">  RFA 2025-106SF</t>
  </si>
  <si>
    <t>Community Development Block Grant — Disaster Recovery to be used in Conjunction with Tax-Exempt Bonds and 4% Housing Credits in Counties Deemed Hurricane Ian Recovery Priorities</t>
  </si>
  <si>
    <t>Homeless Demographic multiplier</t>
  </si>
  <si>
    <t>SAIL Financing for Live Local Mixed Income, Mixed-Use, and Urban Infill Developments</t>
  </si>
  <si>
    <t xml:space="preserve">PHA multiplier </t>
  </si>
  <si>
    <t xml:space="preserve">  RFA 2025-206</t>
  </si>
  <si>
    <t xml:space="preserve">  RFA 2025-206SF</t>
  </si>
  <si>
    <t>HOME and Live Local SAIL Financing to be used for Rental Developments in Certain Hurricane Impacted Rural Areas of Opportunity</t>
  </si>
  <si>
    <t xml:space="preserve">  RFA 2025-104</t>
  </si>
  <si>
    <t xml:space="preserve">  RFA 2025-216</t>
  </si>
  <si>
    <t xml:space="preserve">  RFA 2025-104SF</t>
  </si>
  <si>
    <t>Draft</t>
  </si>
  <si>
    <t xml:space="preserve">  RFA 2025-216SF</t>
  </si>
  <si>
    <t>TOTAL DEVELOPMENT COST LIMITATION TEST TEMPLATE - Version 03-14-2025</t>
  </si>
  <si>
    <t>Financing for the Development of Housing for Persons with a Disabling Condition or Developmental Disabilities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</si>
</sst>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0&quot; Units&quot;"/>
    <numFmt numFmtId="165" formatCode="mm/dd/yyyy;@"/>
    <numFmt numFmtId="166" formatCode="0.0%"/>
    <numFmt numFmtId="167" formatCode="&quot;Dev Types: &quot;#,##0_)"/>
    <numFmt numFmtId="168" formatCode="_(&quot;$&quot;* #,##0_);_(&quot;$&quot;* \(#,##0\);_(&quot;$&quot;* &quot;-&quot;??_);_(@_)"/>
    <numFmt numFmtId="169" formatCode="0.0000%"/>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1"/>
      <color rgb="FF0000FF"/>
      <name val="Calibri"/>
      <family val="2"/>
      <scheme val="minor"/>
    </font>
    <font>
      <sz val="10"/>
      <color rgb="FF0000FF"/>
      <name val="Times New Roman"/>
      <family val="2"/>
    </font>
    <font>
      <sz val="11"/>
      <color rgb="FFFF0000"/>
      <name val="Calibri"/>
      <family val="2"/>
      <scheme val="minor"/>
    </font>
    <font>
      <b/>
      <i/>
      <sz val="11"/>
      <color theme="1"/>
      <name val="Calibri"/>
      <family val="2"/>
      <scheme val="minor"/>
    </font>
    <font>
      <sz val="9"/>
      <color indexed="81"/>
      <name val="Tahoma"/>
      <family val="2"/>
    </font>
    <font>
      <b/>
      <sz val="9"/>
      <color indexed="81"/>
      <name val="Tahoma"/>
      <family val="2"/>
    </font>
    <font>
      <sz val="10"/>
      <color theme="1"/>
      <name val="Times New Roman"/>
      <family val="2"/>
    </font>
    <font>
      <i/>
      <sz val="9"/>
      <color theme="1"/>
      <name val="Times New Roman"/>
      <family val="1"/>
    </font>
    <font>
      <b/>
      <i/>
      <sz val="10"/>
      <color theme="1"/>
      <name val="Times New Roman"/>
      <family val="1"/>
    </font>
    <font>
      <b/>
      <sz val="10"/>
      <color theme="1"/>
      <name val="Times New Roman"/>
      <family val="1"/>
    </font>
    <font>
      <b/>
      <u/>
      <sz val="10"/>
      <color theme="1"/>
      <name val="Times New Roman"/>
      <family val="1"/>
    </font>
    <font>
      <sz val="10"/>
      <color theme="1"/>
      <name val="Times New Roman"/>
      <family val="1"/>
    </font>
    <font>
      <sz val="10"/>
      <name val="Times New Roman"/>
      <family val="2"/>
    </font>
    <font>
      <b/>
      <sz val="10"/>
      <color rgb="FF0000FF"/>
      <name val="Times New Roman"/>
      <family val="1"/>
    </font>
    <font>
      <i/>
      <sz val="9"/>
      <name val="Times New Roman"/>
      <family val="1"/>
    </font>
    <font>
      <i/>
      <sz val="8"/>
      <color theme="1"/>
      <name val="Times New Roman"/>
      <family val="1"/>
    </font>
    <font>
      <u/>
      <sz val="10"/>
      <color theme="1"/>
      <name val="Times New Roman"/>
      <family val="1"/>
    </font>
    <font>
      <i/>
      <sz val="10"/>
      <color theme="1"/>
      <name val="Times New Roman"/>
      <family val="1"/>
    </font>
    <font>
      <b/>
      <sz val="10"/>
      <name val="Times New Roman"/>
      <family val="1"/>
    </font>
    <font>
      <b/>
      <sz val="10"/>
      <color rgb="FFC00000"/>
      <name val="Times New Roman"/>
      <family val="1"/>
    </font>
    <font>
      <b/>
      <sz val="11"/>
      <name val="Calibri"/>
      <family val="2"/>
      <scheme val="minor"/>
    </font>
    <font>
      <b/>
      <u/>
      <sz val="11"/>
      <color theme="1"/>
      <name val="Calibri"/>
      <family val="2"/>
      <scheme val="minor"/>
    </font>
    <font>
      <b/>
      <u/>
      <sz val="12"/>
      <color theme="1"/>
      <name val="Calibri"/>
      <family val="2"/>
      <scheme val="minor"/>
    </font>
    <font>
      <sz val="11"/>
      <color theme="1"/>
      <name val="Times New Roman"/>
      <family val="1"/>
    </font>
    <font>
      <sz val="11"/>
      <color theme="0"/>
      <name val="Calibri"/>
      <family val="2"/>
      <scheme val="minor"/>
    </font>
    <font>
      <sz val="10"/>
      <color theme="1"/>
      <name val="Symbol"/>
      <family val="1"/>
      <charset val="2"/>
    </font>
    <font>
      <sz val="11"/>
      <name val="Calibri"/>
      <family val="2"/>
      <scheme val="minor"/>
    </font>
    <font>
      <b/>
      <i/>
      <sz val="11"/>
      <color theme="0"/>
      <name val="Calibri"/>
      <family val="2"/>
      <scheme val="minor"/>
    </font>
    <font>
      <sz val="8"/>
      <name val="Calibri"/>
      <family val="2"/>
      <scheme val="minor"/>
    </font>
    <font>
      <sz val="11"/>
      <color rgb="FF7030A0"/>
      <name val="Calibri"/>
      <family val="2"/>
      <scheme val="minor"/>
    </font>
    <font>
      <i/>
      <sz val="11"/>
      <color theme="1"/>
      <name val="Calibri"/>
      <family val="2"/>
      <scheme val="minor"/>
    </font>
    <font>
      <b/>
      <u/>
      <sz val="11"/>
      <color rgb="FF0000FF"/>
      <name val="Calibri"/>
      <family val="2"/>
      <scheme val="minor"/>
    </font>
    <font>
      <b/>
      <sz val="11"/>
      <color theme="1"/>
      <name val="Times New Roman"/>
      <family val="1"/>
    </font>
    <font>
      <b/>
      <u/>
      <sz val="11"/>
      <name val="Calibri"/>
      <family val="2"/>
      <scheme val="minor"/>
    </font>
    <font>
      <b/>
      <u/>
      <sz val="11"/>
      <color theme="1"/>
      <name val="Times New Roman"/>
      <family val="1"/>
    </font>
    <font>
      <sz val="9"/>
      <name val="Times New Roman"/>
      <family val="1"/>
    </font>
    <font>
      <sz val="8"/>
      <color theme="1"/>
      <name val="Times New Roman"/>
      <family val="1"/>
    </font>
    <font>
      <sz val="10"/>
      <name val="Times New Roman"/>
      <family val="1"/>
    </font>
    <font>
      <u/>
      <sz val="10"/>
      <color theme="1"/>
      <name val="Times New Roman"/>
      <family val="2"/>
    </font>
    <font>
      <sz val="10"/>
      <color rgb="FF0000FF"/>
      <name val="Times New Roman"/>
      <family val="1"/>
    </font>
    <font>
      <sz val="10"/>
      <color rgb="FFFF0000"/>
      <name val="Times New Roman"/>
      <family val="1"/>
    </font>
  </fonts>
  <fills count="17">
    <fill>
      <patternFill patternType="none"/>
    </fill>
    <fill>
      <patternFill patternType="gray125"/>
    </fill>
    <fill>
      <patternFill patternType="solid">
        <fgColor rgb="FFFFFFE6"/>
        <bgColor indexed="64"/>
      </patternFill>
    </fill>
    <fill>
      <patternFill patternType="lightUp">
        <fgColor theme="0" tint="-0.499984740745262"/>
        <bgColor indexed="65"/>
      </patternFill>
    </fill>
    <fill>
      <patternFill patternType="solid">
        <fgColor rgb="FF00FF00"/>
        <bgColor indexed="64"/>
      </patternFill>
    </fill>
    <fill>
      <patternFill patternType="solid">
        <fgColor theme="0" tint="-4.9989318521683403E-2"/>
        <bgColor indexed="64"/>
      </patternFill>
    </fill>
    <fill>
      <patternFill patternType="lightUp"/>
    </fill>
    <fill>
      <patternFill patternType="solid">
        <fgColor theme="4" tint="0.79998168889431442"/>
        <bgColor indexed="64"/>
      </patternFill>
    </fill>
    <fill>
      <patternFill patternType="solid">
        <fgColor theme="5" tint="0.79998168889431442"/>
        <bgColor indexed="64"/>
      </patternFill>
    </fill>
    <fill>
      <patternFill patternType="solid">
        <fgColor theme="5" tint="0.79998168889431442"/>
        <bgColor theme="0"/>
      </patternFill>
    </fill>
    <fill>
      <patternFill patternType="solid">
        <fgColor theme="8" tint="0.79998168889431442"/>
        <bgColor indexed="64"/>
      </patternFill>
    </fill>
    <fill>
      <patternFill patternType="solid">
        <fgColor rgb="FFFF99FF"/>
        <bgColor indexed="64"/>
      </patternFill>
    </fill>
    <fill>
      <patternFill patternType="solid">
        <fgColor theme="5" tint="0.59999389629810485"/>
        <bgColor indexed="64"/>
      </patternFill>
    </fill>
    <fill>
      <patternFill patternType="solid">
        <fgColor rgb="FFFFFFE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rgb="FFFFC000"/>
        <bgColor indexed="64"/>
      </patternFill>
    </fill>
  </fills>
  <borders count="50">
    <border>
      <left/>
      <right/>
      <top/>
      <bottom/>
      <diagonal/>
    </border>
    <border>
      <left/>
      <right/>
      <top/>
      <bottom style="thin">
        <color indexed="64"/>
      </bottom>
      <diagonal/>
    </border>
    <border>
      <left/>
      <right/>
      <top/>
      <bottom style="thin">
        <color rgb="FF0000F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rgb="FF0000FF"/>
      </bottom>
      <diagonal/>
    </border>
    <border>
      <left/>
      <right/>
      <top style="thin">
        <color rgb="FF0000FF"/>
      </top>
      <bottom style="thin">
        <color rgb="FF0000FF"/>
      </bottom>
      <diagonal/>
    </border>
    <border>
      <left/>
      <right/>
      <top style="dotted">
        <color auto="1"/>
      </top>
      <bottom style="dotted">
        <color auto="1"/>
      </bottom>
      <diagonal/>
    </border>
    <border>
      <left/>
      <right style="thin">
        <color indexed="64"/>
      </right>
      <top/>
      <bottom style="hair">
        <color auto="1"/>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dotted">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hair">
        <color auto="1"/>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theme="0" tint="-0.14996795556505021"/>
      </left>
      <right style="thin">
        <color indexed="64"/>
      </right>
      <top/>
      <bottom style="hair">
        <color auto="1"/>
      </bottom>
      <diagonal/>
    </border>
    <border>
      <left style="thin">
        <color theme="0" tint="-0.14996795556505021"/>
      </left>
      <right style="thin">
        <color theme="0" tint="-0.14996795556505021"/>
      </right>
      <top style="hair">
        <color auto="1"/>
      </top>
      <bottom style="hair">
        <color auto="1"/>
      </bottom>
      <diagonal/>
    </border>
    <border>
      <left style="thin">
        <color theme="0" tint="-0.14996795556505021"/>
      </left>
      <right style="thin">
        <color indexed="64"/>
      </right>
      <top style="hair">
        <color indexed="64"/>
      </top>
      <bottom style="hair">
        <color indexed="64"/>
      </bottom>
      <diagonal/>
    </border>
    <border>
      <left style="thin">
        <color theme="0" tint="-0.14996795556505021"/>
      </left>
      <right style="thin">
        <color theme="0" tint="-0.14996795556505021"/>
      </right>
      <top/>
      <bottom style="thin">
        <color indexed="64"/>
      </bottom>
      <diagonal/>
    </border>
    <border>
      <left style="thin">
        <color theme="0" tint="-0.14996795556505021"/>
      </left>
      <right style="thin">
        <color indexed="64"/>
      </right>
      <top/>
      <bottom style="thin">
        <color indexed="64"/>
      </bottom>
      <diagonal/>
    </border>
    <border>
      <left style="thin">
        <color theme="0" tint="-0.14996795556505021"/>
      </left>
      <right style="thin">
        <color theme="0" tint="-0.14996795556505021"/>
      </right>
      <top/>
      <bottom style="hair">
        <color auto="1"/>
      </bottom>
      <diagonal/>
    </border>
    <border>
      <left style="thin">
        <color indexed="64"/>
      </left>
      <right/>
      <top style="thin">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24994659260841701"/>
      </right>
      <top style="hair">
        <color auto="1"/>
      </top>
      <bottom style="hair">
        <color auto="1"/>
      </bottom>
      <diagonal/>
    </border>
    <border>
      <left style="thin">
        <color theme="0" tint="-0.24994659260841701"/>
      </left>
      <right style="thin">
        <color theme="0" tint="-0.14996795556505021"/>
      </right>
      <top style="hair">
        <color auto="1"/>
      </top>
      <bottom style="hair">
        <color auto="1"/>
      </bottom>
      <diagonal/>
    </border>
    <border>
      <left style="thin">
        <color theme="0" tint="-0.14996795556505021"/>
      </left>
      <right style="thin">
        <color theme="0" tint="-0.24994659260841701"/>
      </right>
      <top/>
      <bottom style="thin">
        <color indexed="64"/>
      </bottom>
      <diagonal/>
    </border>
    <border>
      <left style="thin">
        <color theme="0" tint="-0.24994659260841701"/>
      </left>
      <right style="thin">
        <color theme="0" tint="-0.14996795556505021"/>
      </right>
      <top/>
      <bottom style="thin">
        <color indexed="64"/>
      </bottom>
      <diagonal/>
    </border>
    <border>
      <left style="medium">
        <color indexed="64"/>
      </left>
      <right style="medium">
        <color indexed="64"/>
      </right>
      <top/>
      <bottom style="medium">
        <color indexed="64"/>
      </bottom>
      <diagonal/>
    </border>
  </borders>
  <cellStyleXfs count="7">
    <xf numFmtId="0" fontId="0" fillId="0" borderId="0"/>
    <xf numFmtId="9" fontId="1"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44" fontId="1" fillId="0" borderId="0" applyFont="0" applyFill="0" applyBorder="0" applyAlignment="0" applyProtection="0"/>
    <xf numFmtId="43" fontId="1" fillId="0" borderId="0" applyFont="0" applyFill="0" applyBorder="0" applyAlignment="0" applyProtection="0"/>
  </cellStyleXfs>
  <cellXfs count="354">
    <xf numFmtId="0" fontId="0" fillId="0" borderId="0" xfId="0"/>
    <xf numFmtId="0" fontId="0" fillId="0" borderId="0" xfId="0" applyBorder="1"/>
    <xf numFmtId="0" fontId="0" fillId="0" borderId="1" xfId="0" applyBorder="1"/>
    <xf numFmtId="0" fontId="0" fillId="0" borderId="0" xfId="0" applyFill="1" applyBorder="1"/>
    <xf numFmtId="0" fontId="2" fillId="0" borderId="0" xfId="0" applyFont="1"/>
    <xf numFmtId="9" fontId="0" fillId="0" borderId="0" xfId="1" applyFont="1" applyBorder="1" applyAlignment="1">
      <alignment horizontal="center" vertical="center"/>
    </xf>
    <xf numFmtId="9" fontId="0" fillId="0" borderId="1" xfId="1" applyFont="1" applyBorder="1" applyAlignment="1">
      <alignment horizontal="center" vertical="center"/>
    </xf>
    <xf numFmtId="6" fontId="0" fillId="0" borderId="1" xfId="0" applyNumberFormat="1" applyBorder="1" applyAlignment="1">
      <alignment horizontal="center" vertical="center"/>
    </xf>
    <xf numFmtId="0" fontId="0" fillId="0" borderId="11" xfId="0" applyBorder="1"/>
    <xf numFmtId="0" fontId="0" fillId="0" borderId="12" xfId="0" applyBorder="1"/>
    <xf numFmtId="0" fontId="2" fillId="0" borderId="0" xfId="0" applyFont="1" applyAlignment="1">
      <alignment horizontal="center"/>
    </xf>
    <xf numFmtId="0" fontId="0" fillId="0" borderId="13" xfId="0" applyBorder="1" applyAlignment="1">
      <alignment horizontal="left"/>
    </xf>
    <xf numFmtId="0" fontId="0" fillId="0" borderId="15" xfId="0" applyBorder="1" applyAlignment="1">
      <alignment horizontal="center"/>
    </xf>
    <xf numFmtId="0" fontId="0" fillId="0" borderId="14" xfId="0" applyBorder="1"/>
    <xf numFmtId="0" fontId="0" fillId="0" borderId="15" xfId="0" applyBorder="1"/>
    <xf numFmtId="0" fontId="0" fillId="0" borderId="0" xfId="0" applyBorder="1" applyAlignment="1">
      <alignment vertical="center"/>
    </xf>
    <xf numFmtId="0" fontId="0" fillId="0" borderId="0" xfId="0" applyFill="1" applyBorder="1" applyAlignment="1">
      <alignment vertical="center"/>
    </xf>
    <xf numFmtId="0" fontId="0" fillId="3" borderId="0" xfId="0" applyFill="1" applyBorder="1"/>
    <xf numFmtId="0" fontId="0" fillId="3" borderId="1" xfId="0" applyFill="1" applyBorder="1"/>
    <xf numFmtId="165" fontId="0" fillId="3" borderId="0" xfId="0" applyNumberFormat="1" applyFill="1" applyBorder="1" applyAlignment="1">
      <alignment horizontal="center" vertical="center"/>
    </xf>
    <xf numFmtId="165" fontId="0" fillId="3" borderId="1" xfId="0" applyNumberFormat="1" applyFill="1" applyBorder="1" applyAlignment="1">
      <alignment horizontal="center" vertical="center"/>
    </xf>
    <xf numFmtId="0" fontId="0" fillId="0" borderId="0" xfId="0" applyBorder="1" applyAlignment="1">
      <alignment horizontal="center" vertical="center"/>
    </xf>
    <xf numFmtId="0" fontId="0" fillId="3" borderId="6" xfId="0" applyFill="1" applyBorder="1" applyAlignment="1">
      <alignment horizontal="center" vertical="center"/>
    </xf>
    <xf numFmtId="0" fontId="0" fillId="3" borderId="0"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0" borderId="0" xfId="0" applyFill="1" applyBorder="1" applyAlignment="1">
      <alignment horizontal="center" vertical="center"/>
    </xf>
    <xf numFmtId="0" fontId="0" fillId="0" borderId="13" xfId="0" applyBorder="1" applyAlignment="1">
      <alignment horizontal="center"/>
    </xf>
    <xf numFmtId="0" fontId="5" fillId="0" borderId="0" xfId="0" applyFont="1"/>
    <xf numFmtId="0" fontId="0" fillId="0" borderId="0" xfId="0" applyFill="1"/>
    <xf numFmtId="0" fontId="2" fillId="0" borderId="1" xfId="0" applyFont="1" applyFill="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xf>
    <xf numFmtId="0" fontId="2" fillId="4" borderId="4" xfId="0" applyFont="1" applyFill="1" applyBorder="1" applyAlignment="1">
      <alignment horizontal="center"/>
    </xf>
    <xf numFmtId="8" fontId="0" fillId="0" borderId="0" xfId="0" applyNumberFormat="1" applyFill="1"/>
    <xf numFmtId="164" fontId="0" fillId="0" borderId="0" xfId="0" applyNumberFormat="1" applyAlignment="1">
      <alignment horizontal="center"/>
    </xf>
    <xf numFmtId="0" fontId="0" fillId="0" borderId="0" xfId="0" applyFont="1"/>
    <xf numFmtId="0" fontId="25" fillId="0" borderId="0" xfId="0" applyFont="1"/>
    <xf numFmtId="0" fontId="0" fillId="0" borderId="0" xfId="0" applyAlignment="1">
      <alignment horizontal="center"/>
    </xf>
    <xf numFmtId="0" fontId="0" fillId="0" borderId="0" xfId="0" applyFill="1" applyAlignment="1">
      <alignment horizontal="center"/>
    </xf>
    <xf numFmtId="0" fontId="3" fillId="2" borderId="2" xfId="0" applyFont="1" applyFill="1" applyBorder="1" applyAlignment="1" applyProtection="1">
      <alignment horizontal="center" vertical="center"/>
      <protection locked="0"/>
    </xf>
    <xf numFmtId="8" fontId="15" fillId="0" borderId="0" xfId="2" applyNumberFormat="1" applyFont="1" applyFill="1" applyAlignment="1" applyProtection="1">
      <alignment vertical="center"/>
    </xf>
    <xf numFmtId="6" fontId="4" fillId="0" borderId="0" xfId="2" applyNumberFormat="1" applyFont="1" applyFill="1" applyAlignment="1" applyProtection="1">
      <alignment vertical="center"/>
    </xf>
    <xf numFmtId="9" fontId="4" fillId="0" borderId="0" xfId="3" applyFont="1" applyFill="1" applyBorder="1" applyProtection="1"/>
    <xf numFmtId="166" fontId="0" fillId="0" borderId="0" xfId="1" applyNumberFormat="1" applyFont="1" applyFill="1" applyAlignment="1">
      <alignment horizontal="center" vertical="center"/>
    </xf>
    <xf numFmtId="0" fontId="27" fillId="0" borderId="0" xfId="0" applyFont="1"/>
    <xf numFmtId="8" fontId="0" fillId="0" borderId="0" xfId="0" applyNumberFormat="1"/>
    <xf numFmtId="0" fontId="29" fillId="0" borderId="0" xfId="0" applyFont="1"/>
    <xf numFmtId="0" fontId="30" fillId="0" borderId="0" xfId="0" applyFont="1" applyAlignment="1">
      <alignment horizontal="center"/>
    </xf>
    <xf numFmtId="0" fontId="0" fillId="3" borderId="0" xfId="0" applyFill="1"/>
    <xf numFmtId="6" fontId="0" fillId="0" borderId="0" xfId="0" applyNumberFormat="1" applyAlignment="1">
      <alignment horizontal="center" vertical="center"/>
    </xf>
    <xf numFmtId="0" fontId="3" fillId="0" borderId="0" xfId="0" applyFont="1"/>
    <xf numFmtId="0" fontId="5" fillId="0" borderId="0" xfId="0" applyFont="1" applyFill="1"/>
    <xf numFmtId="168" fontId="0" fillId="0" borderId="0" xfId="5" applyNumberFormat="1" applyFont="1"/>
    <xf numFmtId="0" fontId="24" fillId="0" borderId="0" xfId="0" applyFont="1"/>
    <xf numFmtId="0" fontId="32" fillId="0" borderId="0" xfId="0" applyFont="1"/>
    <xf numFmtId="0" fontId="0" fillId="0" borderId="0" xfId="0" quotePrefix="1"/>
    <xf numFmtId="0" fontId="0" fillId="0" borderId="1" xfId="0" applyFill="1" applyBorder="1" applyAlignment="1">
      <alignment vertical="center"/>
    </xf>
    <xf numFmtId="0" fontId="0" fillId="0" borderId="11" xfId="0" applyBorder="1" applyAlignment="1">
      <alignment horizontal="left" vertical="center"/>
    </xf>
    <xf numFmtId="0" fontId="2" fillId="0" borderId="1" xfId="0" applyFont="1" applyBorder="1" applyAlignment="1">
      <alignment horizont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165" fontId="0" fillId="3" borderId="6" xfId="0" applyNumberFormat="1" applyFill="1" applyBorder="1" applyAlignment="1">
      <alignment horizontal="center" vertical="center"/>
    </xf>
    <xf numFmtId="165" fontId="0" fillId="3" borderId="8" xfId="0" applyNumberFormat="1" applyFill="1" applyBorder="1" applyAlignment="1">
      <alignment horizontal="center" vertical="center"/>
    </xf>
    <xf numFmtId="0" fontId="0" fillId="3" borderId="0" xfId="0" applyFill="1" applyBorder="1" applyAlignment="1">
      <alignment horizontal="right" vertical="center"/>
    </xf>
    <xf numFmtId="0" fontId="0" fillId="3" borderId="1" xfId="0" applyFill="1" applyBorder="1" applyAlignment="1">
      <alignment horizontal="right" vertical="center"/>
    </xf>
    <xf numFmtId="0" fontId="0" fillId="3" borderId="6" xfId="0" applyFill="1" applyBorder="1" applyAlignment="1">
      <alignment horizontal="left" vertical="center"/>
    </xf>
    <xf numFmtId="0" fontId="0" fillId="3" borderId="8" xfId="0" applyFill="1" applyBorder="1" applyAlignment="1">
      <alignment horizontal="left" vertical="center"/>
    </xf>
    <xf numFmtId="165" fontId="0" fillId="8" borderId="7" xfId="0" applyNumberFormat="1" applyFill="1" applyBorder="1" applyAlignment="1">
      <alignment horizontal="center" vertical="center"/>
    </xf>
    <xf numFmtId="0" fontId="0" fillId="0" borderId="14" xfId="0" applyBorder="1" applyAlignment="1">
      <alignment horizontal="center"/>
    </xf>
    <xf numFmtId="165" fontId="0" fillId="8" borderId="0" xfId="0" applyNumberFormat="1" applyFill="1" applyBorder="1" applyAlignment="1">
      <alignment horizontal="center" vertical="center"/>
    </xf>
    <xf numFmtId="0" fontId="0" fillId="9" borderId="0" xfId="0" applyFill="1" applyBorder="1" applyAlignment="1">
      <alignment horizontal="center" vertical="center"/>
    </xf>
    <xf numFmtId="0" fontId="33" fillId="0" borderId="0" xfId="0" applyFont="1" applyBorder="1" applyAlignment="1">
      <alignment horizontal="center" vertical="center"/>
    </xf>
    <xf numFmtId="0" fontId="33" fillId="0" borderId="0" xfId="0" applyFont="1"/>
    <xf numFmtId="9" fontId="0" fillId="0" borderId="0" xfId="1" applyFont="1"/>
    <xf numFmtId="0" fontId="0" fillId="0" borderId="0" xfId="0" applyAlignment="1">
      <alignment horizontal="left" vertical="top" wrapText="1"/>
    </xf>
    <xf numFmtId="168" fontId="0" fillId="0" borderId="1" xfId="5" applyNumberFormat="1" applyFont="1" applyBorder="1"/>
    <xf numFmtId="0" fontId="0" fillId="0" borderId="0" xfId="0" applyAlignment="1">
      <alignment horizontal="left"/>
    </xf>
    <xf numFmtId="0" fontId="0" fillId="0" borderId="0" xfId="0" applyFill="1" applyAlignment="1">
      <alignment vertical="top"/>
    </xf>
    <xf numFmtId="0" fontId="2" fillId="10" borderId="0" xfId="0" applyFont="1" applyFill="1" applyBorder="1" applyAlignment="1">
      <alignment horizontal="center"/>
    </xf>
    <xf numFmtId="38" fontId="34" fillId="10" borderId="0" xfId="0" applyNumberFormat="1" applyFont="1" applyFill="1" applyBorder="1" applyAlignment="1">
      <alignment horizontal="right"/>
    </xf>
    <xf numFmtId="0" fontId="34" fillId="10" borderId="0" xfId="0" applyFont="1" applyFill="1" applyBorder="1" applyAlignment="1">
      <alignment horizontal="right"/>
    </xf>
    <xf numFmtId="0" fontId="36" fillId="10" borderId="0" xfId="0" applyFont="1" applyFill="1" applyAlignment="1">
      <alignment horizontal="right"/>
    </xf>
    <xf numFmtId="38" fontId="3" fillId="10" borderId="0" xfId="0" applyNumberFormat="1" applyFont="1" applyFill="1" applyBorder="1"/>
    <xf numFmtId="167" fontId="3" fillId="10" borderId="0" xfId="0" applyNumberFormat="1" applyFont="1" applyFill="1" applyBorder="1"/>
    <xf numFmtId="0" fontId="29" fillId="10" borderId="0" xfId="0" applyFont="1" applyFill="1"/>
    <xf numFmtId="8" fontId="2" fillId="10" borderId="0" xfId="0" applyNumberFormat="1" applyFont="1" applyFill="1" applyBorder="1"/>
    <xf numFmtId="43" fontId="29" fillId="0" borderId="0" xfId="6" applyFont="1"/>
    <xf numFmtId="0" fontId="6" fillId="7" borderId="0" xfId="0" applyFont="1" applyFill="1" applyBorder="1" applyAlignment="1">
      <alignment horizontal="center"/>
    </xf>
    <xf numFmtId="0" fontId="2" fillId="7" borderId="0" xfId="0" applyFont="1" applyFill="1" applyBorder="1" applyAlignment="1">
      <alignment horizontal="center"/>
    </xf>
    <xf numFmtId="8" fontId="0" fillId="7" borderId="0" xfId="0" applyNumberFormat="1" applyFill="1" applyBorder="1" applyAlignment="1">
      <alignment horizontal="center" vertical="center"/>
    </xf>
    <xf numFmtId="10" fontId="0" fillId="7" borderId="0" xfId="1" applyNumberFormat="1" applyFont="1" applyFill="1" applyBorder="1" applyAlignment="1">
      <alignment horizontal="center" vertical="center"/>
    </xf>
    <xf numFmtId="0" fontId="10" fillId="0" borderId="0" xfId="2" applyFont="1" applyAlignment="1" applyProtection="1">
      <alignment horizontal="left" vertical="top" wrapText="1"/>
    </xf>
    <xf numFmtId="0" fontId="13" fillId="0" borderId="0" xfId="2" applyFont="1" applyBorder="1" applyAlignment="1" applyProtection="1">
      <alignment horizontal="center"/>
    </xf>
    <xf numFmtId="0" fontId="12" fillId="0" borderId="0" xfId="2" applyFont="1" applyFill="1" applyAlignment="1" applyProtection="1">
      <alignment horizontal="center"/>
    </xf>
    <xf numFmtId="0" fontId="9" fillId="0" borderId="0" xfId="2" applyAlignment="1" applyProtection="1"/>
    <xf numFmtId="0" fontId="9" fillId="0" borderId="0" xfId="2" applyProtection="1"/>
    <xf numFmtId="0" fontId="13" fillId="0" borderId="0" xfId="2" applyFont="1" applyFill="1" applyAlignment="1" applyProtection="1">
      <alignment horizontal="center"/>
    </xf>
    <xf numFmtId="40" fontId="9" fillId="0" borderId="0" xfId="2" applyNumberFormat="1" applyProtection="1"/>
    <xf numFmtId="0" fontId="14" fillId="0" borderId="20" xfId="2" applyFont="1" applyBorder="1" applyAlignment="1" applyProtection="1">
      <alignment wrapText="1"/>
    </xf>
    <xf numFmtId="0" fontId="9" fillId="0" borderId="0" xfId="2" applyFill="1" applyProtection="1"/>
    <xf numFmtId="0" fontId="14" fillId="0" borderId="0" xfId="2" applyFont="1" applyFill="1" applyAlignment="1" applyProtection="1">
      <alignment horizontal="right" vertical="center"/>
    </xf>
    <xf numFmtId="0" fontId="10" fillId="0" borderId="0" xfId="2" applyFont="1" applyAlignment="1" applyProtection="1">
      <alignment horizontal="left" vertical="center" wrapText="1"/>
    </xf>
    <xf numFmtId="0" fontId="15" fillId="0" borderId="0" xfId="2" applyFont="1" applyAlignment="1" applyProtection="1">
      <alignment horizontal="right" vertical="center"/>
    </xf>
    <xf numFmtId="0" fontId="15" fillId="0" borderId="0" xfId="2" applyFont="1" applyFill="1" applyAlignment="1" applyProtection="1">
      <alignment horizontal="right"/>
    </xf>
    <xf numFmtId="0" fontId="9" fillId="0" borderId="0" xfId="2" applyAlignment="1" applyProtection="1">
      <alignment horizontal="right" vertical="center"/>
    </xf>
    <xf numFmtId="0" fontId="9" fillId="0" borderId="0" xfId="2" applyFill="1" applyAlignment="1" applyProtection="1">
      <alignment horizontal="right"/>
    </xf>
    <xf numFmtId="38" fontId="9" fillId="0" borderId="0" xfId="2" applyNumberFormat="1" applyAlignment="1" applyProtection="1">
      <alignment horizontal="right" vertical="center"/>
    </xf>
    <xf numFmtId="38" fontId="9" fillId="0" borderId="0" xfId="2" applyNumberFormat="1" applyFill="1" applyAlignment="1" applyProtection="1">
      <alignment horizontal="right"/>
    </xf>
    <xf numFmtId="40" fontId="10" fillId="0" borderId="0" xfId="2" applyNumberFormat="1" applyFont="1" applyAlignment="1" applyProtection="1">
      <alignment vertical="center"/>
    </xf>
    <xf numFmtId="40" fontId="28" fillId="0" borderId="0" xfId="2" applyNumberFormat="1" applyFont="1" applyProtection="1"/>
    <xf numFmtId="0" fontId="9" fillId="0" borderId="0" xfId="2" applyFill="1" applyAlignment="1" applyProtection="1">
      <alignment horizontal="right" vertical="center"/>
    </xf>
    <xf numFmtId="8" fontId="18" fillId="0" borderId="0" xfId="2" applyNumberFormat="1" applyFont="1" applyAlignment="1" applyProtection="1">
      <alignment horizontal="left" vertical="center"/>
    </xf>
    <xf numFmtId="0" fontId="16" fillId="0" borderId="0" xfId="2" applyFont="1" applyAlignment="1" applyProtection="1">
      <alignment horizontal="center"/>
    </xf>
    <xf numFmtId="8" fontId="15" fillId="0" borderId="0" xfId="2" applyNumberFormat="1" applyFont="1" applyFill="1" applyProtection="1"/>
    <xf numFmtId="38" fontId="10" fillId="0" borderId="0" xfId="2" applyNumberFormat="1" applyFont="1" applyFill="1" applyAlignment="1" applyProtection="1">
      <alignment horizontal="left" vertical="center"/>
    </xf>
    <xf numFmtId="38" fontId="15" fillId="0" borderId="0" xfId="2" applyNumberFormat="1" applyFont="1" applyAlignment="1" applyProtection="1">
      <alignment vertical="center"/>
    </xf>
    <xf numFmtId="38" fontId="15" fillId="0" borderId="0" xfId="2" applyNumberFormat="1" applyFont="1" applyFill="1" applyProtection="1"/>
    <xf numFmtId="8" fontId="15" fillId="0" borderId="0" xfId="2" applyNumberFormat="1" applyFont="1" applyProtection="1"/>
    <xf numFmtId="0" fontId="12" fillId="0" borderId="0" xfId="2" applyFont="1" applyFill="1" applyAlignment="1" applyProtection="1">
      <alignment horizontal="right" vertical="center"/>
    </xf>
    <xf numFmtId="0" fontId="12" fillId="0" borderId="0" xfId="2" applyFont="1" applyAlignment="1" applyProtection="1">
      <alignment horizontal="right" vertical="center"/>
    </xf>
    <xf numFmtId="8" fontId="12" fillId="0" borderId="0" xfId="2" applyNumberFormat="1" applyFont="1" applyAlignment="1" applyProtection="1">
      <alignment vertical="center"/>
    </xf>
    <xf numFmtId="8" fontId="9" fillId="0" borderId="0" xfId="2" applyNumberFormat="1" applyFill="1" applyProtection="1"/>
    <xf numFmtId="43" fontId="9" fillId="0" borderId="0" xfId="6" applyFont="1" applyProtection="1"/>
    <xf numFmtId="8" fontId="9" fillId="0" borderId="0" xfId="2" applyNumberFormat="1" applyProtection="1"/>
    <xf numFmtId="0" fontId="9" fillId="0" borderId="0" xfId="4" applyAlignment="1" applyProtection="1">
      <alignment horizontal="right" vertical="center"/>
    </xf>
    <xf numFmtId="0" fontId="18" fillId="0" borderId="0" xfId="2" applyFont="1" applyAlignment="1" applyProtection="1">
      <alignment vertical="center"/>
    </xf>
    <xf numFmtId="8" fontId="9" fillId="0" borderId="0" xfId="4" applyNumberFormat="1" applyAlignment="1" applyProtection="1">
      <alignment vertical="center"/>
    </xf>
    <xf numFmtId="0" fontId="12" fillId="0" borderId="0" xfId="4" applyFont="1" applyAlignment="1" applyProtection="1">
      <alignment horizontal="right" vertical="center"/>
    </xf>
    <xf numFmtId="8" fontId="12" fillId="0" borderId="0" xfId="4" applyNumberFormat="1" applyFont="1" applyAlignment="1" applyProtection="1">
      <alignment vertical="center"/>
    </xf>
    <xf numFmtId="0" fontId="22" fillId="0" borderId="0" xfId="2" applyFont="1" applyAlignment="1" applyProtection="1">
      <alignment horizontal="right" vertical="center"/>
    </xf>
    <xf numFmtId="8" fontId="9" fillId="0" borderId="0" xfId="2" applyNumberFormat="1" applyAlignment="1" applyProtection="1">
      <alignment vertical="center"/>
    </xf>
    <xf numFmtId="8" fontId="9" fillId="0" borderId="0" xfId="2" applyNumberFormat="1" applyFill="1" applyBorder="1" applyProtection="1"/>
    <xf numFmtId="0" fontId="14" fillId="0" borderId="0" xfId="2" applyFont="1" applyAlignment="1" applyProtection="1">
      <alignment horizontal="right" vertical="center"/>
    </xf>
    <xf numFmtId="8" fontId="12" fillId="0" borderId="0" xfId="2" applyNumberFormat="1" applyFont="1" applyBorder="1" applyAlignment="1" applyProtection="1">
      <alignment vertical="center"/>
    </xf>
    <xf numFmtId="8" fontId="12" fillId="0" borderId="22" xfId="2" applyNumberFormat="1" applyFont="1" applyBorder="1" applyAlignment="1" applyProtection="1">
      <alignment vertical="center"/>
    </xf>
    <xf numFmtId="8" fontId="9" fillId="0" borderId="0" xfId="2" applyNumberFormat="1" applyBorder="1" applyAlignment="1" applyProtection="1">
      <alignment vertical="center"/>
    </xf>
    <xf numFmtId="0" fontId="12" fillId="0" borderId="0" xfId="2" applyFont="1" applyAlignment="1" applyProtection="1">
      <alignment horizontal="right"/>
    </xf>
    <xf numFmtId="0" fontId="12" fillId="0" borderId="0" xfId="2" applyFont="1" applyProtection="1"/>
    <xf numFmtId="8" fontId="12" fillId="0" borderId="22" xfId="2" applyNumberFormat="1" applyFont="1" applyBorder="1" applyProtection="1"/>
    <xf numFmtId="8" fontId="12" fillId="0" borderId="0" xfId="2" applyNumberFormat="1" applyFont="1" applyBorder="1" applyProtection="1"/>
    <xf numFmtId="0" fontId="9" fillId="0" borderId="0" xfId="2" applyAlignment="1" applyProtection="1">
      <alignment horizontal="right"/>
    </xf>
    <xf numFmtId="0" fontId="9" fillId="0" borderId="0" xfId="4" applyFill="1" applyAlignment="1" applyProtection="1">
      <alignment horizontal="right" vertical="center"/>
    </xf>
    <xf numFmtId="0" fontId="9" fillId="0" borderId="0" xfId="2" applyAlignment="1" applyProtection="1">
      <alignment vertical="center"/>
    </xf>
    <xf numFmtId="0" fontId="14" fillId="0" borderId="0" xfId="4" applyFont="1" applyFill="1" applyAlignment="1" applyProtection="1">
      <alignment horizontal="right" vertical="center"/>
    </xf>
    <xf numFmtId="6" fontId="9" fillId="0" borderId="0" xfId="2" applyNumberFormat="1" applyProtection="1"/>
    <xf numFmtId="0" fontId="12" fillId="0" borderId="22" xfId="2" applyFont="1" applyBorder="1" applyProtection="1"/>
    <xf numFmtId="0" fontId="4" fillId="0" borderId="0" xfId="2" applyFont="1" applyProtection="1"/>
    <xf numFmtId="9" fontId="15" fillId="5" borderId="13" xfId="2" applyNumberFormat="1" applyFont="1" applyFill="1" applyBorder="1" applyAlignment="1" applyProtection="1">
      <alignment horizontal="left"/>
    </xf>
    <xf numFmtId="9" fontId="15" fillId="5" borderId="14" xfId="2" applyNumberFormat="1" applyFont="1" applyFill="1" applyBorder="1" applyAlignment="1" applyProtection="1">
      <alignment horizontal="left"/>
    </xf>
    <xf numFmtId="9" fontId="15" fillId="5" borderId="15" xfId="2" applyNumberFormat="1" applyFont="1" applyFill="1" applyBorder="1" applyAlignment="1" applyProtection="1">
      <alignment horizontal="left"/>
    </xf>
    <xf numFmtId="0" fontId="37" fillId="0" borderId="0" xfId="2" applyFont="1" applyFill="1" applyAlignment="1" applyProtection="1">
      <alignment horizontal="right" vertical="center"/>
    </xf>
    <xf numFmtId="0" fontId="26" fillId="0" borderId="0" xfId="4" applyFont="1" applyAlignment="1" applyProtection="1">
      <alignment horizontal="right" vertical="center"/>
    </xf>
    <xf numFmtId="8" fontId="35" fillId="0" borderId="0" xfId="4" applyNumberFormat="1" applyFont="1" applyFill="1" applyAlignment="1" applyProtection="1">
      <alignment vertical="center"/>
    </xf>
    <xf numFmtId="0" fontId="0" fillId="0" borderId="11" xfId="0" applyFont="1" applyFill="1" applyBorder="1" applyProtection="1"/>
    <xf numFmtId="6" fontId="29" fillId="0" borderId="0" xfId="0" applyNumberFormat="1" applyFont="1" applyProtection="1"/>
    <xf numFmtId="0" fontId="0" fillId="0" borderId="0" xfId="0" applyProtection="1"/>
    <xf numFmtId="0" fontId="2" fillId="0" borderId="0" xfId="0" applyFont="1" applyAlignment="1" applyProtection="1">
      <alignment horizontal="right"/>
    </xf>
    <xf numFmtId="0" fontId="6" fillId="0" borderId="0" xfId="0" applyFont="1" applyBorder="1" applyAlignment="1" applyProtection="1">
      <alignment horizontal="center"/>
    </xf>
    <xf numFmtId="0" fontId="2" fillId="0" borderId="0" xfId="0" applyFont="1" applyFill="1" applyBorder="1" applyAlignment="1" applyProtection="1">
      <alignment horizontal="center"/>
    </xf>
    <xf numFmtId="0" fontId="2" fillId="0" borderId="0" xfId="0" applyFont="1" applyFill="1" applyBorder="1" applyAlignment="1" applyProtection="1">
      <alignment horizontal="center" wrapText="1"/>
    </xf>
    <xf numFmtId="8" fontId="0" fillId="0" borderId="0" xfId="0" applyNumberFormat="1" applyFont="1" applyFill="1" applyBorder="1" applyAlignment="1" applyProtection="1">
      <alignment horizontal="center" vertical="center"/>
    </xf>
    <xf numFmtId="10" fontId="0" fillId="0" borderId="0" xfId="1" applyNumberFormat="1" applyFont="1" applyFill="1" applyBorder="1"/>
    <xf numFmtId="10" fontId="0" fillId="0" borderId="1" xfId="1" applyNumberFormat="1" applyFont="1" applyFill="1" applyBorder="1"/>
    <xf numFmtId="0" fontId="9" fillId="0" borderId="4" xfId="2" applyBorder="1" applyProtection="1"/>
    <xf numFmtId="0" fontId="9" fillId="0" borderId="5" xfId="2" applyBorder="1" applyProtection="1"/>
    <xf numFmtId="8" fontId="14" fillId="0" borderId="0" xfId="2" applyNumberFormat="1" applyFont="1" applyAlignment="1" applyProtection="1">
      <alignment vertical="center"/>
    </xf>
    <xf numFmtId="8" fontId="18" fillId="0" borderId="0" xfId="2" applyNumberFormat="1" applyFont="1" applyFill="1" applyAlignment="1" applyProtection="1">
      <alignment horizontal="left" vertical="center"/>
    </xf>
    <xf numFmtId="0" fontId="14" fillId="0" borderId="0" xfId="2" applyFont="1" applyAlignment="1" applyProtection="1">
      <alignment horizontal="right"/>
    </xf>
    <xf numFmtId="8" fontId="9" fillId="0" borderId="0" xfId="2" applyNumberFormat="1" applyAlignment="1" applyProtection="1">
      <alignment horizontal="center"/>
    </xf>
    <xf numFmtId="10" fontId="9" fillId="0" borderId="0" xfId="1" applyNumberFormat="1" applyFont="1" applyAlignment="1" applyProtection="1">
      <alignment horizontal="center"/>
    </xf>
    <xf numFmtId="6" fontId="23" fillId="11" borderId="0" xfId="0" applyNumberFormat="1" applyFont="1" applyFill="1" applyAlignment="1" applyProtection="1">
      <alignment horizontal="center" wrapText="1"/>
    </xf>
    <xf numFmtId="0" fontId="2" fillId="11" borderId="0" xfId="0" applyFont="1" applyFill="1" applyBorder="1" applyAlignment="1" applyProtection="1">
      <alignment horizontal="center" wrapText="1"/>
    </xf>
    <xf numFmtId="8" fontId="9" fillId="0" borderId="21" xfId="2" applyNumberFormat="1" applyFill="1" applyBorder="1" applyProtection="1"/>
    <xf numFmtId="8" fontId="18" fillId="0" borderId="21" xfId="2" applyNumberFormat="1" applyFont="1" applyFill="1" applyBorder="1" applyAlignment="1" applyProtection="1">
      <alignment horizontal="left" vertical="center"/>
    </xf>
    <xf numFmtId="0" fontId="9" fillId="0" borderId="0" xfId="2" applyFill="1" applyBorder="1" applyProtection="1"/>
    <xf numFmtId="0" fontId="12" fillId="0" borderId="0" xfId="2" applyFont="1" applyFill="1" applyBorder="1" applyAlignment="1" applyProtection="1">
      <alignment horizontal="right" vertical="center"/>
    </xf>
    <xf numFmtId="0" fontId="12" fillId="0" borderId="0" xfId="4" applyFont="1" applyBorder="1" applyAlignment="1" applyProtection="1">
      <alignment horizontal="right" vertical="center"/>
    </xf>
    <xf numFmtId="8" fontId="18" fillId="0" borderId="0" xfId="2" applyNumberFormat="1" applyFont="1" applyFill="1" applyBorder="1" applyAlignment="1" applyProtection="1">
      <alignment horizontal="left" vertical="center"/>
    </xf>
    <xf numFmtId="8" fontId="18" fillId="0" borderId="0" xfId="2" applyNumberFormat="1" applyFont="1" applyBorder="1" applyAlignment="1" applyProtection="1">
      <alignment horizontal="left" vertical="center"/>
    </xf>
    <xf numFmtId="0" fontId="9" fillId="0" borderId="0" xfId="2" applyBorder="1" applyProtection="1"/>
    <xf numFmtId="9" fontId="9" fillId="0" borderId="0" xfId="1" applyFont="1" applyProtection="1"/>
    <xf numFmtId="0" fontId="12" fillId="0" borderId="0" xfId="4" applyFont="1" applyFill="1" applyAlignment="1" applyProtection="1">
      <alignment horizontal="right" vertical="center"/>
    </xf>
    <xf numFmtId="8" fontId="12" fillId="0" borderId="0" xfId="4" applyNumberFormat="1" applyFont="1" applyFill="1" applyAlignment="1" applyProtection="1">
      <alignment vertical="center"/>
    </xf>
    <xf numFmtId="8" fontId="9" fillId="0" borderId="1" xfId="2" applyNumberFormat="1" applyFill="1" applyBorder="1" applyProtection="1"/>
    <xf numFmtId="8" fontId="18" fillId="0" borderId="1" xfId="2" applyNumberFormat="1" applyFont="1" applyFill="1" applyBorder="1" applyAlignment="1" applyProtection="1">
      <alignment horizontal="left" vertical="center"/>
    </xf>
    <xf numFmtId="10" fontId="15" fillId="0" borderId="0" xfId="1" applyNumberFormat="1" applyFont="1" applyFill="1" applyBorder="1" applyAlignment="1" applyProtection="1">
      <alignment vertical="center"/>
    </xf>
    <xf numFmtId="0" fontId="9" fillId="0" borderId="8" xfId="2" applyBorder="1" applyProtection="1"/>
    <xf numFmtId="38" fontId="9" fillId="0" borderId="9" xfId="2" applyNumberFormat="1" applyFill="1" applyBorder="1" applyProtection="1"/>
    <xf numFmtId="0" fontId="40" fillId="0" borderId="27" xfId="2" applyFont="1" applyBorder="1" applyProtection="1"/>
    <xf numFmtId="6" fontId="40" fillId="0" borderId="26" xfId="2" applyNumberFormat="1" applyFont="1" applyFill="1" applyBorder="1" applyProtection="1"/>
    <xf numFmtId="0" fontId="40" fillId="0" borderId="28" xfId="2" applyFont="1" applyBorder="1" applyProtection="1"/>
    <xf numFmtId="6" fontId="40" fillId="0" borderId="29" xfId="2" applyNumberFormat="1" applyFont="1" applyFill="1" applyBorder="1" applyProtection="1"/>
    <xf numFmtId="0" fontId="40" fillId="0" borderId="28" xfId="2" applyFont="1" applyFill="1" applyBorder="1" applyProtection="1"/>
    <xf numFmtId="0" fontId="0" fillId="0" borderId="11" xfId="0" applyBorder="1" applyAlignment="1">
      <alignment horizontal="left" vertical="center"/>
    </xf>
    <xf numFmtId="8" fontId="17" fillId="0" borderId="0" xfId="6" applyNumberFormat="1" applyFont="1" applyFill="1" applyAlignment="1" applyProtection="1">
      <alignment horizontal="left" vertical="center"/>
    </xf>
    <xf numFmtId="43" fontId="17" fillId="0" borderId="0" xfId="6" applyFont="1" applyFill="1" applyAlignment="1" applyProtection="1">
      <alignment horizontal="left" vertical="center"/>
    </xf>
    <xf numFmtId="8" fontId="17" fillId="0" borderId="0" xfId="2" applyNumberFormat="1" applyFont="1" applyFill="1" applyAlignment="1" applyProtection="1">
      <alignment horizontal="left" vertical="center"/>
    </xf>
    <xf numFmtId="8" fontId="38" fillId="0" borderId="0" xfId="2" applyNumberFormat="1" applyFont="1" applyFill="1" applyAlignment="1" applyProtection="1">
      <alignment horizontal="left" vertical="center"/>
    </xf>
    <xf numFmtId="43" fontId="9" fillId="0" borderId="0" xfId="6" applyFont="1" applyFill="1" applyProtection="1"/>
    <xf numFmtId="0" fontId="12" fillId="0" borderId="1" xfId="2" applyFont="1" applyFill="1" applyBorder="1" applyAlignment="1" applyProtection="1">
      <alignment horizontal="right" vertical="center"/>
    </xf>
    <xf numFmtId="0" fontId="12" fillId="0" borderId="1" xfId="4" applyFont="1" applyFill="1" applyBorder="1" applyAlignment="1" applyProtection="1">
      <alignment horizontal="right" vertical="center"/>
    </xf>
    <xf numFmtId="8" fontId="12" fillId="0" borderId="1" xfId="4" applyNumberFormat="1" applyFont="1" applyFill="1" applyBorder="1" applyAlignment="1" applyProtection="1">
      <alignment vertical="center"/>
    </xf>
    <xf numFmtId="8" fontId="21" fillId="0" borderId="0" xfId="1" applyNumberFormat="1" applyFont="1" applyFill="1" applyAlignment="1" applyProtection="1">
      <alignment vertical="center"/>
    </xf>
    <xf numFmtId="8" fontId="21" fillId="0" borderId="0" xfId="1" applyNumberFormat="1" applyFont="1" applyFill="1" applyAlignment="1" applyProtection="1">
      <alignment horizontal="right" vertical="center" indent="1"/>
    </xf>
    <xf numFmtId="0" fontId="22" fillId="0" borderId="0" xfId="2" applyFont="1" applyFill="1" applyAlignment="1" applyProtection="1">
      <alignment horizontal="right" vertical="center"/>
    </xf>
    <xf numFmtId="0" fontId="12" fillId="0" borderId="21" xfId="4" applyFont="1" applyFill="1" applyBorder="1" applyAlignment="1" applyProtection="1">
      <alignment horizontal="right" vertical="center"/>
    </xf>
    <xf numFmtId="0" fontId="12" fillId="0" borderId="0" xfId="2" applyFont="1" applyFill="1" applyAlignment="1" applyProtection="1">
      <alignment horizontal="right"/>
    </xf>
    <xf numFmtId="0" fontId="12" fillId="0" borderId="0" xfId="2" applyFont="1" applyFill="1" applyProtection="1"/>
    <xf numFmtId="8" fontId="9" fillId="6" borderId="0" xfId="2" applyNumberFormat="1" applyFill="1" applyProtection="1"/>
    <xf numFmtId="0" fontId="12" fillId="0" borderId="0" xfId="4" applyFont="1" applyFill="1" applyBorder="1" applyAlignment="1" applyProtection="1">
      <alignment horizontal="right" vertical="center"/>
    </xf>
    <xf numFmtId="44" fontId="9" fillId="0" borderId="0" xfId="5" applyFont="1" applyProtection="1"/>
    <xf numFmtId="0" fontId="14" fillId="0" borderId="0" xfId="2" applyFont="1" applyFill="1" applyBorder="1" applyAlignment="1" applyProtection="1">
      <alignment horizontal="right" vertical="center"/>
    </xf>
    <xf numFmtId="0" fontId="20" fillId="0" borderId="0" xfId="2" applyFont="1" applyProtection="1"/>
    <xf numFmtId="8" fontId="21" fillId="0" borderId="0" xfId="1" applyNumberFormat="1" applyFont="1" applyFill="1" applyBorder="1" applyAlignment="1" applyProtection="1">
      <alignment horizontal="right" vertical="center" indent="1"/>
    </xf>
    <xf numFmtId="8" fontId="39" fillId="0" borderId="0" xfId="2" applyNumberFormat="1" applyFont="1" applyFill="1" applyBorder="1" applyAlignment="1" applyProtection="1">
      <alignment horizontal="left" vertical="center"/>
    </xf>
    <xf numFmtId="0" fontId="13" fillId="0" borderId="0" xfId="2" applyFont="1" applyFill="1" applyBorder="1" applyProtection="1"/>
    <xf numFmtId="0" fontId="0" fillId="3" borderId="9" xfId="0" applyFill="1" applyBorder="1" applyAlignment="1">
      <alignment horizontal="left" vertical="center"/>
    </xf>
    <xf numFmtId="0" fontId="0" fillId="3" borderId="7" xfId="0" applyFill="1" applyBorder="1" applyAlignment="1">
      <alignment horizontal="center" vertical="center"/>
    </xf>
    <xf numFmtId="0" fontId="0" fillId="0" borderId="0" xfId="0" applyFill="1" applyBorder="1" applyAlignment="1">
      <alignment horizontal="left" vertical="center"/>
    </xf>
    <xf numFmtId="14" fontId="0" fillId="8" borderId="7" xfId="0" applyNumberFormat="1" applyFill="1" applyBorder="1" applyAlignment="1">
      <alignment horizontal="center"/>
    </xf>
    <xf numFmtId="0" fontId="0" fillId="0" borderId="12" xfId="0" applyBorder="1" applyAlignment="1">
      <alignment horizontal="left" vertical="center"/>
    </xf>
    <xf numFmtId="0" fontId="2" fillId="12" borderId="4" xfId="0" applyFont="1" applyFill="1" applyBorder="1" applyAlignment="1">
      <alignment horizontal="center"/>
    </xf>
    <xf numFmtId="0" fontId="13" fillId="0" borderId="4" xfId="2" applyFont="1" applyBorder="1" applyAlignment="1" applyProtection="1">
      <alignment horizontal="center"/>
    </xf>
    <xf numFmtId="8" fontId="4" fillId="0" borderId="0" xfId="2" applyNumberFormat="1" applyFont="1" applyFill="1" applyBorder="1" applyAlignment="1" applyProtection="1">
      <alignment vertical="center"/>
    </xf>
    <xf numFmtId="8" fontId="15" fillId="0" borderId="0" xfId="2" applyNumberFormat="1" applyFont="1" applyFill="1" applyBorder="1" applyAlignment="1" applyProtection="1">
      <alignment horizontal="right" vertical="center"/>
    </xf>
    <xf numFmtId="8" fontId="15" fillId="0" borderId="22" xfId="2" applyNumberFormat="1" applyFont="1" applyFill="1" applyBorder="1" applyAlignment="1" applyProtection="1">
      <alignment horizontal="right" vertical="center"/>
    </xf>
    <xf numFmtId="8" fontId="15" fillId="0" borderId="4" xfId="2" applyNumberFormat="1" applyFont="1" applyFill="1" applyBorder="1" applyAlignment="1" applyProtection="1">
      <alignment horizontal="right" vertical="center"/>
    </xf>
    <xf numFmtId="8" fontId="14" fillId="0" borderId="0" xfId="4" applyNumberFormat="1" applyFont="1" applyFill="1" applyAlignment="1" applyProtection="1">
      <alignment vertical="center"/>
    </xf>
    <xf numFmtId="8" fontId="12" fillId="0" borderId="0" xfId="4" applyNumberFormat="1" applyFont="1" applyFill="1" applyAlignment="1" applyProtection="1">
      <alignment horizontal="right" vertical="center" indent="1"/>
    </xf>
    <xf numFmtId="8" fontId="12" fillId="0" borderId="21" xfId="4" applyNumberFormat="1" applyFont="1" applyFill="1" applyBorder="1" applyAlignment="1" applyProtection="1">
      <alignment vertical="center"/>
    </xf>
    <xf numFmtId="10" fontId="14" fillId="0" borderId="0" xfId="3" applyNumberFormat="1" applyFont="1" applyBorder="1" applyAlignment="1" applyProtection="1">
      <alignment horizontal="center" vertical="center"/>
    </xf>
    <xf numFmtId="8" fontId="15" fillId="0" borderId="22" xfId="2" applyNumberFormat="1" applyFont="1" applyBorder="1" applyAlignment="1" applyProtection="1">
      <alignment horizontal="right" vertical="center"/>
    </xf>
    <xf numFmtId="0" fontId="13" fillId="0" borderId="3" xfId="2" applyFont="1" applyBorder="1" applyProtection="1"/>
    <xf numFmtId="0" fontId="41" fillId="0" borderId="4" xfId="2" applyFont="1" applyBorder="1" applyAlignment="1" applyProtection="1">
      <alignment horizontal="right"/>
    </xf>
    <xf numFmtId="0" fontId="41" fillId="0" borderId="5" xfId="2" applyFont="1" applyBorder="1" applyAlignment="1" applyProtection="1">
      <alignment horizontal="right"/>
    </xf>
    <xf numFmtId="8" fontId="12" fillId="0" borderId="0" xfId="4" applyNumberFormat="1" applyFont="1" applyBorder="1" applyAlignment="1" applyProtection="1">
      <alignment vertical="center"/>
    </xf>
    <xf numFmtId="0" fontId="9" fillId="0" borderId="25" xfId="4" applyBorder="1" applyAlignment="1" applyProtection="1">
      <alignment horizontal="right" vertical="center"/>
    </xf>
    <xf numFmtId="8" fontId="29" fillId="0" borderId="0" xfId="0" applyNumberFormat="1" applyFont="1" applyFill="1"/>
    <xf numFmtId="10" fontId="4" fillId="13" borderId="30" xfId="3" applyNumberFormat="1" applyFont="1" applyFill="1" applyBorder="1" applyAlignment="1" applyProtection="1">
      <alignment vertical="center"/>
      <protection locked="0"/>
    </xf>
    <xf numFmtId="8" fontId="4" fillId="13" borderId="30" xfId="2" applyNumberFormat="1" applyFont="1" applyFill="1" applyBorder="1" applyAlignment="1" applyProtection="1">
      <alignment horizontal="right" vertical="center" indent="1"/>
      <protection locked="0"/>
    </xf>
    <xf numFmtId="8" fontId="4" fillId="13" borderId="30" xfId="2" applyNumberFormat="1" applyFont="1" applyFill="1" applyBorder="1" applyAlignment="1" applyProtection="1">
      <alignment vertical="center"/>
      <protection locked="0"/>
    </xf>
    <xf numFmtId="0" fontId="16" fillId="13" borderId="25" xfId="2" applyFont="1" applyFill="1" applyBorder="1" applyAlignment="1" applyProtection="1">
      <alignment horizontal="center" vertical="center"/>
      <protection locked="0"/>
    </xf>
    <xf numFmtId="8" fontId="4" fillId="13" borderId="32" xfId="2" applyNumberFormat="1" applyFont="1" applyFill="1" applyBorder="1" applyAlignment="1" applyProtection="1">
      <alignment vertical="center"/>
      <protection locked="0"/>
    </xf>
    <xf numFmtId="8" fontId="4" fillId="13" borderId="31" xfId="2" applyNumberFormat="1" applyFont="1" applyFill="1" applyBorder="1" applyAlignment="1" applyProtection="1">
      <alignment vertical="center"/>
      <protection locked="0"/>
    </xf>
    <xf numFmtId="0" fontId="41" fillId="0" borderId="34" xfId="2" applyFont="1" applyBorder="1" applyAlignment="1" applyProtection="1">
      <alignment horizontal="right"/>
    </xf>
    <xf numFmtId="0" fontId="41" fillId="0" borderId="35" xfId="2" applyFont="1" applyBorder="1" applyAlignment="1" applyProtection="1">
      <alignment horizontal="right"/>
    </xf>
    <xf numFmtId="6" fontId="40" fillId="0" borderId="36" xfId="2" applyNumberFormat="1" applyFont="1" applyFill="1" applyBorder="1" applyProtection="1"/>
    <xf numFmtId="6" fontId="40" fillId="0" borderId="37" xfId="0" applyNumberFormat="1" applyFont="1" applyFill="1" applyBorder="1" applyAlignment="1" applyProtection="1">
      <alignment horizontal="right" vertical="center"/>
    </xf>
    <xf numFmtId="6" fontId="40" fillId="0" borderId="38" xfId="2" applyNumberFormat="1" applyFont="1" applyFill="1" applyBorder="1" applyProtection="1"/>
    <xf numFmtId="6" fontId="40" fillId="0" borderId="37" xfId="2" applyNumberFormat="1" applyFont="1" applyFill="1" applyBorder="1" applyProtection="1"/>
    <xf numFmtId="38" fontId="9" fillId="0" borderId="40" xfId="2" applyNumberFormat="1" applyFill="1" applyBorder="1" applyProtection="1"/>
    <xf numFmtId="6" fontId="42" fillId="13" borderId="33" xfId="0" applyNumberFormat="1" applyFont="1" applyFill="1" applyBorder="1" applyAlignment="1" applyProtection="1">
      <alignment horizontal="right" vertical="center"/>
      <protection locked="0"/>
    </xf>
    <xf numFmtId="0" fontId="42" fillId="13" borderId="42" xfId="2" applyFont="1" applyFill="1" applyBorder="1" applyAlignment="1" applyProtection="1">
      <alignment horizontal="center"/>
      <protection locked="0"/>
    </xf>
    <xf numFmtId="8" fontId="4" fillId="13" borderId="43" xfId="2" applyNumberFormat="1" applyFont="1" applyFill="1" applyBorder="1" applyAlignment="1" applyProtection="1">
      <alignment vertical="center"/>
      <protection locked="0"/>
    </xf>
    <xf numFmtId="8" fontId="4" fillId="13" borderId="44" xfId="2" applyNumberFormat="1" applyFont="1" applyFill="1" applyBorder="1" applyAlignment="1" applyProtection="1">
      <alignment vertical="center"/>
      <protection locked="0"/>
    </xf>
    <xf numFmtId="6" fontId="40" fillId="0" borderId="45" xfId="0" applyNumberFormat="1" applyFont="1" applyFill="1" applyBorder="1" applyAlignment="1" applyProtection="1">
      <alignment horizontal="right" vertical="center"/>
    </xf>
    <xf numFmtId="6" fontId="40" fillId="0" borderId="46" xfId="0" applyNumberFormat="1" applyFont="1" applyFill="1" applyBorder="1" applyAlignment="1" applyProtection="1">
      <alignment horizontal="right" vertical="center"/>
    </xf>
    <xf numFmtId="6" fontId="40" fillId="0" borderId="45" xfId="2" applyNumberFormat="1" applyFont="1" applyFill="1" applyBorder="1" applyProtection="1"/>
    <xf numFmtId="6" fontId="40" fillId="0" borderId="46" xfId="2" applyNumberFormat="1" applyFont="1" applyFill="1" applyBorder="1" applyProtection="1"/>
    <xf numFmtId="6" fontId="42" fillId="13" borderId="45" xfId="0" applyNumberFormat="1" applyFont="1" applyFill="1" applyBorder="1" applyAlignment="1" applyProtection="1">
      <alignment horizontal="right" vertical="center"/>
      <protection locked="0"/>
    </xf>
    <xf numFmtId="38" fontId="42" fillId="13" borderId="47" xfId="2" applyNumberFormat="1" applyFont="1" applyFill="1" applyBorder="1" applyProtection="1">
      <protection locked="0"/>
    </xf>
    <xf numFmtId="38" fontId="42" fillId="13" borderId="48" xfId="2" applyNumberFormat="1" applyFont="1" applyFill="1" applyBorder="1" applyProtection="1">
      <protection locked="0"/>
    </xf>
    <xf numFmtId="6" fontId="42" fillId="13" borderId="41" xfId="0" applyNumberFormat="1" applyFont="1" applyFill="1" applyBorder="1" applyAlignment="1" applyProtection="1">
      <alignment horizontal="right" vertical="center"/>
      <protection locked="0"/>
    </xf>
    <xf numFmtId="38" fontId="42" fillId="13" borderId="39" xfId="2" applyNumberFormat="1" applyFont="1" applyFill="1" applyBorder="1" applyProtection="1">
      <protection locked="0"/>
    </xf>
    <xf numFmtId="8" fontId="14" fillId="0" borderId="0" xfId="2" applyNumberFormat="1" applyFont="1" applyFill="1" applyAlignment="1" applyProtection="1">
      <alignment vertical="center"/>
    </xf>
    <xf numFmtId="8" fontId="12" fillId="0" borderId="0" xfId="2" applyNumberFormat="1" applyFont="1" applyFill="1" applyBorder="1" applyAlignment="1" applyProtection="1">
      <alignment vertical="center"/>
    </xf>
    <xf numFmtId="8" fontId="40" fillId="0" borderId="0" xfId="1" applyNumberFormat="1" applyFont="1" applyFill="1" applyAlignment="1" applyProtection="1">
      <alignment horizontal="right" vertical="center"/>
    </xf>
    <xf numFmtId="8" fontId="15" fillId="0" borderId="0" xfId="1" applyNumberFormat="1" applyFont="1" applyFill="1" applyAlignment="1" applyProtection="1">
      <alignment horizontal="right" vertical="center"/>
    </xf>
    <xf numFmtId="8" fontId="14" fillId="0" borderId="22" xfId="4" applyNumberFormat="1" applyFont="1" applyFill="1" applyBorder="1" applyAlignment="1" applyProtection="1">
      <alignment horizontal="right" vertical="center"/>
    </xf>
    <xf numFmtId="8" fontId="9" fillId="0" borderId="0" xfId="2" applyNumberFormat="1" applyFill="1" applyBorder="1" applyAlignment="1" applyProtection="1">
      <alignment vertical="center"/>
    </xf>
    <xf numFmtId="8" fontId="18" fillId="0" borderId="0" xfId="2" applyNumberFormat="1" applyFont="1" applyAlignment="1">
      <alignment horizontal="left" vertical="center"/>
    </xf>
    <xf numFmtId="0" fontId="18" fillId="0" borderId="0" xfId="2" quotePrefix="1" applyFont="1" applyAlignment="1" applyProtection="1">
      <alignment vertical="center"/>
    </xf>
    <xf numFmtId="8" fontId="18" fillId="0" borderId="0" xfId="2" applyNumberFormat="1" applyFont="1" applyProtection="1"/>
    <xf numFmtId="8" fontId="18" fillId="0" borderId="0" xfId="2" applyNumberFormat="1" applyFont="1" applyFill="1" applyProtection="1"/>
    <xf numFmtId="8" fontId="18" fillId="0" borderId="0" xfId="2" quotePrefix="1" applyNumberFormat="1" applyFont="1" applyFill="1" applyProtection="1"/>
    <xf numFmtId="0" fontId="9" fillId="0" borderId="0" xfId="2" quotePrefix="1" applyProtection="1"/>
    <xf numFmtId="9" fontId="15" fillId="0" borderId="0" xfId="3" applyFont="1" applyFill="1" applyBorder="1" applyAlignment="1" applyProtection="1">
      <alignment vertical="center"/>
    </xf>
    <xf numFmtId="8" fontId="9" fillId="0" borderId="0" xfId="2" applyNumberFormat="1" applyFill="1" applyAlignment="1" applyProtection="1">
      <alignment vertical="center"/>
    </xf>
    <xf numFmtId="8" fontId="14" fillId="0" borderId="0" xfId="2" applyNumberFormat="1" applyFont="1" applyFill="1" applyAlignment="1" applyProtection="1">
      <alignment horizontal="right" vertical="center" indent="1"/>
    </xf>
    <xf numFmtId="8" fontId="9" fillId="6" borderId="0" xfId="2" applyNumberFormat="1" applyFill="1" applyAlignment="1" applyProtection="1">
      <alignment vertical="center"/>
    </xf>
    <xf numFmtId="0" fontId="15" fillId="6" borderId="0" xfId="2" applyFont="1" applyFill="1" applyAlignment="1" applyProtection="1">
      <alignment horizontal="right" vertical="center"/>
    </xf>
    <xf numFmtId="0" fontId="9" fillId="6" borderId="0" xfId="2" applyFill="1" applyAlignment="1" applyProtection="1">
      <alignment horizontal="right" vertical="center"/>
    </xf>
    <xf numFmtId="38" fontId="9" fillId="6" borderId="0" xfId="2" applyNumberFormat="1" applyFill="1" applyAlignment="1" applyProtection="1">
      <alignment horizontal="right" vertical="center"/>
    </xf>
    <xf numFmtId="9" fontId="4" fillId="6" borderId="0" xfId="3" applyFont="1" applyFill="1" applyBorder="1" applyAlignment="1" applyProtection="1">
      <alignment vertical="center"/>
    </xf>
    <xf numFmtId="8" fontId="15" fillId="6" borderId="0" xfId="2" applyNumberFormat="1" applyFont="1" applyFill="1" applyAlignment="1" applyProtection="1">
      <alignment vertical="center"/>
    </xf>
    <xf numFmtId="38" fontId="15" fillId="6" borderId="0" xfId="2" applyNumberFormat="1" applyFont="1" applyFill="1" applyAlignment="1" applyProtection="1">
      <alignment vertical="center"/>
    </xf>
    <xf numFmtId="8" fontId="12" fillId="0" borderId="0" xfId="2" quotePrefix="1" applyNumberFormat="1" applyFont="1" applyFill="1" applyAlignment="1" applyProtection="1">
      <alignment vertical="center"/>
    </xf>
    <xf numFmtId="8" fontId="12" fillId="0" borderId="1" xfId="4" applyNumberFormat="1" applyFont="1" applyBorder="1" applyAlignment="1" applyProtection="1">
      <alignment vertical="center"/>
    </xf>
    <xf numFmtId="8" fontId="9" fillId="0" borderId="1" xfId="2" applyNumberFormat="1" applyBorder="1" applyProtection="1"/>
    <xf numFmtId="8" fontId="18" fillId="0" borderId="1" xfId="2" applyNumberFormat="1" applyFont="1" applyBorder="1" applyAlignment="1">
      <alignment horizontal="left" vertical="center"/>
    </xf>
    <xf numFmtId="0" fontId="18" fillId="0" borderId="0" xfId="2" applyFont="1" applyFill="1" applyAlignment="1" applyProtection="1">
      <alignment vertical="center"/>
    </xf>
    <xf numFmtId="8" fontId="18" fillId="0" borderId="0" xfId="2" applyNumberFormat="1" applyFont="1" applyAlignment="1">
      <alignment horizontal="left"/>
    </xf>
    <xf numFmtId="8" fontId="9" fillId="0" borderId="0" xfId="2" quotePrefix="1" applyNumberFormat="1" applyAlignment="1" applyProtection="1">
      <alignment vertical="center"/>
    </xf>
    <xf numFmtId="8" fontId="18" fillId="0" borderId="0" xfId="2" applyNumberFormat="1" applyFont="1" applyFill="1" applyAlignment="1" applyProtection="1">
      <alignment vertical="center"/>
    </xf>
    <xf numFmtId="0" fontId="18" fillId="0" borderId="0" xfId="2" applyFont="1" applyAlignment="1" applyProtection="1">
      <alignment horizontal="left" vertical="center"/>
    </xf>
    <xf numFmtId="8" fontId="18" fillId="0" borderId="0" xfId="2" quotePrefix="1" applyNumberFormat="1" applyFont="1" applyFill="1" applyAlignment="1" applyProtection="1">
      <alignment horizontal="left" vertical="center"/>
    </xf>
    <xf numFmtId="8" fontId="40" fillId="0" borderId="0" xfId="1" applyNumberFormat="1" applyFont="1" applyFill="1" applyBorder="1" applyAlignment="1" applyProtection="1">
      <alignment horizontal="right" vertical="center" indent="1"/>
    </xf>
    <xf numFmtId="8" fontId="40" fillId="0" borderId="0" xfId="1" applyNumberFormat="1" applyFont="1" applyFill="1" applyBorder="1" applyAlignment="1" applyProtection="1">
      <alignment horizontal="right" vertical="center"/>
    </xf>
    <xf numFmtId="0" fontId="0" fillId="9" borderId="7" xfId="0" applyFill="1" applyBorder="1" applyAlignment="1">
      <alignment horizontal="left" vertical="center"/>
    </xf>
    <xf numFmtId="0" fontId="0" fillId="9" borderId="7" xfId="0" applyFill="1" applyBorder="1" applyAlignment="1">
      <alignment horizontal="center" vertical="center"/>
    </xf>
    <xf numFmtId="0" fontId="0" fillId="8" borderId="7" xfId="0" applyFill="1" applyBorder="1" applyAlignment="1">
      <alignment horizontal="right" vertical="center"/>
    </xf>
    <xf numFmtId="0" fontId="2" fillId="14" borderId="4" xfId="0" applyFont="1" applyFill="1" applyBorder="1" applyAlignment="1">
      <alignment horizontal="center"/>
    </xf>
    <xf numFmtId="0" fontId="0" fillId="8" borderId="7" xfId="0" applyFill="1" applyBorder="1" applyAlignment="1">
      <alignment horizontal="left" vertical="center"/>
    </xf>
    <xf numFmtId="0" fontId="0" fillId="8" borderId="7" xfId="0" applyFill="1" applyBorder="1" applyAlignment="1">
      <alignment horizontal="center" vertical="center"/>
    </xf>
    <xf numFmtId="0" fontId="0" fillId="9" borderId="4" xfId="0" applyFill="1" applyBorder="1" applyAlignment="1">
      <alignment horizontal="center" vertical="center"/>
    </xf>
    <xf numFmtId="0" fontId="0" fillId="15" borderId="5" xfId="0" applyFill="1" applyBorder="1" applyAlignment="1">
      <alignment horizontal="left" vertical="center"/>
    </xf>
    <xf numFmtId="0" fontId="0" fillId="15" borderId="7" xfId="0" applyFill="1" applyBorder="1" applyAlignment="1">
      <alignment horizontal="left" vertical="center"/>
    </xf>
    <xf numFmtId="0" fontId="0" fillId="15" borderId="5" xfId="0" applyFill="1" applyBorder="1" applyAlignment="1">
      <alignment horizontal="center" vertical="center"/>
    </xf>
    <xf numFmtId="0" fontId="0" fillId="15" borderId="7" xfId="0" applyFill="1" applyBorder="1" applyAlignment="1">
      <alignment horizontal="center" vertical="center"/>
    </xf>
    <xf numFmtId="165" fontId="0" fillId="15" borderId="7" xfId="0" applyNumberFormat="1" applyFill="1" applyBorder="1" applyAlignment="1">
      <alignment horizontal="center" vertical="center"/>
    </xf>
    <xf numFmtId="0" fontId="0" fillId="15" borderId="7" xfId="0" applyFill="1" applyBorder="1" applyAlignment="1">
      <alignment horizontal="right" vertical="center"/>
    </xf>
    <xf numFmtId="0" fontId="0" fillId="8" borderId="0" xfId="0" applyFill="1" applyBorder="1" applyAlignment="1">
      <alignment horizontal="right" vertical="center"/>
    </xf>
    <xf numFmtId="0" fontId="9" fillId="0" borderId="0" xfId="2" applyFill="1" applyAlignment="1" applyProtection="1"/>
    <xf numFmtId="6" fontId="3" fillId="2" borderId="23" xfId="0" applyNumberFormat="1"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8" fontId="2" fillId="0" borderId="49" xfId="0" applyNumberFormat="1" applyFont="1" applyFill="1" applyBorder="1" applyAlignment="1" applyProtection="1">
      <alignment horizontal="center" vertical="center"/>
    </xf>
    <xf numFmtId="8" fontId="0" fillId="0" borderId="12" xfId="0" applyNumberFormat="1" applyFill="1" applyBorder="1" applyAlignment="1" applyProtection="1">
      <alignment horizontal="center" vertical="center"/>
    </xf>
    <xf numFmtId="6" fontId="29" fillId="0" borderId="12" xfId="0" applyNumberFormat="1" applyFont="1" applyBorder="1" applyAlignment="1" applyProtection="1">
      <alignment horizontal="center"/>
    </xf>
    <xf numFmtId="6" fontId="0" fillId="0" borderId="12" xfId="0" applyNumberFormat="1" applyFill="1" applyBorder="1" applyAlignment="1" applyProtection="1">
      <alignment horizontal="center" vertical="center"/>
    </xf>
    <xf numFmtId="10" fontId="0" fillId="0" borderId="12" xfId="1" applyNumberFormat="1" applyFont="1" applyFill="1" applyBorder="1" applyAlignment="1" applyProtection="1">
      <alignment horizontal="center" vertical="center"/>
    </xf>
    <xf numFmtId="9" fontId="0" fillId="0" borderId="0" xfId="1" applyFont="1" applyFill="1" applyBorder="1" applyAlignment="1">
      <alignment horizontal="center" vertical="center"/>
    </xf>
    <xf numFmtId="0" fontId="0" fillId="3" borderId="1" xfId="0" applyFill="1" applyBorder="1" applyAlignment="1">
      <alignment horizontal="left" vertical="center"/>
    </xf>
    <xf numFmtId="0" fontId="0" fillId="0" borderId="0" xfId="0" applyAlignment="1">
      <alignment horizontal="right"/>
    </xf>
    <xf numFmtId="0" fontId="0" fillId="0" borderId="11" xfId="0" applyBorder="1" applyAlignment="1">
      <alignment horizontal="left" vertical="center"/>
    </xf>
    <xf numFmtId="165" fontId="0" fillId="0" borderId="12" xfId="0" applyNumberFormat="1" applyBorder="1" applyAlignment="1">
      <alignment horizontal="center" vertical="center"/>
    </xf>
    <xf numFmtId="0" fontId="0" fillId="0" borderId="11" xfId="0" applyBorder="1" applyAlignment="1">
      <alignment horizontal="left" vertical="center"/>
    </xf>
    <xf numFmtId="0" fontId="3" fillId="2" borderId="2" xfId="0" applyFont="1" applyFill="1" applyBorder="1" applyAlignment="1" applyProtection="1">
      <alignment horizontal="left" wrapText="1"/>
      <protection locked="0"/>
    </xf>
    <xf numFmtId="0" fontId="2" fillId="0" borderId="1" xfId="0" applyFont="1" applyBorder="1" applyAlignment="1">
      <alignment horizontal="center"/>
    </xf>
    <xf numFmtId="0" fontId="3" fillId="2" borderId="2" xfId="0" applyFont="1" applyFill="1" applyBorder="1" applyAlignment="1" applyProtection="1">
      <alignment horizontal="center"/>
      <protection locked="0"/>
    </xf>
    <xf numFmtId="0" fontId="2" fillId="0" borderId="0" xfId="0" applyFont="1" applyAlignment="1">
      <alignment horizontal="left" wrapText="1"/>
    </xf>
    <xf numFmtId="0" fontId="2" fillId="0" borderId="0" xfId="0" applyFont="1" applyAlignment="1">
      <alignment horizontal="left"/>
    </xf>
    <xf numFmtId="0" fontId="2" fillId="7" borderId="16"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16" xfId="0" applyFont="1" applyFill="1" applyBorder="1" applyAlignment="1">
      <alignment horizontal="center"/>
    </xf>
    <xf numFmtId="0" fontId="2" fillId="7" borderId="10" xfId="0" applyFont="1" applyFill="1" applyBorder="1" applyAlignment="1">
      <alignment horizontal="center"/>
    </xf>
    <xf numFmtId="0" fontId="2" fillId="7" borderId="17" xfId="0" applyFont="1" applyFill="1" applyBorder="1" applyAlignment="1">
      <alignment horizontal="center"/>
    </xf>
    <xf numFmtId="0" fontId="2" fillId="0" borderId="5" xfId="0" applyFont="1" applyBorder="1" applyAlignment="1">
      <alignment horizontal="center" vertical="center" textRotation="90"/>
    </xf>
    <xf numFmtId="0" fontId="2" fillId="0" borderId="7" xfId="0" applyFont="1" applyBorder="1" applyAlignment="1">
      <alignment horizontal="center" vertical="center" textRotation="90"/>
    </xf>
    <xf numFmtId="0" fontId="2" fillId="0" borderId="9" xfId="0" applyFont="1" applyBorder="1" applyAlignment="1">
      <alignment horizontal="center" vertical="center" textRotation="90"/>
    </xf>
    <xf numFmtId="0" fontId="9" fillId="0" borderId="0" xfId="2" applyBorder="1" applyAlignment="1" applyProtection="1">
      <alignment horizontal="left" vertical="top" wrapText="1"/>
    </xf>
    <xf numFmtId="0" fontId="9" fillId="0" borderId="7" xfId="2" applyBorder="1" applyAlignment="1" applyProtection="1">
      <alignment horizontal="left" vertical="top" wrapText="1"/>
    </xf>
    <xf numFmtId="0" fontId="9" fillId="0" borderId="1" xfId="2" applyBorder="1" applyAlignment="1" applyProtection="1">
      <alignment horizontal="left" vertical="top" wrapText="1"/>
    </xf>
    <xf numFmtId="0" fontId="9" fillId="0" borderId="9" xfId="2" applyBorder="1" applyAlignment="1" applyProtection="1">
      <alignment horizontal="left" vertical="top" wrapText="1"/>
    </xf>
    <xf numFmtId="169" fontId="42" fillId="13" borderId="6" xfId="1" applyNumberFormat="1" applyFont="1" applyFill="1" applyBorder="1" applyAlignment="1" applyProtection="1">
      <alignment horizontal="center" vertical="center"/>
      <protection locked="0"/>
    </xf>
    <xf numFmtId="169" fontId="42" fillId="13" borderId="8" xfId="1" applyNumberFormat="1" applyFont="1" applyFill="1" applyBorder="1" applyAlignment="1" applyProtection="1">
      <alignment horizontal="center" vertical="center"/>
      <protection locked="0"/>
    </xf>
    <xf numFmtId="0" fontId="10" fillId="0" borderId="18" xfId="2" applyFont="1" applyBorder="1" applyAlignment="1" applyProtection="1">
      <alignment horizontal="left" vertical="top" wrapText="1"/>
    </xf>
    <xf numFmtId="0" fontId="10" fillId="0" borderId="19" xfId="2" applyFont="1" applyBorder="1" applyAlignment="1" applyProtection="1">
      <alignment horizontal="left" vertical="top" wrapText="1"/>
    </xf>
    <xf numFmtId="0" fontId="12" fillId="0" borderId="16" xfId="2" applyFont="1" applyBorder="1" applyAlignment="1" applyProtection="1">
      <alignment horizontal="center" wrapText="1"/>
    </xf>
    <xf numFmtId="0" fontId="12" fillId="0" borderId="10" xfId="2" applyFont="1" applyBorder="1" applyAlignment="1" applyProtection="1">
      <alignment horizontal="center" wrapText="1"/>
    </xf>
    <xf numFmtId="0" fontId="12" fillId="0" borderId="17" xfId="2" applyFont="1" applyBorder="1" applyAlignment="1" applyProtection="1">
      <alignment horizontal="center" wrapText="1"/>
    </xf>
    <xf numFmtId="0" fontId="2" fillId="16" borderId="4" xfId="0" applyFont="1" applyFill="1" applyBorder="1" applyAlignment="1">
      <alignment horizontal="center"/>
    </xf>
  </cellXfs>
  <cellStyles count="7">
    <cellStyle name="Comma" xfId="6" builtinId="3"/>
    <cellStyle name="Currency" xfId="5" builtinId="4"/>
    <cellStyle name="Normal" xfId="0" builtinId="0"/>
    <cellStyle name="Normal 2" xfId="2" xr:uid="{374EFD1B-F9D8-4695-B8EA-9F844EB51033}"/>
    <cellStyle name="Normal 2 2" xfId="4" xr:uid="{696D034F-A662-4930-9D60-B82828302A36}"/>
    <cellStyle name="Percent" xfId="1" builtinId="5"/>
    <cellStyle name="Percent 2" xfId="3" xr:uid="{D6D62CFF-C040-456D-AB98-346E15A6F30E}"/>
  </cellStyles>
  <dxfs count="57">
    <dxf>
      <font>
        <color rgb="FFE6E6E6"/>
      </font>
      <fill>
        <patternFill patternType="lightUp">
          <fgColor theme="0" tint="-0.499984740745262"/>
        </patternFill>
      </fill>
    </dxf>
    <dxf>
      <font>
        <b/>
        <i val="0"/>
        <color rgb="FF7030A0"/>
      </font>
      <fill>
        <patternFill>
          <bgColor rgb="FF99FF99"/>
        </patternFill>
      </fill>
    </dxf>
    <dxf>
      <font>
        <b/>
        <i val="0"/>
        <color rgb="FFC00000"/>
      </font>
      <fill>
        <patternFill>
          <bgColor rgb="FF99FF99"/>
        </patternFill>
      </fill>
    </dxf>
    <dxf>
      <font>
        <color theme="0"/>
      </font>
      <border>
        <left/>
        <right/>
        <top/>
        <bottom/>
        <vertical/>
        <horizontal/>
      </border>
    </dxf>
    <dxf>
      <font>
        <b/>
        <i val="0"/>
        <color rgb="FF7030A0"/>
      </font>
      <fill>
        <patternFill>
          <bgColor rgb="FF99FF99"/>
        </patternFill>
      </fill>
    </dxf>
    <dxf>
      <fill>
        <patternFill patternType="lightUp">
          <fgColor theme="0" tint="-0.499984740745262"/>
        </patternFill>
      </fill>
    </dxf>
    <dxf>
      <font>
        <color rgb="FFE6E6E6"/>
      </font>
      <fill>
        <patternFill patternType="lightUp">
          <fgColor theme="0" tint="-0.499984740745262"/>
        </patternFill>
      </fill>
    </dxf>
    <dxf>
      <font>
        <b/>
        <i/>
        <color theme="0" tint="-0.499984740745262"/>
      </font>
      <fill>
        <patternFill patternType="none">
          <bgColor auto="1"/>
        </patternFill>
      </fill>
    </dxf>
    <dxf>
      <font>
        <b/>
        <i val="0"/>
        <color rgb="FFC00000"/>
      </font>
      <fill>
        <patternFill>
          <bgColor rgb="FFFFCCFF"/>
        </patternFill>
      </fill>
    </dxf>
    <dxf>
      <font>
        <color rgb="FFE6E6E6"/>
      </font>
      <fill>
        <patternFill patternType="lightUp">
          <fgColor theme="0" tint="-0.499984740745262"/>
        </patternFill>
      </fill>
    </dxf>
    <dxf>
      <font>
        <b val="0"/>
        <i val="0"/>
        <color theme="0"/>
      </font>
      <fill>
        <patternFill patternType="lightUp">
          <fgColor theme="0" tint="-0.499984740745262"/>
          <bgColor auto="1"/>
        </patternFill>
      </fill>
    </dxf>
    <dxf>
      <font>
        <b/>
        <i val="0"/>
        <color rgb="FFC00000"/>
      </font>
      <fill>
        <patternFill>
          <bgColor rgb="FF99FF99"/>
        </patternFill>
      </fill>
    </dxf>
    <dxf>
      <font>
        <b/>
        <i val="0"/>
        <color rgb="FF7030A0"/>
      </font>
      <fill>
        <patternFill>
          <bgColor rgb="FF99FF99"/>
        </patternFill>
      </fill>
    </dxf>
    <dxf>
      <font>
        <b/>
        <i val="0"/>
        <color rgb="FFC00000"/>
      </font>
      <fill>
        <patternFill>
          <bgColor rgb="FFFFCCFF"/>
        </patternFill>
      </fill>
    </dxf>
    <dxf>
      <font>
        <b/>
        <i val="0"/>
        <color rgb="FFC00000"/>
      </font>
      <fill>
        <patternFill patternType="solid">
          <fgColor theme="0"/>
          <bgColor rgb="FFFFCCFF"/>
        </patternFill>
      </fill>
    </dxf>
    <dxf>
      <font>
        <b/>
        <i val="0"/>
        <color rgb="FF7030A0"/>
      </font>
      <fill>
        <patternFill>
          <bgColor rgb="FF99FF99"/>
        </patternFill>
      </fill>
    </dxf>
    <dxf>
      <font>
        <color rgb="FFE6E6E6"/>
      </font>
      <fill>
        <patternFill patternType="lightUp">
          <fgColor theme="0" tint="-0.499984740745262"/>
        </patternFill>
      </fill>
    </dxf>
    <dxf>
      <fill>
        <patternFill patternType="lightUp">
          <fgColor theme="0" tint="-0.499984740745262"/>
        </patternFill>
      </fill>
    </dxf>
    <dxf>
      <font>
        <b/>
        <i val="0"/>
        <color rgb="FFC00000"/>
      </font>
      <fill>
        <patternFill>
          <bgColor rgb="FFFFCCFF"/>
        </patternFill>
      </fill>
    </dxf>
    <dxf>
      <font>
        <b/>
        <i val="0"/>
        <color rgb="FFC00000"/>
      </font>
      <fill>
        <patternFill>
          <bgColor rgb="FFFFCCFF"/>
        </patternFill>
      </fill>
    </dxf>
    <dxf>
      <fill>
        <patternFill patternType="lightUp">
          <fgColor rgb="FFC00000"/>
        </patternFill>
      </fill>
    </dxf>
    <dxf>
      <font>
        <b/>
        <i val="0"/>
        <color rgb="FFC00000"/>
      </font>
      <fill>
        <patternFill>
          <bgColor rgb="FFFFCCFF"/>
        </patternFill>
      </fill>
    </dxf>
    <dxf>
      <font>
        <b/>
        <i val="0"/>
        <color rgb="FFC00000"/>
      </font>
      <fill>
        <patternFill>
          <bgColor rgb="FFFFCCFF"/>
        </patternFill>
      </fill>
    </dxf>
    <dxf>
      <font>
        <b/>
        <i val="0"/>
        <color rgb="FFC00000"/>
      </font>
      <fill>
        <patternFill>
          <bgColor rgb="FFFFCCFF"/>
        </patternFill>
      </fill>
    </dxf>
    <dxf>
      <font>
        <b/>
        <i val="0"/>
        <color rgb="FFC00000"/>
      </font>
      <fill>
        <patternFill>
          <bgColor rgb="FFFFCCFF"/>
        </patternFill>
      </fill>
    </dxf>
    <dxf>
      <font>
        <b/>
        <i val="0"/>
        <color rgb="FFC00000"/>
      </font>
      <fill>
        <patternFill>
          <bgColor rgb="FFFFCCFF"/>
        </patternFill>
      </fill>
    </dxf>
    <dxf>
      <font>
        <b/>
        <i val="0"/>
        <color rgb="FF7030A0"/>
      </font>
      <fill>
        <patternFill>
          <bgColor rgb="FF99FF99"/>
        </patternFill>
      </fill>
    </dxf>
    <dxf>
      <font>
        <b/>
        <i val="0"/>
        <color rgb="FFC00000"/>
      </font>
      <fill>
        <patternFill>
          <bgColor rgb="FFFFCCFF"/>
        </patternFill>
      </fill>
    </dxf>
    <dxf>
      <font>
        <b/>
        <i val="0"/>
        <color rgb="FFC00000"/>
      </font>
      <fill>
        <patternFill>
          <bgColor rgb="FFFFCCFF"/>
        </patternFill>
      </fill>
    </dxf>
    <dxf>
      <font>
        <b/>
        <i val="0"/>
        <color rgb="FF7030A0"/>
      </font>
      <fill>
        <patternFill>
          <fgColor auto="1"/>
          <bgColor rgb="FF99FF99"/>
        </patternFill>
      </fill>
    </dxf>
    <dxf>
      <font>
        <b/>
        <i val="0"/>
        <color rgb="FFC00000"/>
      </font>
      <fill>
        <patternFill>
          <bgColor rgb="FFFFCCFF"/>
        </patternFill>
      </fill>
    </dxf>
    <dxf>
      <font>
        <color theme="0" tint="-0.24994659260841701"/>
      </font>
      <fill>
        <patternFill>
          <bgColor rgb="FFFFFFE6"/>
        </patternFill>
      </fill>
      <border>
        <left style="thin">
          <color theme="0" tint="-0.14996795556505021"/>
        </left>
        <right style="thin">
          <color theme="0" tint="-0.14996795556505021"/>
        </right>
        <top style="thin">
          <color theme="0" tint="-0.14993743705557422"/>
        </top>
        <bottom style="thin">
          <color theme="0" tint="-0.14993743705557422"/>
        </bottom>
      </border>
    </dxf>
    <dxf>
      <font>
        <color theme="0"/>
      </font>
      <fill>
        <patternFill patternType="none">
          <bgColor auto="1"/>
        </patternFill>
      </fill>
      <border>
        <left/>
        <right/>
        <top/>
        <bottom/>
        <vertical/>
        <horizontal/>
      </border>
    </dxf>
    <dxf>
      <font>
        <b val="0"/>
        <i/>
        <strike val="0"/>
        <color rgb="FFC00000"/>
      </font>
      <fill>
        <patternFill>
          <bgColor rgb="FFFFCCFF"/>
        </patternFill>
      </fill>
    </dxf>
    <dxf>
      <font>
        <b val="0"/>
        <i/>
        <color auto="1"/>
      </font>
    </dxf>
    <dxf>
      <font>
        <b val="0"/>
        <i/>
        <color auto="1"/>
      </font>
    </dxf>
    <dxf>
      <font>
        <b val="0"/>
        <i/>
        <color auto="1"/>
      </font>
    </dxf>
    <dxf>
      <font>
        <b val="0"/>
        <i/>
      </font>
    </dxf>
    <dxf>
      <font>
        <b val="0"/>
        <i/>
      </font>
    </dxf>
    <dxf>
      <font>
        <b val="0"/>
        <i/>
        <color auto="1"/>
      </font>
    </dxf>
    <dxf>
      <font>
        <b val="0"/>
        <i/>
        <color auto="1"/>
      </font>
    </dxf>
    <dxf>
      <fill>
        <patternFill patternType="lightUp">
          <fgColor theme="1"/>
          <bgColor auto="1"/>
        </patternFill>
      </fill>
      <border>
        <left/>
        <right/>
        <top/>
        <bottom/>
      </border>
    </dxf>
    <dxf>
      <fill>
        <patternFill patternType="lightUp">
          <fgColor theme="1"/>
          <bgColor auto="1"/>
        </patternFill>
      </fill>
      <border>
        <left/>
        <right/>
        <top/>
        <bottom/>
      </border>
    </dxf>
    <dxf>
      <fill>
        <patternFill patternType="lightUp">
          <fgColor theme="1"/>
          <bgColor auto="1"/>
        </patternFill>
      </fill>
      <border>
        <left/>
        <right/>
        <top/>
        <bottom/>
      </border>
    </dxf>
    <dxf>
      <fill>
        <patternFill patternType="lightUp">
          <fgColor theme="1"/>
        </patternFill>
      </fill>
      <border>
        <left/>
        <right/>
        <top/>
        <bottom/>
      </border>
    </dxf>
    <dxf>
      <font>
        <color theme="0" tint="-0.24994659260841701"/>
      </font>
      <fill>
        <patternFill>
          <bgColor rgb="FFFFFFE6"/>
        </patternFill>
      </fill>
      <border>
        <left style="thin">
          <color theme="0" tint="-0.14996795556505021"/>
        </left>
        <right style="thin">
          <color theme="0" tint="-0.14996795556505021"/>
        </right>
        <top style="thin">
          <color theme="0" tint="-0.14993743705557422"/>
        </top>
        <bottom style="thin">
          <color theme="0" tint="-0.14993743705557422"/>
        </bottom>
      </border>
    </dxf>
    <dxf>
      <font>
        <color theme="0"/>
      </font>
      <fill>
        <patternFill patternType="none">
          <bgColor auto="1"/>
        </patternFill>
      </fill>
      <border>
        <left/>
        <right/>
        <top/>
        <bottom/>
        <vertical/>
        <horizontal/>
      </border>
    </dxf>
    <dxf>
      <font>
        <b/>
        <i val="0"/>
        <color rgb="FFC00000"/>
      </font>
      <fill>
        <patternFill>
          <bgColor rgb="FFFFCCFF"/>
        </patternFill>
      </fill>
    </dxf>
    <dxf>
      <font>
        <b val="0"/>
        <i/>
        <strike val="0"/>
        <color rgb="FFC00000"/>
      </font>
      <fill>
        <patternFill>
          <bgColor rgb="FFFFCCFF"/>
        </patternFill>
      </fill>
    </dxf>
    <dxf>
      <font>
        <b val="0"/>
        <i/>
      </font>
    </dxf>
    <dxf>
      <font>
        <b val="0"/>
        <i/>
      </font>
    </dxf>
    <dxf>
      <fill>
        <patternFill patternType="lightUp">
          <fgColor theme="1"/>
          <bgColor auto="1"/>
        </patternFill>
      </fill>
      <border>
        <left/>
        <right/>
        <top/>
        <bottom/>
      </border>
    </dxf>
    <dxf>
      <fill>
        <patternFill patternType="lightUp">
          <fgColor theme="1"/>
          <bgColor auto="1"/>
        </patternFill>
      </fill>
      <border>
        <left/>
        <right/>
        <top/>
        <bottom/>
      </border>
    </dxf>
    <dxf>
      <fill>
        <patternFill patternType="lightUp">
          <fgColor theme="1"/>
        </patternFill>
      </fill>
      <border>
        <left/>
        <right/>
        <top/>
        <bottom/>
      </border>
    </dxf>
    <dxf>
      <font>
        <b/>
        <i val="0"/>
      </font>
      <fill>
        <patternFill>
          <bgColor rgb="FFCCFFCC"/>
        </patternFill>
      </fill>
    </dxf>
    <dxf>
      <font>
        <b/>
        <i val="0"/>
      </font>
      <fill>
        <patternFill>
          <bgColor rgb="FFCCFFCC"/>
        </patternFill>
      </fill>
    </dxf>
    <dxf>
      <font>
        <b/>
        <i val="0"/>
      </font>
      <fill>
        <patternFill>
          <bgColor rgb="FFCCFFCC"/>
        </patternFill>
      </fill>
    </dxf>
  </dxfs>
  <tableStyles count="0" defaultTableStyle="TableStyleMedium2" defaultPivotStyle="PivotStyleLight16"/>
  <colors>
    <mruColors>
      <color rgb="FFFFFFEB"/>
      <color rgb="FF0000FF"/>
      <color rgb="FFFFFFE1"/>
      <color rgb="FF99FF99"/>
      <color rgb="FF66FF99"/>
      <color rgb="FFFF99FF"/>
      <color rgb="FFFFFFE6"/>
      <color rgb="FF00FF00"/>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E811B-9A00-47A7-9931-ED91F2FA1118}">
  <sheetPr codeName="Sheet1"/>
  <dimension ref="A1:AI61"/>
  <sheetViews>
    <sheetView tabSelected="1" zoomScale="80" zoomScaleNormal="80" workbookViewId="0">
      <selection activeCell="D9" sqref="D9:E9"/>
    </sheetView>
  </sheetViews>
  <sheetFormatPr defaultRowHeight="15" outlineLevelCol="1" x14ac:dyDescent="0.25"/>
  <cols>
    <col min="1" max="1" width="3.7109375" customWidth="1"/>
    <col min="2" max="3" width="13.7109375" customWidth="1"/>
    <col min="4" max="4" width="63.7109375" customWidth="1"/>
    <col min="5" max="6" width="19.7109375" customWidth="1"/>
    <col min="7" max="7" width="19.85546875" customWidth="1"/>
    <col min="8" max="9" width="13.7109375" customWidth="1"/>
    <col min="10" max="16" width="19.7109375" customWidth="1"/>
    <col min="17" max="17" width="13.140625" customWidth="1"/>
    <col min="18" max="18" width="9.7109375" customWidth="1"/>
    <col min="19" max="19" width="18" customWidth="1"/>
    <col min="20" max="20" width="20.7109375" customWidth="1"/>
    <col min="22" max="22" width="12.7109375" bestFit="1" customWidth="1"/>
    <col min="23" max="23" width="24.5703125" hidden="1" customWidth="1" outlineLevel="1"/>
    <col min="24" max="34" width="9.140625" hidden="1" customWidth="1" outlineLevel="1"/>
    <col min="35" max="35" width="9.140625" collapsed="1"/>
  </cols>
  <sheetData>
    <row r="1" spans="1:21" ht="15.75" x14ac:dyDescent="0.25">
      <c r="A1" s="38" t="s">
        <v>378</v>
      </c>
    </row>
    <row r="2" spans="1:21" x14ac:dyDescent="0.25">
      <c r="A2" s="74" t="s">
        <v>202</v>
      </c>
    </row>
    <row r="3" spans="1:21" x14ac:dyDescent="0.25">
      <c r="D3" s="30"/>
      <c r="E3" s="53"/>
      <c r="F3" s="30"/>
      <c r="G3" s="30"/>
      <c r="H3" s="30"/>
      <c r="I3" s="30"/>
    </row>
    <row r="4" spans="1:21" x14ac:dyDescent="0.25">
      <c r="B4" s="4" t="s">
        <v>11</v>
      </c>
    </row>
    <row r="5" spans="1:21" x14ac:dyDescent="0.25">
      <c r="C5" t="s">
        <v>12</v>
      </c>
      <c r="D5" s="328"/>
      <c r="E5" s="328"/>
      <c r="I5" s="35"/>
    </row>
    <row r="6" spans="1:21" x14ac:dyDescent="0.25">
      <c r="C6" t="s">
        <v>13</v>
      </c>
      <c r="D6" s="328"/>
      <c r="E6" s="328"/>
    </row>
    <row r="7" spans="1:21" x14ac:dyDescent="0.25">
      <c r="C7" t="s">
        <v>14</v>
      </c>
      <c r="D7" s="328" t="s">
        <v>1</v>
      </c>
      <c r="E7" s="328"/>
      <c r="F7" t="str">
        <f>IF(D7="","STOP: Please select a County","")</f>
        <v/>
      </c>
      <c r="L7" s="30"/>
      <c r="M7" s="30"/>
    </row>
    <row r="9" spans="1:21" x14ac:dyDescent="0.25">
      <c r="B9" s="4" t="s">
        <v>0</v>
      </c>
      <c r="D9" s="330" t="s">
        <v>1</v>
      </c>
      <c r="E9" s="330"/>
      <c r="G9" s="30"/>
      <c r="H9" s="30"/>
    </row>
    <row r="11" spans="1:21" x14ac:dyDescent="0.25">
      <c r="B11" s="4" t="s">
        <v>4</v>
      </c>
    </row>
    <row r="12" spans="1:21" x14ac:dyDescent="0.25">
      <c r="E12" s="30"/>
      <c r="F12" s="30"/>
      <c r="G12" s="30"/>
      <c r="H12" s="30"/>
      <c r="I12" s="30"/>
      <c r="P12" s="30"/>
    </row>
    <row r="13" spans="1:21" x14ac:dyDescent="0.25">
      <c r="B13" s="4" t="str">
        <f>"Identify which"&amp;IF(N(D9)&gt;2012," "&amp;D9,"")&amp;" RFA under which the Development was funded."</f>
        <v>Identify which RFA under which the Development was funded.</v>
      </c>
      <c r="F13" s="30"/>
      <c r="G13" s="30"/>
      <c r="H13" s="30"/>
      <c r="I13" s="53"/>
      <c r="J13" s="30"/>
      <c r="K13" s="30"/>
    </row>
    <row r="14" spans="1:21" x14ac:dyDescent="0.25">
      <c r="B14" s="4"/>
      <c r="D14" s="33" t="s">
        <v>97</v>
      </c>
      <c r="E14" s="60" t="s">
        <v>205</v>
      </c>
      <c r="F14" s="329" t="s">
        <v>98</v>
      </c>
      <c r="G14" s="329"/>
      <c r="H14" s="329" t="s">
        <v>100</v>
      </c>
      <c r="I14" s="329"/>
      <c r="J14" s="329"/>
      <c r="K14" s="329"/>
      <c r="L14" s="329"/>
      <c r="M14" s="329"/>
      <c r="N14" s="329"/>
      <c r="O14" s="329"/>
      <c r="P14" s="329"/>
      <c r="Q14" s="329"/>
      <c r="R14" s="329"/>
      <c r="S14" s="329"/>
      <c r="T14" s="329"/>
    </row>
    <row r="15" spans="1:21" x14ac:dyDescent="0.25">
      <c r="C15" s="41"/>
      <c r="D15" s="59" t="str">
        <f>IFERROR(IF(Year=Data!A$3," ",CHOOSE(Year-2022,Data!M3,Data!L3,Data!K3,Data!J3,Data!I3,Data!H3,Data!G3,Data!F3,Data!E3,Data!D3,Data!C3)),"")</f>
        <v xml:space="preserve"> </v>
      </c>
      <c r="E15" s="222" t="str">
        <f>IFERROR(IF(Year=Data!A$3," ",CHOOSE(Year-2022,Data!M24,Data!L24,Data!K24,Data!J24,Data!I24,Data!H24,Data!G24,Data!F24,Data!E24,Data!D24,Data!C24)),"")</f>
        <v xml:space="preserve"> </v>
      </c>
      <c r="F15" s="326" t="str">
        <f>IFERROR(IF(Year=Data!A$3," ",CHOOSE(Year-2022,Data!M44,Data!L44,Data!K44,Data!J44,Data!I44,Data!H44,Data!G44,Data!F44,Data!E44,Data!D44,Data!C44)),"")</f>
        <v xml:space="preserve"> </v>
      </c>
      <c r="G15" s="326"/>
      <c r="H15" s="327" t="str">
        <f>IFERROR(IF(Year=Data!A$3," ",CHOOSE(Year-2022,Data!M64,Data!L64,Data!K64,Data!J64,Data!I64,Data!H64,Data!G64,Data!F64,Data!E64,Data!D64,Data!C64)),"")</f>
        <v xml:space="preserve"> </v>
      </c>
      <c r="I15" s="327"/>
      <c r="J15" s="327"/>
      <c r="K15" s="327"/>
      <c r="L15" s="327"/>
      <c r="M15" s="327"/>
      <c r="N15" s="327"/>
      <c r="O15" s="327"/>
      <c r="P15" s="327"/>
      <c r="Q15" s="327"/>
      <c r="R15" s="327"/>
      <c r="S15" s="327"/>
      <c r="T15" s="327"/>
      <c r="U15" s="46" t="str">
        <f>IF(COUNTIF(D15,"*TDC*"),"Yes","No")</f>
        <v>No</v>
      </c>
    </row>
    <row r="16" spans="1:21" x14ac:dyDescent="0.25">
      <c r="B16" s="30"/>
      <c r="C16" s="41"/>
      <c r="D16" s="195" t="str">
        <f>IFERROR(IF(Year=Data!A$3," ",CHOOSE(Year-2022,Data!M4,Data!L4,Data!K4,Data!J4,Data!I4,Data!H4,Data!G4,Data!F4,Data!E4,Data!D4,Data!C4)),"")</f>
        <v xml:space="preserve"> </v>
      </c>
      <c r="E16" s="222" t="str">
        <f>IFERROR(IF(Year=Data!A$3," ",CHOOSE(Year-2022,Data!M25,Data!L25,Data!K25,Data!J25,Data!I25,Data!H25,Data!G25,Data!F25,Data!E25,Data!D25,Data!C25)),"")</f>
        <v xml:space="preserve"> </v>
      </c>
      <c r="F16" s="326" t="str">
        <f>IFERROR(IF(Year=Data!A$3," ",CHOOSE(Year-2022,Data!M45,Data!L45,Data!K45,Data!J45,Data!I45,Data!H45,Data!G45,Data!F45,Data!E45,Data!D45,Data!C45)),"")</f>
        <v xml:space="preserve"> </v>
      </c>
      <c r="G16" s="326"/>
      <c r="H16" s="327" t="str">
        <f>IFERROR(IF(Year=Data!A$3," ",CHOOSE(Year-2022,Data!M65,Data!L65,Data!K65,Data!J65,Data!I65,Data!H65,Data!G65,Data!F65,Data!E65,Data!D65,Data!C65)),"")</f>
        <v xml:space="preserve"> </v>
      </c>
      <c r="I16" s="327"/>
      <c r="J16" s="327"/>
      <c r="K16" s="327"/>
      <c r="L16" s="327"/>
      <c r="M16" s="327"/>
      <c r="N16" s="327"/>
      <c r="O16" s="327"/>
      <c r="P16" s="327"/>
      <c r="Q16" s="327"/>
      <c r="R16" s="327"/>
      <c r="S16" s="327"/>
      <c r="T16" s="327"/>
      <c r="U16" s="46" t="str">
        <f t="shared" ref="U16:U32" si="0">IF(COUNTIF(D16,"*TDC*"),"Yes","No")</f>
        <v>No</v>
      </c>
    </row>
    <row r="17" spans="2:21" x14ac:dyDescent="0.25">
      <c r="B17" s="30"/>
      <c r="C17" s="41"/>
      <c r="D17" s="195" t="str">
        <f>IFERROR(IF(Year=Data!A$3," ",CHOOSE(Year-2022,Data!M5,Data!L5,Data!K5,Data!J5,Data!I5,Data!H5,Data!G5,Data!F5,Data!E5,Data!D5,Data!C5)),"")</f>
        <v xml:space="preserve"> </v>
      </c>
      <c r="E17" s="222" t="str">
        <f>IFERROR(IF(Year=Data!A$3," ",CHOOSE(Year-2022,Data!M26,Data!L26,Data!K26,Data!J26,Data!I26,Data!H26,Data!G26,Data!F26,Data!E26,Data!D26,Data!C26)),"")</f>
        <v xml:space="preserve"> </v>
      </c>
      <c r="F17" s="326" t="str">
        <f>IFERROR(IF(Year=Data!A$3," ",CHOOSE(Year-2022,Data!M46,Data!L46,Data!K46,Data!J46,Data!I46,Data!H46,Data!G46,Data!F46,Data!E46,Data!D46,Data!C46)),"")</f>
        <v xml:space="preserve"> </v>
      </c>
      <c r="G17" s="326"/>
      <c r="H17" s="327" t="str">
        <f>IFERROR(IF(Year=Data!A$3," ",CHOOSE(Year-2022,Data!M66,Data!L66,Data!K66,Data!J66,Data!I66,Data!H66,Data!G66,Data!F66,Data!E66,Data!D66,Data!C66)),"")</f>
        <v xml:space="preserve"> </v>
      </c>
      <c r="I17" s="327"/>
      <c r="J17" s="327"/>
      <c r="K17" s="327"/>
      <c r="L17" s="327"/>
      <c r="M17" s="327"/>
      <c r="N17" s="327"/>
      <c r="O17" s="327"/>
      <c r="P17" s="327"/>
      <c r="Q17" s="327"/>
      <c r="R17" s="327"/>
      <c r="S17" s="327"/>
      <c r="T17" s="327"/>
      <c r="U17" s="46" t="str">
        <f t="shared" si="0"/>
        <v>No</v>
      </c>
    </row>
    <row r="18" spans="2:21" x14ac:dyDescent="0.25">
      <c r="B18" s="30"/>
      <c r="C18" s="41"/>
      <c r="D18" s="195" t="str">
        <f>IFERROR(IF(Year=Data!A$3," ",CHOOSE(Year-2022,Data!M6,Data!L6,Data!K6,Data!J6,Data!I6,Data!H6,Data!G6,Data!F6,Data!E6,Data!D6,Data!C6)),"")</f>
        <v xml:space="preserve"> </v>
      </c>
      <c r="E18" s="222" t="str">
        <f>IFERROR(IF(Year=Data!A$3," ",CHOOSE(Year-2022,Data!M27,Data!L27,Data!K27,Data!J27,Data!I27,Data!H27,Data!G27,Data!F27,Data!E27,Data!D27,Data!C27)),"")</f>
        <v xml:space="preserve"> </v>
      </c>
      <c r="F18" s="326" t="str">
        <f>IFERROR(IF(Year=Data!A$3," ",CHOOSE(Year-2022,Data!M47,Data!L47,Data!K47,Data!J47,Data!I47,Data!H47,Data!G47,Data!F47,Data!E47,Data!D47,Data!C47)),"")</f>
        <v xml:space="preserve"> </v>
      </c>
      <c r="G18" s="326"/>
      <c r="H18" s="327" t="str">
        <f>IFERROR(IF(Year=Data!A$3," ",CHOOSE(Year-2022,Data!M67,Data!L67,Data!K67,Data!J67,Data!I67,Data!H67,Data!G67,Data!F67,Data!E67,Data!D67,Data!C67)),"")</f>
        <v xml:space="preserve"> </v>
      </c>
      <c r="I18" s="327"/>
      <c r="J18" s="327"/>
      <c r="K18" s="327"/>
      <c r="L18" s="327"/>
      <c r="M18" s="327"/>
      <c r="N18" s="327"/>
      <c r="O18" s="327"/>
      <c r="P18" s="327"/>
      <c r="Q18" s="327"/>
      <c r="R18" s="327"/>
      <c r="S18" s="327"/>
      <c r="T18" s="327"/>
      <c r="U18" s="46" t="str">
        <f t="shared" si="0"/>
        <v>No</v>
      </c>
    </row>
    <row r="19" spans="2:21" x14ac:dyDescent="0.25">
      <c r="B19" s="30"/>
      <c r="C19" s="41"/>
      <c r="D19" s="195" t="str">
        <f>IFERROR(IF(Year=Data!A$3," ",CHOOSE(Year-2022,Data!M7,Data!L7,Data!K7,Data!J7,Data!I7,Data!H7,Data!G7,Data!F7,Data!E7,Data!D7,Data!C7)),"")</f>
        <v xml:space="preserve"> </v>
      </c>
      <c r="E19" s="222" t="str">
        <f>IFERROR(IF(Year=Data!A$3," ",CHOOSE(Year-2022,Data!M28,Data!L28,Data!K28,Data!J28,Data!I28,Data!H28,Data!G28,Data!F28,Data!E28,Data!D28,Data!C28)),"")</f>
        <v xml:space="preserve"> </v>
      </c>
      <c r="F19" s="326" t="str">
        <f>IFERROR(IF(Year=Data!A$3," ",CHOOSE(Year-2022,Data!M48,Data!L48,Data!K48,Data!J48,Data!I48,Data!H48,Data!G48,Data!F48,Data!E48,Data!D48,Data!C48)),"")</f>
        <v xml:space="preserve"> </v>
      </c>
      <c r="G19" s="326"/>
      <c r="H19" s="327" t="str">
        <f>IFERROR(IF(Year=Data!A$3," ",CHOOSE(Year-2022,Data!M68,Data!L68,Data!K68,Data!J68,Data!I68,Data!H68,Data!G68,Data!F68,Data!E68,Data!D68,Data!C68)),"")</f>
        <v xml:space="preserve"> </v>
      </c>
      <c r="I19" s="327"/>
      <c r="J19" s="327"/>
      <c r="K19" s="327"/>
      <c r="L19" s="327"/>
      <c r="M19" s="327"/>
      <c r="N19" s="327"/>
      <c r="O19" s="327"/>
      <c r="P19" s="327"/>
      <c r="Q19" s="327"/>
      <c r="R19" s="327"/>
      <c r="S19" s="327"/>
      <c r="T19" s="327"/>
      <c r="U19" s="46" t="str">
        <f t="shared" si="0"/>
        <v>No</v>
      </c>
    </row>
    <row r="20" spans="2:21" x14ac:dyDescent="0.25">
      <c r="B20" s="30"/>
      <c r="C20" s="41"/>
      <c r="D20" s="195" t="str">
        <f>IFERROR(IF(Year=Data!A$3," ",CHOOSE(Year-2022,Data!M8,Data!L8,Data!K8,Data!J8,Data!I8,Data!H8,Data!G8,Data!F8,Data!E8,Data!D8,Data!C8)),"")</f>
        <v xml:space="preserve"> </v>
      </c>
      <c r="E20" s="222" t="str">
        <f>IFERROR(IF(Year=Data!A$3," ",CHOOSE(Year-2022,Data!M29,Data!L29,Data!K29,Data!J29,Data!I29,Data!H29,Data!G29,Data!F29,Data!E29,Data!D29,Data!C29)),"")</f>
        <v xml:space="preserve"> </v>
      </c>
      <c r="F20" s="326" t="str">
        <f>IFERROR(IF(Year=Data!A$3," ",CHOOSE(Year-2022,Data!M49,Data!L49,Data!K49,Data!J49,Data!I49,Data!H49,Data!G49,Data!F49,Data!E49,Data!D49,Data!C49)),"")</f>
        <v xml:space="preserve"> </v>
      </c>
      <c r="G20" s="326"/>
      <c r="H20" s="327" t="str">
        <f>IFERROR(IF(Year=Data!A$3," ",CHOOSE(Year-2022,Data!M69,Data!L69,Data!K69,Data!J69,Data!I69,Data!H69,Data!G69,Data!F69,Data!E69,Data!D69,Data!C69)),"")</f>
        <v xml:space="preserve"> </v>
      </c>
      <c r="I20" s="327"/>
      <c r="J20" s="327"/>
      <c r="K20" s="327"/>
      <c r="L20" s="327"/>
      <c r="M20" s="327"/>
      <c r="N20" s="327"/>
      <c r="O20" s="327"/>
      <c r="P20" s="327"/>
      <c r="Q20" s="327"/>
      <c r="R20" s="327"/>
      <c r="S20" s="327"/>
      <c r="T20" s="327"/>
      <c r="U20" s="46" t="str">
        <f t="shared" si="0"/>
        <v>No</v>
      </c>
    </row>
    <row r="21" spans="2:21" x14ac:dyDescent="0.25">
      <c r="B21" s="30"/>
      <c r="C21" s="41"/>
      <c r="D21" s="195" t="str">
        <f>IFERROR(IF(Year=Data!A$3," ",CHOOSE(Year-2022,Data!M9,Data!L9,Data!K9,Data!J9,Data!I9,Data!H9,Data!G9,Data!F9,Data!E9,Data!D9,Data!C9)),"")</f>
        <v xml:space="preserve"> </v>
      </c>
      <c r="E21" s="222" t="str">
        <f>IFERROR(IF(Year=Data!A$3," ",CHOOSE(Year-2022,Data!M30,Data!L30,Data!K30,Data!J30,Data!I30,Data!H30,Data!G30,Data!F30,Data!E30,Data!D30,Data!C30)),"")</f>
        <v xml:space="preserve"> </v>
      </c>
      <c r="F21" s="326" t="str">
        <f>IFERROR(IF(Year=Data!A$3," ",CHOOSE(Year-2022,Data!M50,Data!L50,Data!K50,Data!J50,Data!I50,Data!H50,Data!G50,Data!F50,Data!E50,Data!D50,Data!C50)),"")</f>
        <v xml:space="preserve"> </v>
      </c>
      <c r="G21" s="326"/>
      <c r="H21" s="327" t="str">
        <f>IFERROR(IF(Year=Data!A$3," ",CHOOSE(Year-2022,Data!M70,Data!L70,Data!K70,Data!J70,Data!I70,Data!H70,Data!G70,Data!F70,Data!E70,Data!D70,Data!C70)),"")</f>
        <v xml:space="preserve"> </v>
      </c>
      <c r="I21" s="327"/>
      <c r="J21" s="327"/>
      <c r="K21" s="327"/>
      <c r="L21" s="327"/>
      <c r="M21" s="327"/>
      <c r="N21" s="327"/>
      <c r="O21" s="327"/>
      <c r="P21" s="327"/>
      <c r="Q21" s="327"/>
      <c r="R21" s="327"/>
      <c r="S21" s="327"/>
      <c r="T21" s="327"/>
      <c r="U21" s="46" t="str">
        <f t="shared" si="0"/>
        <v>No</v>
      </c>
    </row>
    <row r="22" spans="2:21" x14ac:dyDescent="0.25">
      <c r="B22" s="30"/>
      <c r="C22" s="41"/>
      <c r="D22" s="195" t="str">
        <f>IFERROR(IF(Year=Data!A$3," ",CHOOSE(Year-2022,Data!M10,Data!L10,Data!K10,Data!J10,Data!I10,Data!H10,Data!G10,Data!F10,Data!E10,Data!D10,Data!C10)),"")</f>
        <v xml:space="preserve"> </v>
      </c>
      <c r="E22" s="222" t="str">
        <f>IFERROR(IF(Year=Data!A$3," ",CHOOSE(Year-2022,Data!M31,Data!L31,Data!K31,Data!J31,Data!I31,Data!H31,Data!G31,Data!F31,Data!E31,Data!D31,Data!C31)),"")</f>
        <v xml:space="preserve"> </v>
      </c>
      <c r="F22" s="326" t="str">
        <f>IFERROR(IF(Year=Data!A$3," ",CHOOSE(Year-2022,Data!M51,Data!L51,Data!K51,Data!J51,Data!I51,Data!H51,Data!G51,Data!F51,Data!E51,Data!D51,Data!C51)),"")</f>
        <v xml:space="preserve"> </v>
      </c>
      <c r="G22" s="326"/>
      <c r="H22" s="327" t="str">
        <f>IFERROR(IF(Year=Data!A$3," ",CHOOSE(Year-2022,Data!M71,Data!L71,Data!K71,Data!J71,Data!I71,Data!H71,Data!G71,Data!F71,Data!E71,Data!D71,Data!C71)),"")</f>
        <v xml:space="preserve"> </v>
      </c>
      <c r="I22" s="327"/>
      <c r="J22" s="327"/>
      <c r="K22" s="327"/>
      <c r="L22" s="327"/>
      <c r="M22" s="327"/>
      <c r="N22" s="327"/>
      <c r="O22" s="327"/>
      <c r="P22" s="327"/>
      <c r="Q22" s="327"/>
      <c r="R22" s="327"/>
      <c r="S22" s="327"/>
      <c r="T22" s="327"/>
      <c r="U22" s="46" t="str">
        <f t="shared" si="0"/>
        <v>No</v>
      </c>
    </row>
    <row r="23" spans="2:21" x14ac:dyDescent="0.25">
      <c r="B23" s="30"/>
      <c r="C23" s="41"/>
      <c r="D23" s="195" t="str">
        <f>IFERROR(IF(Year=Data!A$3," ",CHOOSE(Year-2022,Data!M11,Data!L11,Data!K11,Data!J11,Data!I11,Data!H11,Data!G11,Data!F11,Data!E11,Data!D11,Data!C11)),"")</f>
        <v xml:space="preserve"> </v>
      </c>
      <c r="E23" s="222" t="str">
        <f>IFERROR(IF(Year=Data!A$3," ",CHOOSE(Year-2022,Data!M32,Data!L32,Data!K32,Data!J32,Data!I32,Data!H32,Data!G32,Data!F32,Data!E32,Data!D32,Data!C32)),"")</f>
        <v xml:space="preserve"> </v>
      </c>
      <c r="F23" s="326" t="str">
        <f>IFERROR(IF(Year=Data!A$3," ",CHOOSE(Year-2022,Data!M52,Data!L52,Data!K52,Data!J52,Data!I52,Data!H52,Data!G52,Data!F52,Data!E52,Data!D52,Data!C52)),"")</f>
        <v xml:space="preserve"> </v>
      </c>
      <c r="G23" s="326"/>
      <c r="H23" s="327" t="str">
        <f>IFERROR(IF(Year=Data!A$3," ",CHOOSE(Year-2022,Data!M72,Data!L72,Data!K72,Data!J72,Data!I72,Data!H72,Data!G72,Data!F72,Data!E72,Data!D72,Data!C72)),"")</f>
        <v xml:space="preserve"> </v>
      </c>
      <c r="I23" s="327"/>
      <c r="J23" s="327"/>
      <c r="K23" s="327"/>
      <c r="L23" s="327"/>
      <c r="M23" s="327"/>
      <c r="N23" s="327"/>
      <c r="O23" s="327"/>
      <c r="P23" s="327"/>
      <c r="Q23" s="327"/>
      <c r="R23" s="327"/>
      <c r="S23" s="327"/>
      <c r="T23" s="327"/>
      <c r="U23" s="46" t="str">
        <f t="shared" si="0"/>
        <v>No</v>
      </c>
    </row>
    <row r="24" spans="2:21" x14ac:dyDescent="0.25">
      <c r="B24" s="30"/>
      <c r="C24" s="41"/>
      <c r="D24" s="195" t="str">
        <f>IFERROR(IF(Year=Data!A$3," ",CHOOSE(Year-2022,Data!M12,Data!L12,Data!K12,Data!J12,Data!I12,Data!H12,Data!G12,Data!F12,Data!E12,Data!D12,Data!C12)),"")</f>
        <v xml:space="preserve"> </v>
      </c>
      <c r="E24" s="222" t="str">
        <f>IFERROR(IF(Year=Data!A$3," ",CHOOSE(Year-2022,Data!M33,Data!L33,Data!K33,Data!J33,Data!I33,Data!H33,Data!G33,Data!F33,Data!E33,Data!D33,Data!C33)),"")</f>
        <v xml:space="preserve"> </v>
      </c>
      <c r="F24" s="326" t="str">
        <f>IFERROR(IF(Year=Data!A$3," ",CHOOSE(Year-2022,Data!M53,Data!L53,Data!K53,Data!J53,Data!I53,Data!H53,Data!G53,Data!F53,Data!E53,Data!D53,Data!C53)),"")</f>
        <v xml:space="preserve"> </v>
      </c>
      <c r="G24" s="326"/>
      <c r="H24" s="327" t="str">
        <f>IFERROR(IF(Year=Data!A$3," ",CHOOSE(Year-2022,Data!M73,Data!L73,Data!K73,Data!J73,Data!I73,Data!H73,Data!G73,Data!F73,Data!E73,Data!D73,Data!C73)),"")</f>
        <v xml:space="preserve"> </v>
      </c>
      <c r="I24" s="327"/>
      <c r="J24" s="327"/>
      <c r="K24" s="327"/>
      <c r="L24" s="327"/>
      <c r="M24" s="327"/>
      <c r="N24" s="327"/>
      <c r="O24" s="327"/>
      <c r="P24" s="327"/>
      <c r="Q24" s="327"/>
      <c r="R24" s="327"/>
      <c r="S24" s="327"/>
      <c r="T24" s="327"/>
      <c r="U24" s="46" t="str">
        <f t="shared" si="0"/>
        <v>No</v>
      </c>
    </row>
    <row r="25" spans="2:21" x14ac:dyDescent="0.25">
      <c r="B25" s="30"/>
      <c r="C25" s="41"/>
      <c r="D25" s="325" t="str">
        <f>IFERROR(IF(Year=Data!A$3," ",CHOOSE(Year-2022,Data!M13,Data!L13,Data!K13,Data!J13,Data!I13,Data!H13,Data!G13,Data!F13,Data!E13,Data!D13,Data!C13)),"")</f>
        <v xml:space="preserve"> </v>
      </c>
      <c r="E25" s="222" t="str">
        <f>IFERROR(IF(Year=Data!A$3," ",CHOOSE(Year-2022,Data!M34,Data!L34,Data!K34,Data!J34,Data!I34,Data!H34,Data!G34,Data!F34,Data!E34,Data!D34,Data!C34)),"")</f>
        <v xml:space="preserve"> </v>
      </c>
      <c r="F25" s="326" t="str">
        <f>IFERROR(IF(Year=Data!A$3," ",CHOOSE(Year-2022,Data!M54,Data!L54,Data!K54,Data!J54,Data!I54,Data!H54,Data!G54,Data!F54,Data!E54,Data!D54,Data!C54)),"")</f>
        <v xml:space="preserve"> </v>
      </c>
      <c r="G25" s="326"/>
      <c r="H25" s="327" t="str">
        <f>IFERROR(IF(Year=Data!A$3," ",CHOOSE(Year-2022,Data!M74,Data!L74,Data!K74,Data!J74,Data!I74,Data!H74,Data!G74,Data!F74,Data!E74,Data!D74,Data!C74)),"")</f>
        <v xml:space="preserve"> </v>
      </c>
      <c r="I25" s="327"/>
      <c r="J25" s="327"/>
      <c r="K25" s="327"/>
      <c r="L25" s="327"/>
      <c r="M25" s="327"/>
      <c r="N25" s="327"/>
      <c r="O25" s="327"/>
      <c r="P25" s="327"/>
      <c r="Q25" s="327"/>
      <c r="R25" s="327"/>
      <c r="S25" s="327"/>
      <c r="T25" s="327"/>
      <c r="U25" s="46" t="str">
        <f t="shared" si="0"/>
        <v>No</v>
      </c>
    </row>
    <row r="26" spans="2:21" x14ac:dyDescent="0.25">
      <c r="B26" s="30"/>
      <c r="C26" s="41"/>
      <c r="D26" s="325" t="str">
        <f>IFERROR(IF(Year=Data!A$3," ",CHOOSE(Year-2022,Data!M14,Data!L14,Data!K14,Data!J14,Data!I14,Data!H14,Data!G14,Data!F14,Data!E14,Data!D14,Data!C14)),"")</f>
        <v xml:space="preserve"> </v>
      </c>
      <c r="E26" s="222" t="str">
        <f>IFERROR(IF(Year=Data!A$3," ",CHOOSE(Year-2022,Data!M35,Data!L35,Data!K35,Data!J35,Data!I35,Data!H35,Data!G35,Data!F35,Data!E35,Data!D35,Data!C35)),"")</f>
        <v xml:space="preserve"> </v>
      </c>
      <c r="F26" s="326" t="str">
        <f>IFERROR(IF(Year=Data!A$3," ",CHOOSE(Year-2022,Data!M55,Data!L55,Data!K55,Data!J55,Data!I55,Data!H55,Data!G55,Data!F55,Data!E55,Data!D55,Data!C55)),"")</f>
        <v xml:space="preserve"> </v>
      </c>
      <c r="G26" s="326"/>
      <c r="H26" s="327" t="str">
        <f>IFERROR(IF(Year=Data!A$3," ",CHOOSE(Year-2022,Data!M75,Data!L75,Data!K75,Data!J75,Data!I75,Data!H75,Data!G75,Data!F75,Data!E75,Data!D75,Data!C75)),"")</f>
        <v xml:space="preserve"> </v>
      </c>
      <c r="I26" s="327"/>
      <c r="J26" s="327"/>
      <c r="K26" s="327"/>
      <c r="L26" s="327"/>
      <c r="M26" s="327"/>
      <c r="N26" s="327"/>
      <c r="O26" s="327"/>
      <c r="P26" s="327"/>
      <c r="Q26" s="327"/>
      <c r="R26" s="327"/>
      <c r="S26" s="327"/>
      <c r="T26" s="327"/>
      <c r="U26" s="46" t="str">
        <f t="shared" si="0"/>
        <v>No</v>
      </c>
    </row>
    <row r="27" spans="2:21" x14ac:dyDescent="0.25">
      <c r="B27" s="30"/>
      <c r="C27" s="41"/>
      <c r="D27" s="325" t="str">
        <f>IFERROR(IF(Year=Data!A$3," ",CHOOSE(Year-2022,Data!M15,Data!L15,Data!K15,Data!J15,Data!I15,Data!H15,Data!G15,Data!F15,Data!E15,Data!D15,Data!C15)),"")</f>
        <v xml:space="preserve"> </v>
      </c>
      <c r="E27" s="222" t="str">
        <f>IFERROR(IF(Year=Data!A$3," ",CHOOSE(Year-2022,Data!M36,Data!L36,Data!K36,Data!J36,Data!I36,Data!H36,Data!G36,Data!F36,Data!E36,Data!D36,Data!C36)),"")</f>
        <v xml:space="preserve"> </v>
      </c>
      <c r="F27" s="326" t="str">
        <f>IFERROR(IF(Year=Data!A$3," ",CHOOSE(Year-2022,Data!M56,Data!L56,Data!K56,Data!J56,Data!I56,Data!H56,Data!G56,Data!F56,Data!E56,Data!D56,Data!C56)),"")</f>
        <v xml:space="preserve"> </v>
      </c>
      <c r="G27" s="326"/>
      <c r="H27" s="327" t="str">
        <f>IFERROR(IF(Year=Data!A$3," ",CHOOSE(Year-2022,Data!M76,Data!L76,Data!K76,Data!J76,Data!I76,Data!H76,Data!G76,Data!F76,Data!E76,Data!D76,Data!C76)),"")</f>
        <v xml:space="preserve"> </v>
      </c>
      <c r="I27" s="327"/>
      <c r="J27" s="327"/>
      <c r="K27" s="327"/>
      <c r="L27" s="327"/>
      <c r="M27" s="327"/>
      <c r="N27" s="327"/>
      <c r="O27" s="327"/>
      <c r="P27" s="327"/>
      <c r="Q27" s="327"/>
      <c r="R27" s="327"/>
      <c r="S27" s="327"/>
      <c r="T27" s="327"/>
      <c r="U27" s="46" t="str">
        <f t="shared" si="0"/>
        <v>No</v>
      </c>
    </row>
    <row r="28" spans="2:21" x14ac:dyDescent="0.25">
      <c r="B28" s="30"/>
      <c r="C28" s="41"/>
      <c r="D28" s="325" t="str">
        <f>IFERROR(IF(Year=Data!A$3," ",CHOOSE(Year-2022,Data!M16,Data!L16,Data!K16,Data!J16,Data!I16,Data!H16,Data!G16,Data!F16,Data!E16,Data!D16,Data!C16)),"")</f>
        <v xml:space="preserve"> </v>
      </c>
      <c r="E28" s="222" t="str">
        <f>IFERROR(IF(Year=Data!A$3," ",CHOOSE(Year-2022,Data!M37,Data!L37,Data!K37,Data!J37,Data!I37,Data!H37,Data!G37,Data!F37,Data!E37,Data!D37,Data!C37)),"")</f>
        <v xml:space="preserve"> </v>
      </c>
      <c r="F28" s="326" t="str">
        <f>IFERROR(IF(Year=Data!A$3," ",CHOOSE(Year-2022,Data!M57,Data!L57,Data!K57,Data!J57,Data!I57,Data!H57,Data!G57,Data!F57,Data!E57,Data!D57,Data!C57)),"")</f>
        <v xml:space="preserve"> </v>
      </c>
      <c r="G28" s="326"/>
      <c r="H28" s="327" t="str">
        <f>IFERROR(IF(Year=Data!A$3," ",CHOOSE(Year-2022,Data!M77,Data!L77,Data!K77,Data!J77,Data!I77,Data!H77,Data!G77,Data!F77,Data!E77,Data!D77,Data!C77)),"")</f>
        <v xml:space="preserve"> </v>
      </c>
      <c r="I28" s="327"/>
      <c r="J28" s="327"/>
      <c r="K28" s="327"/>
      <c r="L28" s="327"/>
      <c r="M28" s="327"/>
      <c r="N28" s="327"/>
      <c r="O28" s="327"/>
      <c r="P28" s="327"/>
      <c r="Q28" s="327"/>
      <c r="R28" s="327"/>
      <c r="S28" s="327"/>
      <c r="T28" s="327"/>
      <c r="U28" s="46" t="str">
        <f t="shared" si="0"/>
        <v>No</v>
      </c>
    </row>
    <row r="29" spans="2:21" x14ac:dyDescent="0.25">
      <c r="B29" s="30"/>
      <c r="C29" s="41"/>
      <c r="D29" s="325" t="str">
        <f>IFERROR(IF(Year=Data!A$3," ",CHOOSE(Year-2022,Data!M17,Data!L17,Data!K17,Data!J17,Data!I17,Data!H17,Data!G17,Data!F17,Data!E17,Data!D17,Data!C17)),"")</f>
        <v xml:space="preserve"> </v>
      </c>
      <c r="E29" s="222" t="str">
        <f>IFERROR(IF(Year=Data!A$3," ",CHOOSE(Year-2022,Data!M38,Data!L38,Data!K38,Data!J38,Data!I38,Data!H38,Data!G38,Data!F38,Data!E38,Data!D38,Data!C38)),"")</f>
        <v xml:space="preserve"> </v>
      </c>
      <c r="F29" s="326" t="str">
        <f>IFERROR(IF(Year=Data!A$3," ",CHOOSE(Year-2022,Data!M58,Data!L58,Data!K58,Data!J58,Data!I58,Data!H58,Data!G58,Data!F58,Data!E58,Data!D58,Data!C58)),"")</f>
        <v xml:space="preserve"> </v>
      </c>
      <c r="G29" s="326"/>
      <c r="H29" s="327" t="str">
        <f>IFERROR(IF(Year=Data!A$3," ",CHOOSE(Year-2022,Data!M78,Data!L78,Data!K78,Data!J78,Data!I78,Data!H78,Data!G78,Data!F78,Data!E78,Data!D78,Data!C78)),"")</f>
        <v xml:space="preserve"> </v>
      </c>
      <c r="I29" s="327"/>
      <c r="J29" s="327"/>
      <c r="K29" s="327"/>
      <c r="L29" s="327"/>
      <c r="M29" s="327"/>
      <c r="N29" s="327"/>
      <c r="O29" s="327"/>
      <c r="P29" s="327"/>
      <c r="Q29" s="327"/>
      <c r="R29" s="327"/>
      <c r="S29" s="327"/>
      <c r="T29" s="327"/>
      <c r="U29" s="46" t="str">
        <f t="shared" si="0"/>
        <v>No</v>
      </c>
    </row>
    <row r="30" spans="2:21" x14ac:dyDescent="0.25">
      <c r="B30" s="30"/>
      <c r="C30" s="41"/>
      <c r="D30" s="325" t="str">
        <f>IFERROR(IF(Year=Data!A$3," ",CHOOSE(Year-2022,Data!M18,Data!L18,Data!K18,Data!J18,Data!I18,Data!H18,Data!G18,Data!F18,Data!E18,Data!D18,Data!C18)),"")</f>
        <v xml:space="preserve"> </v>
      </c>
      <c r="E30" s="222" t="str">
        <f>IFERROR(IF(Year=Data!A$3," ",CHOOSE(Year-2022,Data!M39,Data!L39,Data!K39,Data!J39,Data!I39,Data!H39,Data!G39,Data!F39,Data!E39,Data!D39,Data!C39)),"")</f>
        <v xml:space="preserve"> </v>
      </c>
      <c r="F30" s="326" t="str">
        <f>IFERROR(IF(Year=Data!A$3," ",CHOOSE(Year-2022,Data!M59,Data!L59,Data!K59,Data!J59,Data!I59,Data!H59,Data!G59,Data!F59,Data!E59,Data!D59,Data!C59)),"")</f>
        <v xml:space="preserve"> </v>
      </c>
      <c r="G30" s="326"/>
      <c r="H30" s="327" t="str">
        <f>IFERROR(IF(Year=Data!A$3," ",CHOOSE(Year-2022,Data!M79,Data!L79,Data!K79,Data!J79,Data!I79,Data!H79,Data!G79,Data!F79,Data!E79,Data!D79,Data!C79)),"")</f>
        <v xml:space="preserve"> </v>
      </c>
      <c r="I30" s="327"/>
      <c r="J30" s="327"/>
      <c r="K30" s="327"/>
      <c r="L30" s="327"/>
      <c r="M30" s="327"/>
      <c r="N30" s="327"/>
      <c r="O30" s="327"/>
      <c r="P30" s="327"/>
      <c r="Q30" s="327"/>
      <c r="R30" s="327"/>
      <c r="S30" s="327"/>
      <c r="T30" s="327"/>
      <c r="U30" s="46" t="str">
        <f t="shared" si="0"/>
        <v>No</v>
      </c>
    </row>
    <row r="31" spans="2:21" x14ac:dyDescent="0.25">
      <c r="C31" s="41"/>
      <c r="D31" s="325" t="str">
        <f>IFERROR(IF(Year=Data!A$3," ",CHOOSE(Year-2022,Data!M19,Data!L19,Data!K19,Data!J19,Data!I19,Data!H19,Data!G19,Data!F19,Data!E19,Data!D19,Data!C19)),"")</f>
        <v xml:space="preserve"> </v>
      </c>
      <c r="E31" s="222" t="str">
        <f>IFERROR(IF(Year=Data!A$3," ",CHOOSE(Year-2022,Data!M40,Data!L40,Data!K40,Data!J40,Data!I40,Data!H40,Data!G40,Data!F40,Data!E40,Data!D40,Data!C40)),"")</f>
        <v xml:space="preserve"> </v>
      </c>
      <c r="F31" s="326" t="str">
        <f>IFERROR(IF(Year=Data!A$3," ",CHOOSE(Year-2022,Data!M60,Data!L60,Data!K60,Data!J60,Data!I60,Data!H60,Data!G60,Data!F60,Data!E60,Data!D60,Data!C60)),"")</f>
        <v xml:space="preserve"> </v>
      </c>
      <c r="G31" s="326"/>
      <c r="H31" s="327" t="str">
        <f>IFERROR(IF(Year=Data!A$3," ",CHOOSE(Year-2022,Data!M80,Data!L80,Data!K80,Data!J80,Data!I80,Data!H80,Data!G80,Data!F80,Data!E80,Data!D80,Data!C80)),"")</f>
        <v xml:space="preserve"> </v>
      </c>
      <c r="I31" s="327"/>
      <c r="J31" s="327"/>
      <c r="K31" s="327"/>
      <c r="L31" s="327"/>
      <c r="M31" s="327"/>
      <c r="N31" s="327"/>
      <c r="O31" s="327"/>
      <c r="P31" s="327"/>
      <c r="Q31" s="327"/>
      <c r="R31" s="327"/>
      <c r="S31" s="327"/>
      <c r="T31" s="327"/>
      <c r="U31" s="46" t="str">
        <f t="shared" si="0"/>
        <v>No</v>
      </c>
    </row>
    <row r="32" spans="2:21" x14ac:dyDescent="0.25">
      <c r="C32" s="41"/>
      <c r="D32" s="325" t="str">
        <f>IFERROR(IF(Year=Data!A$3," ",CHOOSE(Year-2022,Data!M20,Data!L20,Data!K20,Data!J20,Data!I20,Data!H20,Data!G20,Data!F20,Data!E20,Data!D20,Data!C20)),"")</f>
        <v xml:space="preserve"> </v>
      </c>
      <c r="E32" s="222" t="str">
        <f>IFERROR(IF(Year=Data!A$3," ",CHOOSE(Year-2022,Data!M41,Data!L41,Data!K41,Data!J41,Data!I41,Data!H41,Data!G41,Data!F41,Data!E41,Data!D41,Data!C41)),"")</f>
        <v xml:space="preserve"> </v>
      </c>
      <c r="F32" s="326" t="str">
        <f>IFERROR(IF(Year=Data!A$3," ",CHOOSE(Year-2022,Data!M61,Data!L61,Data!K61,Data!J61,Data!I61,Data!H61,Data!G61,Data!F61,Data!E61,Data!D61,Data!C61)),"")</f>
        <v xml:space="preserve"> </v>
      </c>
      <c r="G32" s="326"/>
      <c r="H32" s="327" t="str">
        <f>IFERROR(IF(Year=Data!A$3," ",CHOOSE(Year-2022,Data!M81,Data!L81,Data!K81,Data!J81,Data!I81,Data!H81,Data!G81,Data!F81,Data!E81,Data!D81,Data!C81)),"")</f>
        <v xml:space="preserve"> </v>
      </c>
      <c r="I32" s="327"/>
      <c r="J32" s="327"/>
      <c r="K32" s="327"/>
      <c r="L32" s="327"/>
      <c r="M32" s="327"/>
      <c r="N32" s="327"/>
      <c r="O32" s="327"/>
      <c r="P32" s="327"/>
      <c r="Q32" s="327"/>
      <c r="R32" s="327"/>
      <c r="S32" s="327"/>
      <c r="T32" s="327"/>
      <c r="U32" s="46" t="str">
        <f t="shared" si="0"/>
        <v>No</v>
      </c>
    </row>
    <row r="33" spans="1:27" x14ac:dyDescent="0.25">
      <c r="C33" s="332" t="str">
        <f>IF(OR(AND(C15=1,U15="Yes"),(AND(C16=1,U16="Yes")),(AND(C17=1,U17="Yes")),(AND(C18=1,U18="Yes")),(AND(C19=1,U19="Yes")),(AND(C20=1,U20="Yes")),(AND(C21=1,U21="Yes")),(AND(C22=1,U22="Yes")),(AND(C23=1,U23="Yes")),(AND(C24=1,U24="Yes")),(AND(C25=1,U25="Yes")),(AND(C26=1,U26="Yes")),(AND(C27=1,U27="Yes")),(AND(C28=1,U28="Yes")),(AND(C29=1,U29="Yes")),(AND(C30=1,U30="Yes")),(AND(C31=1,U31="Yes")),(AND(C32=1,U32="Yes"))),"STOP: This TDC Template does NOT Apply to this RFA.","")</f>
        <v/>
      </c>
      <c r="D33" s="332"/>
      <c r="E33" s="222"/>
    </row>
    <row r="34" spans="1:27" x14ac:dyDescent="0.25">
      <c r="W34" t="s">
        <v>220</v>
      </c>
    </row>
    <row r="35" spans="1:27" x14ac:dyDescent="0.25">
      <c r="B35" s="4" t="str">
        <f>"Identify the appropriate TDC Add-Ons"&amp;IF(ISERROR(VLOOKUP(1,Identify,2)),""," for"&amp;RIGHT(VLOOKUP(1,Identify,2),LEN(VLOOKUP(1,Identify,2))-1)&amp;".  Select mutliple choices if applicable.")</f>
        <v>Identify the appropriate TDC Add-Ons</v>
      </c>
      <c r="G35" s="52"/>
      <c r="H35" s="29"/>
      <c r="I35" s="30"/>
      <c r="J35" s="30"/>
      <c r="K35" s="30"/>
      <c r="W35" s="4" t="s">
        <v>131</v>
      </c>
    </row>
    <row r="36" spans="1:27" x14ac:dyDescent="0.25">
      <c r="A36" s="30"/>
      <c r="B36" s="7" t="str">
        <f>IFERROR(HLOOKUP(IFERROR(VLOOKUP(1,Identify,2)&amp;IF(OR($D$7="Broward",$D$7="Miami-Dade",$D$7="Palm Beach"),"SF","")," "),AddOns2,2+COUNTA(D$35:D35))," ")</f>
        <v xml:space="preserve"> </v>
      </c>
      <c r="C36" s="41"/>
      <c r="D36" s="8" t="str">
        <f>IFERROR(HLOOKUP(IFERROR(VLOOKUP(1,Identify,2)&amp;IF(OR($D$7="Broward",$D$7="Miami-Dade",$D$7="Palm Beach"),"SF","")," "),AddOns,2+COUNTA(D$35:D35))," ")</f>
        <v xml:space="preserve"> </v>
      </c>
      <c r="E36" s="8"/>
      <c r="H36" s="30"/>
      <c r="I36" s="30"/>
      <c r="J36" s="30"/>
      <c r="K36" s="30"/>
      <c r="L36" s="79"/>
      <c r="M36" s="79"/>
      <c r="N36" s="79"/>
      <c r="O36" s="79"/>
      <c r="P36" s="79"/>
      <c r="Q36" s="79"/>
      <c r="R36" s="79"/>
      <c r="S36" s="79"/>
      <c r="T36" s="79"/>
      <c r="W36" s="40" t="str">
        <f>IF(OR(AND($D36="Tax-Exempt Bonds Boost (Automatic Boost)"),AND($D36="PHA Boost (Automatic Boost)")),1,"")</f>
        <v/>
      </c>
    </row>
    <row r="37" spans="1:27" ht="15" customHeight="1" x14ac:dyDescent="0.25">
      <c r="A37" s="30"/>
      <c r="B37" s="7" t="str">
        <f>IFERROR(HLOOKUP(IFERROR(VLOOKUP(1,Identify,2)&amp;IF(OR($D$7="Broward",$D$7="Miami-Dade",$D$7="Palm Beach"),"SF","")," "),AddOns2,2+COUNTA(D$35:D36))," ")</f>
        <v xml:space="preserve"> </v>
      </c>
      <c r="C37" s="41"/>
      <c r="D37" s="8" t="str">
        <f>IFERROR(HLOOKUP(IFERROR(VLOOKUP(1,Identify,2)&amp;IF(OR($D$7="Broward",$D$7="Miami-Dade",$D$7="Palm Beach"),"SF","")," "),AddOns,2+COUNTA(D$35:D36))," ")</f>
        <v xml:space="preserve"> </v>
      </c>
      <c r="E37" s="8"/>
      <c r="H37" s="30"/>
      <c r="I37" s="30"/>
      <c r="J37" s="30"/>
      <c r="K37" s="30"/>
      <c r="L37" s="79"/>
      <c r="M37" s="79"/>
      <c r="N37" s="79"/>
      <c r="O37" s="79"/>
      <c r="P37" s="79"/>
      <c r="Q37" s="79"/>
      <c r="R37" s="79"/>
      <c r="S37" s="79"/>
      <c r="T37" s="79"/>
      <c r="W37" s="40" t="str">
        <f>IF(OR(AND($D37="Tax-Exempt Bonds Boost (Automatic Boost)"),AND($D37="PHA Boost (Automatic Boost)")),1,"")</f>
        <v/>
      </c>
    </row>
    <row r="38" spans="1:27" x14ac:dyDescent="0.25">
      <c r="B38" s="315"/>
      <c r="C38" s="316"/>
      <c r="D38" t="s">
        <v>132</v>
      </c>
      <c r="H38" s="30"/>
      <c r="I38" s="3"/>
      <c r="L38" s="79"/>
      <c r="M38" s="79"/>
      <c r="N38" s="79"/>
      <c r="O38" s="79"/>
      <c r="P38" s="79"/>
      <c r="Q38" s="79"/>
      <c r="R38" s="79"/>
      <c r="S38" s="79"/>
      <c r="T38" s="79"/>
      <c r="W38" s="39"/>
    </row>
    <row r="39" spans="1:27" x14ac:dyDescent="0.25">
      <c r="H39" s="30"/>
      <c r="I39" s="3"/>
      <c r="J39" s="30"/>
      <c r="K39" s="30"/>
      <c r="L39" s="78"/>
      <c r="W39" s="39"/>
    </row>
    <row r="40" spans="1:27" x14ac:dyDescent="0.25">
      <c r="B40" s="4" t="str">
        <f>"Identify the appropriate TDC Multipliers"&amp;IF(ISERROR(VLOOKUP(1,Identify,2)),""," for"&amp;RIGHT(VLOOKUP(1,Identify,2),LEN(VLOOKUP(1,Identify,2))-1)&amp;".  Select mutliple choices if applicable.")</f>
        <v>Identify the appropriate TDC Multipliers</v>
      </c>
      <c r="H40" s="53"/>
      <c r="I40" s="3"/>
      <c r="W40" s="39"/>
    </row>
    <row r="41" spans="1:27" x14ac:dyDescent="0.25">
      <c r="B41" s="6" t="str">
        <f>IFERROR(HLOOKUP(IFERROR(VLOOKUP(1,Identify,2)&amp;IF(OR($D$7="Broward",$D$7="Miami-Dade",$D$7="Palm Beach"),"SF","")," "),MultiplierNumbers,2+COUNTA(D$40:D40))," ")</f>
        <v xml:space="preserve"> </v>
      </c>
      <c r="C41" s="41"/>
      <c r="D41" s="8" t="str">
        <f>IFERROR(HLOOKUP(IFERROR(VLOOKUP(1,Identify,2)&amp;IF(OR($D$7="Broward",$D$7="Miami-Dade",$D$7="Palm Beach"),"SF","")," "),MultiplierNames,2+COUNTA(D$40:D40))," ")</f>
        <v xml:space="preserve"> </v>
      </c>
      <c r="E41" s="9"/>
      <c r="F41" s="29"/>
      <c r="H41" s="30"/>
      <c r="W41" s="40" t="str">
        <f>IF(OR(,D41="PSN Demographic multiplier",D41="Homeless Demographic (Automatic Multiplier)",D41="Homeless Demographic &amp; PDC",D41="Homeless Demographic (Automatic Multiplier)",D41="High Utilizer Demographic (Automatic Multiplier)"),1,"")</f>
        <v/>
      </c>
    </row>
    <row r="42" spans="1:27" x14ac:dyDescent="0.25">
      <c r="B42" s="6" t="str">
        <f>IFERROR(HLOOKUP(IFERROR(VLOOKUP(1,Identify,2)&amp;IF(OR($D$7="Broward",$D$7="Miami-Dade",$D$7="Palm Beach"),"SF","")," "),MultiplierNumbers,2+COUNTA(D$40:D41))," ")</f>
        <v xml:space="preserve"> </v>
      </c>
      <c r="C42" s="41"/>
      <c r="D42" s="8" t="str">
        <f>IFERROR(HLOOKUP(IFERROR(VLOOKUP(1,Identify,2)&amp;IF(OR($D$7="Broward",$D$7="Miami-Dade",$D$7="Palm Beach"),"SF","")," "),MultiplierNames,2+COUNTA(D$40:D41))," ")</f>
        <v xml:space="preserve"> </v>
      </c>
      <c r="H42" s="30"/>
      <c r="W42" s="40" t="str">
        <f>IF(OR(D42="DD Demo. in a Large Dev.",D42="PSN Demographic multiplier",D42="Homeless Demographic (Automatic Multiplier)",D42="Homeless Demographic &amp; PDC",D42="Homeless Demographic (Automatic Multiplier)",D42="High Utilizer Demographic (Automatic Multiplier)"),1,"")</f>
        <v/>
      </c>
    </row>
    <row r="43" spans="1:27" x14ac:dyDescent="0.25">
      <c r="B43" s="6" t="str">
        <f>IFERROR(HLOOKUP(IFERROR(VLOOKUP(1,Identify,2)&amp;IF(OR($D$7="Broward",$D$7="Miami-Dade",$D$7="Palm Beach"),"SF","")," "),MultiplierNumbers,2+COUNTA(D$40:D42))," ")</f>
        <v xml:space="preserve"> </v>
      </c>
      <c r="C43" s="41"/>
      <c r="D43" s="8" t="str">
        <f>IFERROR(HLOOKUP(IFERROR(VLOOKUP(1,Identify,2)&amp;IF(OR($D$7="Broward",$D$7="Miami-Dade",$D$7="Palm Beach"),"SF","")," "),MultiplierNames,2+COUNTA(D$40:D42))," ")</f>
        <v xml:space="preserve"> </v>
      </c>
      <c r="E43" s="9"/>
      <c r="H43" s="30"/>
      <c r="W43" s="40" t="str">
        <f>IF(OR(D43="DD Demo. in a Large Dev.",D43="PSN Demographic multiplier",D43="Homeless Demographic (Automatic Multiplier)",D43="Homeless Demographic &amp; PDC",D43="Homeless Demographic (Automatic Multiplier)",D43="High Utilizer Demographic (Automatic Multiplier)"),1,"")</f>
        <v/>
      </c>
    </row>
    <row r="44" spans="1:27" x14ac:dyDescent="0.25">
      <c r="B44" s="6" t="str">
        <f>IFERROR(HLOOKUP(IFERROR(VLOOKUP(1,Identify,2)&amp;IF(OR($D$7="Broward",$D$7="Miami-Dade",$D$7="Palm Beach"),"SF","")," "),MultiplierNumbers,2+COUNTA(D$40:D43))," ")</f>
        <v xml:space="preserve"> </v>
      </c>
      <c r="C44" s="41"/>
      <c r="D44" s="8" t="str">
        <f>IFERROR(HLOOKUP(IFERROR(VLOOKUP(1,Identify,2)&amp;IF(OR($D$7="Broward",$D$7="Miami-Dade",$D$7="Palm Beach"),"SF","")," "),MultiplierNames,2+COUNTA(D$40:D43))," ")</f>
        <v xml:space="preserve"> </v>
      </c>
      <c r="E44" s="9"/>
      <c r="H44" s="30"/>
      <c r="I44" s="1"/>
      <c r="W44" s="40" t="str">
        <f>IF(OR(D44="DD Demo. in a Large Dev.",D44="PSN Demographic multiplier",D44="Homeless Demographic (Automatic Multiplier)",D44="Homeless Demographic &amp; PDC",D44="Homeless Demographic (Automatic Multiplier)",D44="High Utilizer Demographic (Automatic Multiplier)"),1,"")</f>
        <v/>
      </c>
    </row>
    <row r="45" spans="1:27" x14ac:dyDescent="0.25">
      <c r="B45" s="6" t="str">
        <f>IFERROR(HLOOKUP(IFERROR(VLOOKUP(1,Identify,2)&amp;IF(OR($D$7="Broward",$D$7="Miami-Dade",$D$7="Palm Beach"),"SF","")," "),MultiplierNumbers,2+COUNTA(D$40:D44))," ")</f>
        <v xml:space="preserve"> </v>
      </c>
      <c r="C45" s="41"/>
      <c r="D45" s="8" t="str">
        <f>IFERROR(HLOOKUP(IFERROR(VLOOKUP(1,Identify,2)&amp;IF(OR($D$7="Broward",$D$7="Miami-Dade",$D$7="Palm Beach"),"SF","")," "),MultiplierNames,2+COUNTA(D$40:D44))," ")</f>
        <v xml:space="preserve"> </v>
      </c>
      <c r="E45" s="9"/>
      <c r="H45" s="30"/>
      <c r="I45" s="3"/>
      <c r="W45" s="40" t="str">
        <f>IF(OR(D45="DD Demo. in a Large Dev.",D45="PSN Demographic multiplier",D45="Homeless Demographic (Automatic Multiplier)",D45="Homeless Demographic &amp; PDC",D45="Homeless Demographic (Automatic Multiplier)",D45="High Utilizer Demographic (Automatic Multiplier)"),1,"")</f>
        <v/>
      </c>
    </row>
    <row r="46" spans="1:27" x14ac:dyDescent="0.25">
      <c r="B46" s="6" t="str">
        <f>IFERROR(HLOOKUP(IFERROR(VLOOKUP(1,Identify,2)&amp;IF(OR($D$7="Broward",$D$7="Miami-Dade",$D$7="Palm Beach"),"SF","")," "),MultiplierNumbers,2+COUNTA(D$40:D45))," ")</f>
        <v xml:space="preserve"> </v>
      </c>
      <c r="C46" s="41"/>
      <c r="D46" s="8" t="str">
        <f>IFERROR(HLOOKUP(IFERROR(VLOOKUP(1,Identify,2)&amp;IF(OR($D$7="Broward",$D$7="Miami-Dade",$D$7="Palm Beach"),"SF","")," "),MultiplierNames,2+COUNTA(D$40:D45))," ")</f>
        <v xml:space="preserve"> </v>
      </c>
      <c r="E46" s="9"/>
      <c r="H46" s="30"/>
      <c r="W46" s="40" t="str">
        <f>IF(OR(D46="DD Demo. in a Large Dev.",D46="PSN Demographic multiplier",D46="Homeless Demographic (Automatic Multiplier)",D46="Homeless Demographic &amp; PDC",D46="Homeless Demographic (Automatic Multiplier)",D46="High Utilizer Demographic (Automatic Multiplier)"),1,"")</f>
        <v/>
      </c>
    </row>
    <row r="47" spans="1:27" x14ac:dyDescent="0.25">
      <c r="B47" s="6" t="str">
        <f>IFERROR(HLOOKUP(IFERROR(VLOOKUP(1,Identify,2)&amp;IF(OR($D$7="Broward",$D$7="Miami-Dade",$D$7="Palm Beach"),"SF","")," "),MultiplierNumbers,2+COUNTA(D$40:D46))," ")</f>
        <v xml:space="preserve"> </v>
      </c>
      <c r="C47" s="41"/>
      <c r="D47" s="8" t="str">
        <f>IFERROR(HLOOKUP(IFERROR(VLOOKUP(1,Identify,2)&amp;IF(OR($D$7="Broward",$D$7="Miami-Dade",$D$7="Palm Beach"),"SF","")," "),MultiplierNames,2+COUNTA(D$40:D46))," ")</f>
        <v xml:space="preserve"> </v>
      </c>
      <c r="E47" s="9"/>
    </row>
    <row r="48" spans="1:27" x14ac:dyDescent="0.25">
      <c r="G48" s="49" t="s">
        <v>286</v>
      </c>
      <c r="H48" s="29"/>
      <c r="S48" s="3"/>
      <c r="AA48" t="s">
        <v>219</v>
      </c>
    </row>
    <row r="49" spans="2:31" x14ac:dyDescent="0.25">
      <c r="B49" s="331" t="s">
        <v>130</v>
      </c>
      <c r="C49" s="331"/>
      <c r="D49" s="331"/>
      <c r="E49" s="159" t="s">
        <v>109</v>
      </c>
      <c r="F49" s="159" t="s">
        <v>110</v>
      </c>
      <c r="G49" s="159" t="s">
        <v>112</v>
      </c>
      <c r="H49" s="159" t="s">
        <v>111</v>
      </c>
      <c r="I49" s="159" t="s">
        <v>113</v>
      </c>
      <c r="J49" s="159" t="s">
        <v>285</v>
      </c>
      <c r="K49" s="157"/>
      <c r="L49" s="157"/>
      <c r="AA49" s="80" t="s">
        <v>143</v>
      </c>
      <c r="AB49" s="81" t="s">
        <v>139</v>
      </c>
      <c r="AC49" s="82" t="s">
        <v>140</v>
      </c>
      <c r="AD49" s="83" t="s">
        <v>142</v>
      </c>
      <c r="AE49" s="83" t="s">
        <v>141</v>
      </c>
    </row>
    <row r="50" spans="2:31" ht="60" x14ac:dyDescent="0.25">
      <c r="B50" s="331"/>
      <c r="C50" s="331"/>
      <c r="D50" s="331"/>
      <c r="E50" s="161" t="s">
        <v>221</v>
      </c>
      <c r="F50" s="172" t="s">
        <v>239</v>
      </c>
      <c r="G50" s="160" t="str">
        <f>"Add-On"&amp;IF(SUM(C36:C38)&gt;1,"s","")</f>
        <v>Add-On</v>
      </c>
      <c r="H50" s="160" t="str">
        <f>"Multiplier"&amp;IF(SUM(C41:C47)&gt;1,"s","")</f>
        <v>Multiplier</v>
      </c>
      <c r="I50" s="161" t="s">
        <v>213</v>
      </c>
      <c r="J50" s="173" t="s">
        <v>240</v>
      </c>
      <c r="AA50" s="80" t="s">
        <v>144</v>
      </c>
      <c r="AB50" s="84">
        <f>COUNTIF(AB51:AB57,MAX(AB51:AB57))</f>
        <v>7</v>
      </c>
      <c r="AC50" s="85">
        <f>COUNTIF(AB51:AB57,"&gt;0")</f>
        <v>0</v>
      </c>
      <c r="AD50" s="86"/>
      <c r="AE50" s="86">
        <f t="shared" ref="AE50:AE57" si="1">IFERROR(RANK(AD50,AD$51:AD$57,0),8)</f>
        <v>8</v>
      </c>
    </row>
    <row r="51" spans="2:31" x14ac:dyDescent="0.25">
      <c r="B51" s="45" t="str">
        <f>IF(AND(N(C51)&gt;0,OR(RIGHT(D51,4)="(NC)",RIGHT(D51,3)="NC ")),"NC",IF(AND(N(C51)&gt;0,OR(RIGHT(D51,7)="(Rehab)",RIGHT(D51,5)="Rehab")),"Rehab",""))</f>
        <v/>
      </c>
      <c r="C51" s="41"/>
      <c r="D51" s="155" t="str">
        <f>IFERROR(HLOOKUP(IFERROR(VLOOKUP(1,Identify,2)&amp;IF(OR($D$7="Broward",$D$7="Miami-Dade",$D$7="Palm Beach"),"SF","")," "),Types,2+COUNTA($D$50:$D50))," ")</f>
        <v xml:space="preserve"> </v>
      </c>
      <c r="E51" s="318" t="str">
        <f>IFERROR(HLOOKUP(IFERROR(VLOOKUP(1,Identify,2)&amp;IF(OR($D$7="Broward",$D$7="Miami-Dade",$D$7="Palm Beach"),"SF","")," "),Base01,2+COUNTA($D$50:$D50))," ")</f>
        <v xml:space="preserve"> </v>
      </c>
      <c r="F51" s="319" t="str">
        <f>IFERROR(E51/0.75," ")</f>
        <v xml:space="preserve"> </v>
      </c>
      <c r="G51" s="320">
        <f t="shared" ref="G51:G55" si="2">IF(($C$36=1),$B$36,0)+IF(($C$37=1),$B$37,0)+IF(($C$38=1),$B$38,0)</f>
        <v>0</v>
      </c>
      <c r="H51" s="321">
        <f>IF(($C$41=1),$B$41,1)*IF(($C$42=1),$B$42,1)*IF(($C$43=1),$B$43,1)*IF(($C$44=1),$B$44,1)*IF(($C$45=1),$B$45,1)*IF(($C$46=1),$B$46,1)</f>
        <v>1</v>
      </c>
      <c r="I51" s="321" t="str">
        <f>IFERROR(HLOOKUP(IFERROR(VLOOKUP(1,Identify,2)&amp;IF(OR($D$7="Broward",$D$7="Miami-Dade",$D$7="Palm Beach"),"SF","")," "),EscalationFactor,2+COUNTA($D$50:$D50))," ")</f>
        <v xml:space="preserve"> </v>
      </c>
      <c r="J51" s="318">
        <f>ROUND((N(F51)+N(G51))/IF(N(H51)=0,1,N(H51))*(1+N(I51)),2)</f>
        <v>0</v>
      </c>
      <c r="AA51" s="87" t="str">
        <f t="shared" ref="AA51" si="3">IF(C$58=0,"",IF(AD61*C51/C$58&lt;1,"",AD61*C51/C$58))</f>
        <v/>
      </c>
      <c r="AB51" s="84">
        <f t="shared" ref="AB51:AB57" si="4">N(C51)</f>
        <v>0</v>
      </c>
      <c r="AC51" s="84">
        <f>IF(AND(AB$50=AC$50,AB$50&gt;1),RANK(E51,E$51:E$57),RANK(AB51,AB$51:AB$57))</f>
        <v>1</v>
      </c>
      <c r="AD51" s="86" t="str">
        <f t="shared" ref="AD51:AD57" si="5">IF(N(AB51)+(8-N(AC51))/10&lt;1,"",N(AB51)+(8-N(AC51))/10)</f>
        <v/>
      </c>
      <c r="AE51" s="86">
        <f t="shared" si="1"/>
        <v>8</v>
      </c>
    </row>
    <row r="52" spans="2:31" x14ac:dyDescent="0.25">
      <c r="B52" s="45" t="str">
        <f t="shared" ref="B52:B57" si="6">IF(AND(N(C52)&gt;0,OR(RIGHT(D52,4)="(NC)",RIGHT(D52,3)="NC ")),"NC",IF(AND(N(C52)&gt;0,OR(RIGHT(D52,7)="(Rehab)",RIGHT(D52,5)="Rehab")),"Rehab",""))</f>
        <v/>
      </c>
      <c r="C52" s="41"/>
      <c r="D52" s="155" t="str">
        <f>IFERROR(HLOOKUP(IFERROR(VLOOKUP(1,Identify,2)&amp;IF(OR($D$7="Broward",$D$7="Miami-Dade",$D$7="Palm Beach"),"SF","")," "),Types,2+COUNTA($D$50:$D51))," ")</f>
        <v xml:space="preserve"> </v>
      </c>
      <c r="E52" s="318" t="str">
        <f>IFERROR(HLOOKUP(IFERROR(VLOOKUP(1,Identify,2)&amp;IF(OR($D$7="Broward",$D$7="Miami-Dade",$D$7="Palm Beach"),"SF","")," "),Base01,2+COUNTA($D$50:$D51))," ")</f>
        <v xml:space="preserve"> </v>
      </c>
      <c r="F52" s="319" t="str">
        <f>IFERROR(E52/0.75," ")</f>
        <v xml:space="preserve"> </v>
      </c>
      <c r="G52" s="320">
        <f t="shared" si="2"/>
        <v>0</v>
      </c>
      <c r="H52" s="321">
        <f t="shared" ref="H52:H57" si="7">IF(($C$41=1),$B$41,1)*IF(($C$42=1),$B$42,1)*IF(($C$43=1),$B$43,1)*IF(($C$44=1),$B$44,1)*IF(($C$45=1),$B$45,1)*IF(($C$46=1),$B$46,1)</f>
        <v>1</v>
      </c>
      <c r="I52" s="321" t="str">
        <f>IFERROR(HLOOKUP(IFERROR(VLOOKUP(1,Identify,2)&amp;IF(OR($D$7="Broward",$D$7="Miami-Dade",$D$7="Palm Beach"),"SF","")," "),EscalationFactor,2+COUNTA($D$50:$D51))," ")</f>
        <v xml:space="preserve"> </v>
      </c>
      <c r="J52" s="318">
        <f t="shared" ref="J52:J57" si="8">ROUND((N(F52)+N(G52))/IF(N(H52)=0,1,N(H52))*(1+N(I52)),2)</f>
        <v>0</v>
      </c>
      <c r="AA52" s="87" t="str">
        <f>IF(C$58=0,"",IF(#REF!*C52/C$58&lt;1,"",#REF!*C52/C$58))</f>
        <v/>
      </c>
      <c r="AB52" s="84">
        <f t="shared" si="4"/>
        <v>0</v>
      </c>
      <c r="AC52" s="84">
        <f t="shared" ref="AC52:AC57" si="9">IF(AND(AB$50=AC$50,AB$50&gt;1),IFERROR(RANK(E52,E$51:E$57),""),IFERROR(RANK(AB52,AB$51:AB$57),""))</f>
        <v>1</v>
      </c>
      <c r="AD52" s="86" t="str">
        <f t="shared" si="5"/>
        <v/>
      </c>
      <c r="AE52" s="86">
        <f t="shared" si="1"/>
        <v>8</v>
      </c>
    </row>
    <row r="53" spans="2:31" ht="15" customHeight="1" x14ac:dyDescent="0.25">
      <c r="B53" s="45" t="str">
        <f t="shared" si="6"/>
        <v/>
      </c>
      <c r="C53" s="41"/>
      <c r="D53" s="155" t="str">
        <f>IFERROR(HLOOKUP(IFERROR(VLOOKUP(1,Identify,2)&amp;IF(OR($D$7="Broward",$D$7="Miami-Dade",$D$7="Palm Beach"),"SF","")," "),Types,2+COUNTA($D$50:$D52))," ")</f>
        <v xml:space="preserve"> </v>
      </c>
      <c r="E53" s="318" t="str">
        <f>IFERROR(HLOOKUP(IFERROR(VLOOKUP(1,Identify,2)&amp;IF(OR($D$7="Broward",$D$7="Miami-Dade",$D$7="Palm Beach"),"SF","")," "),Base01,2+COUNTA($D$50:$D52))," ")</f>
        <v xml:space="preserve"> </v>
      </c>
      <c r="F53" s="319" t="str">
        <f t="shared" ref="F53:F57" si="10">IFERROR(E53/0.75," ")</f>
        <v xml:space="preserve"> </v>
      </c>
      <c r="G53" s="320">
        <f t="shared" si="2"/>
        <v>0</v>
      </c>
      <c r="H53" s="321">
        <f t="shared" si="7"/>
        <v>1</v>
      </c>
      <c r="I53" s="321" t="str">
        <f>IFERROR(HLOOKUP(IFERROR(VLOOKUP(1,Identify,2)&amp;IF(OR($D$7="Broward",$D$7="Miami-Dade",$D$7="Palm Beach"),"SF","")," "),EscalationFactor,2+COUNTA($D$50:$D52))," ")</f>
        <v xml:space="preserve"> </v>
      </c>
      <c r="J53" s="318">
        <f t="shared" si="8"/>
        <v>0</v>
      </c>
      <c r="AA53" s="87" t="str">
        <f>IF(C$58=0,"",IF(#REF!*C53/C$58&lt;1,"",#REF!*C53/C$58))</f>
        <v/>
      </c>
      <c r="AB53" s="84">
        <f t="shared" si="4"/>
        <v>0</v>
      </c>
      <c r="AC53" s="84">
        <f t="shared" si="9"/>
        <v>1</v>
      </c>
      <c r="AD53" s="86" t="str">
        <f t="shared" si="5"/>
        <v/>
      </c>
      <c r="AE53" s="86">
        <f t="shared" si="1"/>
        <v>8</v>
      </c>
    </row>
    <row r="54" spans="2:31" ht="15" customHeight="1" x14ac:dyDescent="0.25">
      <c r="B54" s="45" t="str">
        <f t="shared" si="6"/>
        <v/>
      </c>
      <c r="C54" s="41"/>
      <c r="D54" s="155" t="str">
        <f>IFERROR(HLOOKUP(IFERROR(VLOOKUP(1,Identify,2)&amp;IF(OR($D$7="Broward",$D$7="Miami-Dade",$D$7="Palm Beach"),"SF","")," "),Types,2+COUNTA($D$50:$D53))," ")</f>
        <v xml:space="preserve"> </v>
      </c>
      <c r="E54" s="318" t="str">
        <f>IFERROR(HLOOKUP(IFERROR(VLOOKUP(1,Identify,2)&amp;IF(OR($D$7="Broward",$D$7="Miami-Dade",$D$7="Palm Beach"),"SF","")," "),Base01,2+COUNTA($D$50:$D53))," ")</f>
        <v xml:space="preserve"> </v>
      </c>
      <c r="F54" s="319" t="str">
        <f>IFERROR(E54/0.75," ")</f>
        <v xml:space="preserve"> </v>
      </c>
      <c r="G54" s="320">
        <f t="shared" si="2"/>
        <v>0</v>
      </c>
      <c r="H54" s="321">
        <f t="shared" si="7"/>
        <v>1</v>
      </c>
      <c r="I54" s="321" t="str">
        <f>IFERROR(HLOOKUP(IFERROR(VLOOKUP(1,Identify,2)&amp;IF(OR($D$7="Broward",$D$7="Miami-Dade",$D$7="Palm Beach"),"SF","")," "),EscalationFactor,2+COUNTA($D$50:$D53))," ")</f>
        <v xml:space="preserve"> </v>
      </c>
      <c r="J54" s="318">
        <f t="shared" si="8"/>
        <v>0</v>
      </c>
      <c r="AA54" s="87" t="str">
        <f>IF(C$58=0,"",IF(#REF!*C54/C$58&lt;1,"",#REF!*C54/C$58))</f>
        <v/>
      </c>
      <c r="AB54" s="84">
        <f t="shared" si="4"/>
        <v>0</v>
      </c>
      <c r="AC54" s="84">
        <f t="shared" si="9"/>
        <v>1</v>
      </c>
      <c r="AD54" s="86" t="str">
        <f t="shared" si="5"/>
        <v/>
      </c>
      <c r="AE54" s="86">
        <f t="shared" si="1"/>
        <v>8</v>
      </c>
    </row>
    <row r="55" spans="2:31" x14ac:dyDescent="0.25">
      <c r="B55" s="45" t="str">
        <f t="shared" si="6"/>
        <v/>
      </c>
      <c r="C55" s="41"/>
      <c r="D55" s="155" t="str">
        <f>IFERROR(HLOOKUP(IFERROR(VLOOKUP(1,Identify,2)&amp;IF(OR($D$7="Broward",$D$7="Miami-Dade",$D$7="Palm Beach"),"SF","")," "),Types,2+COUNTA($D$50:$D54))," ")</f>
        <v xml:space="preserve"> </v>
      </c>
      <c r="E55" s="318" t="str">
        <f>IFERROR(HLOOKUP(IFERROR(VLOOKUP(1,Identify,2)&amp;IF(OR($D$7="Broward",$D$7="Miami-Dade",$D$7="Palm Beach"),"SF","")," "),Base01,2+COUNTA($D$50:$D54))," ")</f>
        <v xml:space="preserve"> </v>
      </c>
      <c r="F55" s="319" t="str">
        <f>IFERROR(E55/0.75," ")</f>
        <v xml:space="preserve"> </v>
      </c>
      <c r="G55" s="320">
        <f t="shared" si="2"/>
        <v>0</v>
      </c>
      <c r="H55" s="321">
        <f t="shared" si="7"/>
        <v>1</v>
      </c>
      <c r="I55" s="321" t="str">
        <f>IFERROR(HLOOKUP(IFERROR(VLOOKUP(1,Identify,2)&amp;IF(OR($D$7="Broward",$D$7="Miami-Dade",$D$7="Palm Beach"),"SF","")," "),EscalationFactor,2+COUNTA($D$50:$D54))," ")</f>
        <v xml:space="preserve"> </v>
      </c>
      <c r="J55" s="318">
        <f t="shared" si="8"/>
        <v>0</v>
      </c>
      <c r="AA55" s="87" t="str">
        <f>IF(C$58=0,"",IF(#REF!*C55/C$58&lt;1,"",#REF!*C55/C$58))</f>
        <v/>
      </c>
      <c r="AB55" s="84">
        <f t="shared" si="4"/>
        <v>0</v>
      </c>
      <c r="AC55" s="84">
        <f t="shared" si="9"/>
        <v>1</v>
      </c>
      <c r="AD55" s="86" t="str">
        <f t="shared" si="5"/>
        <v/>
      </c>
      <c r="AE55" s="86">
        <f t="shared" si="1"/>
        <v>8</v>
      </c>
    </row>
    <row r="56" spans="2:31" x14ac:dyDescent="0.25">
      <c r="B56" s="45" t="str">
        <f t="shared" si="6"/>
        <v/>
      </c>
      <c r="C56" s="41"/>
      <c r="D56" s="155" t="str">
        <f>IFERROR(HLOOKUP(IFERROR(VLOOKUP(1,Identify,2)&amp;IF(OR($D$7="Broward",$D$7="Miami-Dade",$D$7="Palm Beach"),"SF","")," "),Types,2+COUNTA($D$50:$D55))," ")</f>
        <v xml:space="preserve"> </v>
      </c>
      <c r="E56" s="318" t="str">
        <f>IFERROR(HLOOKUP(IFERROR(VLOOKUP(1,Identify,2)&amp;IF(OR($D$7="Broward",$D$7="Miami-Dade",$D$7="Palm Beach"),"SF","")," "),Base01,2+COUNTA($D$50:$D55))," ")</f>
        <v xml:space="preserve"> </v>
      </c>
      <c r="F56" s="319" t="str">
        <f t="shared" si="10"/>
        <v xml:space="preserve"> </v>
      </c>
      <c r="G56" s="320">
        <f>IF(($C$36=1),$B$36,0)+IF(($C$37=1),$B$37,0)+IF(($C$38=1),$B$38,0)</f>
        <v>0</v>
      </c>
      <c r="H56" s="321">
        <f t="shared" si="7"/>
        <v>1</v>
      </c>
      <c r="I56" s="321" t="str">
        <f>IFERROR(HLOOKUP(IFERROR(VLOOKUP(1,Identify,2)&amp;IF(OR($D$7="Broward",$D$7="Miami-Dade",$D$7="Palm Beach"),"SF","")," "),EscalationFactor,2+COUNTA($D$50:$D55))," ")</f>
        <v xml:space="preserve"> </v>
      </c>
      <c r="J56" s="318">
        <f t="shared" si="8"/>
        <v>0</v>
      </c>
      <c r="AA56" s="87" t="str">
        <f>IF(C$58=0,"",IF(#REF!*C56/C$58&lt;1,"",#REF!*C56/C$58))</f>
        <v/>
      </c>
      <c r="AB56" s="84">
        <f t="shared" si="4"/>
        <v>0</v>
      </c>
      <c r="AC56" s="84">
        <f t="shared" si="9"/>
        <v>1</v>
      </c>
      <c r="AD56" s="86" t="str">
        <f t="shared" si="5"/>
        <v/>
      </c>
      <c r="AE56" s="86">
        <f t="shared" si="1"/>
        <v>8</v>
      </c>
    </row>
    <row r="57" spans="2:31" x14ac:dyDescent="0.25">
      <c r="B57" s="45" t="str">
        <f t="shared" si="6"/>
        <v/>
      </c>
      <c r="C57" s="41"/>
      <c r="D57" s="155" t="str">
        <f>IFERROR(HLOOKUP(IFERROR(VLOOKUP(1,Identify,2)&amp;IF(OR($D$7="Broward",$D$7="Miami-Dade",$D$7="Palm Beach"),"SF","")," "),Types,2+COUNTA($D$50:$D56))," ")</f>
        <v xml:space="preserve"> </v>
      </c>
      <c r="E57" s="318" t="str">
        <f>IFERROR(HLOOKUP(IFERROR(VLOOKUP(1,Identify,2)&amp;IF(OR($D$7="Broward",$D$7="Miami-Dade",$D$7="Palm Beach"),"SF","")," "),Base01,2+COUNTA($D$50:$D56))," ")</f>
        <v xml:space="preserve"> </v>
      </c>
      <c r="F57" s="319" t="str">
        <f t="shared" si="10"/>
        <v xml:space="preserve"> </v>
      </c>
      <c r="G57" s="320">
        <f t="shared" ref="G57" si="11">IF(($C$36=1),$B$36,0)+IF(($C$37=1),$B$37,0)+IF(($C$38=1),$B$38,0)</f>
        <v>0</v>
      </c>
      <c r="H57" s="321">
        <f t="shared" si="7"/>
        <v>1</v>
      </c>
      <c r="I57" s="321" t="str">
        <f>IFERROR(HLOOKUP(IFERROR(VLOOKUP(1,Identify,2)&amp;IF(OR($D$7="Broward",$D$7="Miami-Dade",$D$7="Palm Beach"),"SF","")," "),EscalationFactor,2+COUNTA($D$50:$D56))," ")</f>
        <v xml:space="preserve"> </v>
      </c>
      <c r="J57" s="318">
        <f t="shared" si="8"/>
        <v>0</v>
      </c>
      <c r="AA57" s="87" t="str">
        <f>IF(C$58=0,"",IF(#REF!*C57/C$58&lt;1,"",#REF!*C57/C$58))</f>
        <v/>
      </c>
      <c r="AB57" s="84">
        <f t="shared" si="4"/>
        <v>0</v>
      </c>
      <c r="AC57" s="84">
        <f t="shared" si="9"/>
        <v>1</v>
      </c>
      <c r="AD57" s="86" t="str">
        <f t="shared" si="5"/>
        <v/>
      </c>
      <c r="AE57" s="86">
        <f t="shared" si="1"/>
        <v>8</v>
      </c>
    </row>
    <row r="58" spans="2:31" ht="15.75" thickBot="1" x14ac:dyDescent="0.3">
      <c r="B58" s="37" t="s">
        <v>10</v>
      </c>
      <c r="C58" s="36">
        <f>SUM(C51:C57)</f>
        <v>0</v>
      </c>
      <c r="D58" s="158"/>
      <c r="E58" s="162"/>
      <c r="F58" s="162"/>
      <c r="G58" s="156"/>
      <c r="H58" s="157"/>
      <c r="I58" s="158" t="s">
        <v>224</v>
      </c>
      <c r="J58" s="317">
        <f>IF($C58=0,0,SUMPRODUCT($J$51:$J$57,$C$51:$C$57)/$C58)</f>
        <v>0</v>
      </c>
    </row>
    <row r="59" spans="2:31" x14ac:dyDescent="0.25">
      <c r="E59" s="30"/>
      <c r="H59" s="48"/>
      <c r="T59" s="88"/>
      <c r="AA59" s="89" t="s">
        <v>110</v>
      </c>
      <c r="AB59" s="89" t="s">
        <v>112</v>
      </c>
      <c r="AC59" s="89" t="s">
        <v>111</v>
      </c>
      <c r="AD59" s="89" t="s">
        <v>113</v>
      </c>
    </row>
    <row r="60" spans="2:31" ht="15" customHeight="1" x14ac:dyDescent="0.25">
      <c r="E60" s="239"/>
      <c r="F60" s="47"/>
      <c r="J60" s="47"/>
      <c r="Q60" s="48"/>
      <c r="AA60" s="90" t="s">
        <v>93</v>
      </c>
      <c r="AB60" s="90" t="s">
        <v>94</v>
      </c>
      <c r="AC60" s="90" t="s">
        <v>213</v>
      </c>
      <c r="AD60" s="90" t="s">
        <v>95</v>
      </c>
    </row>
    <row r="61" spans="2:31" x14ac:dyDescent="0.25">
      <c r="H61" s="47"/>
      <c r="AA61" s="91">
        <f t="shared" ref="AA61" si="12">IF(OR($C$36=1,$W$36=1),$B$36,0)+IF(OR($C$37=1,$W$37=1),$B$37,0)+IF(OR($C$38=1,$W$38=1),$B$38,0)</f>
        <v>0</v>
      </c>
      <c r="AB61" s="92">
        <f t="shared" ref="AB61" si="13">IF(OR($C$41=1,$W$41=1),$B$41,1)*IF(OR($C$42=1,$W$42=1),$B$42,1)*IF(OR($C$43=1,$W$43=1),$B$43,1)*IF(OR($C$44=1,$W$44=1),$B$44,1)*IF(OR($C$45=1,$W$45=1),$B$45,1)*IF(OR($C$46=1,$W$46=1),$B$46,1)</f>
        <v>1</v>
      </c>
      <c r="AC61" s="92" t="str">
        <f>IFERROR(HLOOKUP((VLOOKUP(1,Identify,2)&amp;IF(OR($D$7="Broward","Miami-Dade","Palm Beach"),"SF","")),EscalationFactor,1+COUNTA(B$49:B49))," ")</f>
        <v xml:space="preserve"> </v>
      </c>
      <c r="AD61" s="91">
        <f t="shared" ref="AD61" si="14">ROUND((N(E51)+N(AA61))/IF(N(AB61)=0,1,N(AB61))*(1+N(AC61)),2)</f>
        <v>0</v>
      </c>
    </row>
  </sheetData>
  <sheetProtection algorithmName="SHA-512" hashValue="mgSgJfapCITevyRFWB60e72N98Gna+OXc9UNCl/3+91ltqSFyIyPeyzmU/VPdwTmmpTXHSS5i7VMFU71eaS55g==" saltValue="YKkvM+iOj/p1PQaD1EtYnQ==" spinCount="100000" sheet="1" objects="1" scenarios="1"/>
  <mergeCells count="44">
    <mergeCell ref="H31:T31"/>
    <mergeCell ref="H32:T32"/>
    <mergeCell ref="H25:T25"/>
    <mergeCell ref="H26:T26"/>
    <mergeCell ref="H27:T27"/>
    <mergeCell ref="H28:T28"/>
    <mergeCell ref="H29:T29"/>
    <mergeCell ref="D5:E5"/>
    <mergeCell ref="D6:E6"/>
    <mergeCell ref="D9:E9"/>
    <mergeCell ref="B49:D50"/>
    <mergeCell ref="F16:G16"/>
    <mergeCell ref="F24:G24"/>
    <mergeCell ref="F17:G17"/>
    <mergeCell ref="F20:G20"/>
    <mergeCell ref="F28:G28"/>
    <mergeCell ref="F31:G31"/>
    <mergeCell ref="F32:G32"/>
    <mergeCell ref="C33:D33"/>
    <mergeCell ref="F26:G26"/>
    <mergeCell ref="F25:G25"/>
    <mergeCell ref="F27:G27"/>
    <mergeCell ref="F29:G29"/>
    <mergeCell ref="H16:T16"/>
    <mergeCell ref="D7:E7"/>
    <mergeCell ref="F14:G14"/>
    <mergeCell ref="H14:T14"/>
    <mergeCell ref="F15:G15"/>
    <mergeCell ref="H15:T15"/>
    <mergeCell ref="F30:G30"/>
    <mergeCell ref="H30:T30"/>
    <mergeCell ref="H17:T17"/>
    <mergeCell ref="F18:G18"/>
    <mergeCell ref="H18:T18"/>
    <mergeCell ref="F19:G19"/>
    <mergeCell ref="H19:T19"/>
    <mergeCell ref="H24:T24"/>
    <mergeCell ref="H20:T20"/>
    <mergeCell ref="F21:G21"/>
    <mergeCell ref="H21:T21"/>
    <mergeCell ref="F22:G22"/>
    <mergeCell ref="H22:T22"/>
    <mergeCell ref="F23:G23"/>
    <mergeCell ref="H23:T23"/>
  </mergeCells>
  <conditionalFormatting sqref="B51:B56">
    <cfRule type="expression" dxfId="30" priority="192">
      <formula>AND(#REF!&lt;&gt;#REF!,B51="NC")</formula>
    </cfRule>
  </conditionalFormatting>
  <conditionalFormatting sqref="B51:B57">
    <cfRule type="cellIs" dxfId="29" priority="47" operator="notEqual">
      <formula>""</formula>
    </cfRule>
  </conditionalFormatting>
  <conditionalFormatting sqref="B57">
    <cfRule type="expression" dxfId="28" priority="193">
      <formula>AND(#REF!&lt;&gt;#REF!,B57="Rehab")</formula>
    </cfRule>
  </conditionalFormatting>
  <conditionalFormatting sqref="B41:E42 B42:B47 D42:D47">
    <cfRule type="expression" dxfId="27" priority="43" stopIfTrue="1">
      <formula>AND($C$41+$C$42&gt;1,LEFT($D$42,7)&lt;&gt;"Florida")</formula>
    </cfRule>
  </conditionalFormatting>
  <conditionalFormatting sqref="B41:E47 B36:E38">
    <cfRule type="expression" dxfId="26" priority="378">
      <formula>$C36=1</formula>
    </cfRule>
  </conditionalFormatting>
  <conditionalFormatting sqref="B42:E42 B44:E44">
    <cfRule type="expression" dxfId="25" priority="56">
      <formula>AND(LEFT($D$41,3)="PDC",LEFT($D$43,6)="9%, NC",$C$42=1,$C$44=1)</formula>
    </cfRule>
  </conditionalFormatting>
  <conditionalFormatting sqref="B42:E43">
    <cfRule type="expression" dxfId="24" priority="55">
      <formula>AND(LEFT($D$41,3)="PDC",LEFT($D$43,6)="9%, NC",$C$42=1,$C$43=1)</formula>
    </cfRule>
  </conditionalFormatting>
  <conditionalFormatting sqref="B43:E44">
    <cfRule type="expression" dxfId="23" priority="58">
      <formula>$C$43+$C$44&gt;1</formula>
    </cfRule>
  </conditionalFormatting>
  <conditionalFormatting sqref="B45:E46">
    <cfRule type="expression" dxfId="22" priority="72">
      <formula>$C$45+$C$46&gt;1</formula>
    </cfRule>
  </conditionalFormatting>
  <conditionalFormatting sqref="C33">
    <cfRule type="cellIs" dxfId="21" priority="18" operator="equal">
      <formula>"STOP: This TDC Template does NOT Apply to this RFA."</formula>
    </cfRule>
  </conditionalFormatting>
  <conditionalFormatting sqref="C51">
    <cfRule type="expression" dxfId="20" priority="49">
      <formula>OR($D51="No TDC Limitation in this RFA",$D51="Please select the initial RFA",$D51="RFA was not Issued" )</formula>
    </cfRule>
  </conditionalFormatting>
  <conditionalFormatting sqref="C58">
    <cfRule type="expression" dxfId="19" priority="80">
      <formula>$C$58&lt;&gt;#REF!</formula>
    </cfRule>
  </conditionalFormatting>
  <conditionalFormatting sqref="C59:E59">
    <cfRule type="expression" dxfId="18" priority="51">
      <formula>$C$59&lt;&gt;""</formula>
    </cfRule>
  </conditionalFormatting>
  <conditionalFormatting sqref="C15:H32 B36:E38 B41:E47">
    <cfRule type="expression" dxfId="17" priority="42">
      <formula>$D15=" "</formula>
    </cfRule>
  </conditionalFormatting>
  <conditionalFormatting sqref="C51:J57">
    <cfRule type="expression" dxfId="16" priority="13">
      <formula>$D51=" "</formula>
    </cfRule>
    <cfRule type="expression" dxfId="15" priority="63">
      <formula>$C51&gt;0</formula>
    </cfRule>
  </conditionalFormatting>
  <conditionalFormatting sqref="C15:T32 E33">
    <cfRule type="expression" dxfId="14" priority="20">
      <formula>AND($C15=1,ISNUMBER(SEARCH("This TDC Template",$D15)))</formula>
    </cfRule>
    <cfRule type="expression" dxfId="13" priority="77" stopIfTrue="1">
      <formula>AND($C15=1,SUM($C$15:$C$32)&gt;1)</formula>
    </cfRule>
    <cfRule type="expression" dxfId="12" priority="78" stopIfTrue="1">
      <formula>$C15=1</formula>
    </cfRule>
  </conditionalFormatting>
  <conditionalFormatting sqref="D51:D57">
    <cfRule type="expression" dxfId="11" priority="14">
      <formula>OR($D51="No TDC Limitation in this RFA",$D51="Please select the initial RFA",$D51="RFA was not Issued")</formula>
    </cfRule>
  </conditionalFormatting>
  <conditionalFormatting sqref="E51:J51">
    <cfRule type="expression" dxfId="10" priority="7">
      <formula>OR($D51="No TDC Limitation in this RFA",$D51="Please select the initial RFA",$D51="RFA was not Issued")</formula>
    </cfRule>
  </conditionalFormatting>
  <conditionalFormatting sqref="F58">
    <cfRule type="expression" dxfId="9" priority="9">
      <formula>$D58=" "</formula>
    </cfRule>
  </conditionalFormatting>
  <conditionalFormatting sqref="F7:G7">
    <cfRule type="expression" dxfId="8" priority="52">
      <formula>$F$7&lt;&gt;""</formula>
    </cfRule>
  </conditionalFormatting>
  <conditionalFormatting sqref="G48">
    <cfRule type="expression" dxfId="7" priority="373">
      <formula>COUNT($C$51:$C$57)&lt;2</formula>
    </cfRule>
  </conditionalFormatting>
  <conditionalFormatting sqref="J58">
    <cfRule type="expression" dxfId="6" priority="8">
      <formula>$D58=" "</formula>
    </cfRule>
  </conditionalFormatting>
  <conditionalFormatting sqref="W36:W38 W41:W46">
    <cfRule type="expression" dxfId="5" priority="376">
      <formula>$W36=""</formula>
    </cfRule>
    <cfRule type="expression" dxfId="4" priority="377">
      <formula>$W36=1</formula>
    </cfRule>
  </conditionalFormatting>
  <conditionalFormatting sqref="AA49:AA57">
    <cfRule type="expression" dxfId="3" priority="41">
      <formula>COUNT($C$51:$C$57)&lt;2</formula>
    </cfRule>
  </conditionalFormatting>
  <conditionalFormatting sqref="AA61:AD61">
    <cfRule type="expression" dxfId="2" priority="33">
      <formula>OR($D51="No TDC Limitation in this RFA",$D51="Please select the initial RFA",$D51="Please select the initial RFA and cell H7",$D51="RFA was not Issued")</formula>
    </cfRule>
    <cfRule type="expression" dxfId="1" priority="34">
      <formula>$C51&gt;0</formula>
    </cfRule>
    <cfRule type="expression" dxfId="0" priority="375">
      <formula>$D51=" "</formula>
    </cfRule>
  </conditionalFormatting>
  <dataValidations count="1">
    <dataValidation type="list" allowBlank="1" showInputMessage="1" showErrorMessage="1" sqref="D7:E7" xr:uid="{74CBF7E2-8D41-4FE2-A967-75F3A2ADB027}">
      <formula1>Counties</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66E850E-35E7-4B7A-86E6-D66B3C050BF8}">
          <x14:formula1>
            <xm:f>Data!$A$3:$A$6</xm:f>
          </x14:formula1>
          <xm:sqref>D9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A8F18-D486-4422-B75A-504B107F1207}">
  <sheetPr codeName="Sheet5"/>
  <dimension ref="A1:CN178"/>
  <sheetViews>
    <sheetView zoomScale="70" zoomScaleNormal="70" workbookViewId="0">
      <selection activeCell="BW8" sqref="BW8"/>
    </sheetView>
  </sheetViews>
  <sheetFormatPr defaultRowHeight="15" outlineLevelCol="1" x14ac:dyDescent="0.25"/>
  <cols>
    <col min="1" max="1" width="18.28515625" bestFit="1" customWidth="1"/>
    <col min="3" max="3" width="17.28515625" customWidth="1"/>
    <col min="4" max="4" width="16.42578125" customWidth="1"/>
    <col min="5" max="11" width="14.7109375" customWidth="1"/>
    <col min="12" max="12" width="18.140625" customWidth="1"/>
    <col min="13" max="13" width="19.140625" customWidth="1"/>
    <col min="14" max="14" width="15.85546875" customWidth="1"/>
    <col min="15" max="15" width="3.7109375" customWidth="1"/>
    <col min="16" max="17" width="17.85546875" hidden="1" customWidth="1" outlineLevel="1"/>
    <col min="18" max="21" width="20.42578125" hidden="1" customWidth="1" outlineLevel="1"/>
    <col min="22" max="22" width="19.140625" hidden="1" customWidth="1" outlineLevel="1"/>
    <col min="23" max="24" width="20.42578125" hidden="1" customWidth="1" outlineLevel="1"/>
    <col min="25" max="25" width="19.140625" hidden="1" customWidth="1" outlineLevel="1"/>
    <col min="26" max="26" width="19.140625" customWidth="1" collapsed="1"/>
    <col min="27" max="27" width="19.140625" customWidth="1"/>
    <col min="28" max="28" width="21.140625" customWidth="1"/>
    <col min="29" max="29" width="22.85546875" customWidth="1"/>
    <col min="30" max="30" width="20.42578125" customWidth="1"/>
    <col min="31" max="31" width="20.42578125" customWidth="1" collapsed="1"/>
    <col min="32" max="32" width="19.140625" customWidth="1"/>
    <col min="33" max="33" width="21" customWidth="1"/>
    <col min="34" max="34" width="19.140625" hidden="1" customWidth="1" outlineLevel="1"/>
    <col min="35" max="35" width="19.140625" customWidth="1" collapsed="1"/>
    <col min="36" max="36" width="20.42578125" customWidth="1"/>
    <col min="37" max="37" width="20.42578125" customWidth="1" collapsed="1"/>
    <col min="38" max="38" width="19.140625" hidden="1" customWidth="1" outlineLevel="1"/>
    <col min="39" max="39" width="17.85546875" customWidth="1" collapsed="1"/>
    <col min="40" max="40" width="22.5703125" customWidth="1"/>
    <col min="41" max="44" width="20.42578125" customWidth="1"/>
    <col min="45" max="45" width="19.140625" customWidth="1"/>
    <col min="46" max="81" width="20.42578125" customWidth="1"/>
    <col min="88" max="88" width="121.5703125" customWidth="1"/>
    <col min="89" max="89" width="15.5703125" customWidth="1"/>
    <col min="90" max="90" width="14.5703125" customWidth="1"/>
    <col min="91" max="91" width="15.28515625" bestFit="1" customWidth="1"/>
    <col min="92" max="92" width="14" bestFit="1" customWidth="1"/>
    <col min="93" max="95" width="11" bestFit="1" customWidth="1"/>
  </cols>
  <sheetData>
    <row r="1" spans="1:92" x14ac:dyDescent="0.25">
      <c r="L1" s="52" t="s">
        <v>323</v>
      </c>
      <c r="AF1" s="52" t="s">
        <v>279</v>
      </c>
      <c r="BJ1" s="30"/>
    </row>
    <row r="2" spans="1:92" x14ac:dyDescent="0.25">
      <c r="C2" s="333" t="s">
        <v>96</v>
      </c>
      <c r="D2" s="334"/>
      <c r="E2" s="334"/>
      <c r="F2" s="334"/>
      <c r="G2" s="334"/>
      <c r="H2" s="334"/>
      <c r="I2" s="334"/>
      <c r="J2" s="334"/>
      <c r="K2" s="334"/>
      <c r="L2" s="334"/>
      <c r="M2" s="335"/>
      <c r="Z2" t="s">
        <v>214</v>
      </c>
      <c r="AF2" s="52"/>
      <c r="AH2" s="52"/>
      <c r="AI2" s="52"/>
      <c r="AQ2" s="52" t="s">
        <v>335</v>
      </c>
      <c r="AR2" s="52" t="s">
        <v>335</v>
      </c>
      <c r="AS2" s="52"/>
      <c r="AV2" s="52"/>
      <c r="AW2" s="52"/>
      <c r="AX2" s="52"/>
      <c r="AY2" s="52"/>
      <c r="AZ2" s="52"/>
      <c r="BA2" s="52"/>
      <c r="BB2" s="52"/>
      <c r="BC2" s="52"/>
      <c r="BF2" s="52"/>
      <c r="BG2" s="52"/>
      <c r="BH2" s="52"/>
      <c r="BI2" s="52"/>
      <c r="BJ2" s="52"/>
      <c r="BK2" s="52"/>
      <c r="BL2" s="52"/>
      <c r="BM2" s="52"/>
      <c r="BN2" s="52"/>
      <c r="BO2" s="52"/>
      <c r="BP2" s="52"/>
      <c r="BQ2" s="52"/>
      <c r="BR2" s="52"/>
      <c r="BS2" s="52"/>
      <c r="BT2" s="52"/>
      <c r="BU2" s="52"/>
      <c r="BV2" s="52" t="s">
        <v>376</v>
      </c>
      <c r="BW2" s="52" t="s">
        <v>376</v>
      </c>
      <c r="BX2" s="52"/>
      <c r="BY2" s="52"/>
      <c r="BZ2" s="52"/>
      <c r="CA2" s="52"/>
      <c r="CB2" s="52"/>
      <c r="CC2" s="52"/>
      <c r="CE2" s="52"/>
      <c r="CF2" s="52"/>
      <c r="CG2" s="52"/>
    </row>
    <row r="3" spans="1:92" ht="20.25" customHeight="1" x14ac:dyDescent="0.25">
      <c r="A3" s="28" t="s">
        <v>1</v>
      </c>
      <c r="B3" t="s">
        <v>2</v>
      </c>
      <c r="C3" s="61" t="s">
        <v>2</v>
      </c>
      <c r="D3" s="62" t="s">
        <v>2</v>
      </c>
      <c r="E3" s="62" t="s">
        <v>2</v>
      </c>
      <c r="F3" s="62" t="s">
        <v>2</v>
      </c>
      <c r="G3" s="62" t="s">
        <v>2</v>
      </c>
      <c r="H3" s="62" t="s">
        <v>2</v>
      </c>
      <c r="I3" s="62" t="s">
        <v>2</v>
      </c>
      <c r="J3" s="62" t="s">
        <v>2</v>
      </c>
      <c r="K3" s="306" t="s">
        <v>360</v>
      </c>
      <c r="L3" s="306" t="s">
        <v>185</v>
      </c>
      <c r="M3" s="307" t="s">
        <v>194</v>
      </c>
      <c r="N3" s="3"/>
      <c r="O3" s="339" t="s">
        <v>89</v>
      </c>
      <c r="P3" s="34" t="s">
        <v>150</v>
      </c>
      <c r="Q3" s="34" t="s">
        <v>151</v>
      </c>
      <c r="R3" s="34" t="s">
        <v>152</v>
      </c>
      <c r="S3" s="34" t="s">
        <v>161</v>
      </c>
      <c r="T3" s="34" t="s">
        <v>153</v>
      </c>
      <c r="U3" s="34" t="s">
        <v>160</v>
      </c>
      <c r="V3" s="34" t="s">
        <v>154</v>
      </c>
      <c r="W3" s="34" t="s">
        <v>155</v>
      </c>
      <c r="X3" s="34" t="s">
        <v>162</v>
      </c>
      <c r="Y3" s="34" t="s">
        <v>169</v>
      </c>
      <c r="Z3" s="223" t="s">
        <v>156</v>
      </c>
      <c r="AA3" s="223" t="s">
        <v>157</v>
      </c>
      <c r="AB3" s="223" t="s">
        <v>163</v>
      </c>
      <c r="AC3" s="223" t="s">
        <v>319</v>
      </c>
      <c r="AD3" s="223" t="s">
        <v>277</v>
      </c>
      <c r="AE3" s="223" t="s">
        <v>278</v>
      </c>
      <c r="AF3" s="223" t="s">
        <v>159</v>
      </c>
      <c r="AG3" s="223" t="s">
        <v>164</v>
      </c>
      <c r="AH3" s="303" t="s">
        <v>175</v>
      </c>
      <c r="AI3" s="223" t="s">
        <v>272</v>
      </c>
      <c r="AJ3" s="223" t="s">
        <v>273</v>
      </c>
      <c r="AK3" s="223" t="s">
        <v>284</v>
      </c>
      <c r="AL3" s="303" t="s">
        <v>171</v>
      </c>
      <c r="AM3" s="223" t="s">
        <v>185</v>
      </c>
      <c r="AN3" s="223" t="s">
        <v>190</v>
      </c>
      <c r="AO3" s="223" t="s">
        <v>186</v>
      </c>
      <c r="AP3" s="223" t="s">
        <v>191</v>
      </c>
      <c r="AQ3" s="223" t="s">
        <v>187</v>
      </c>
      <c r="AR3" s="223" t="s">
        <v>192</v>
      </c>
      <c r="AS3" s="223" t="s">
        <v>188</v>
      </c>
      <c r="AT3" s="223" t="s">
        <v>189</v>
      </c>
      <c r="AU3" s="223" t="s">
        <v>193</v>
      </c>
      <c r="AV3" s="223" t="s">
        <v>337</v>
      </c>
      <c r="AW3" s="223" t="s">
        <v>338</v>
      </c>
      <c r="AX3" s="223" t="s">
        <v>342</v>
      </c>
      <c r="AY3" s="223" t="s">
        <v>339</v>
      </c>
      <c r="AZ3" s="223" t="s">
        <v>340</v>
      </c>
      <c r="BA3" s="223" t="s">
        <v>343</v>
      </c>
      <c r="BB3" s="223" t="s">
        <v>341</v>
      </c>
      <c r="BC3" s="223" t="s">
        <v>344</v>
      </c>
      <c r="BD3" s="223" t="s">
        <v>321</v>
      </c>
      <c r="BE3" s="223" t="s">
        <v>345</v>
      </c>
      <c r="BF3" s="223" t="s">
        <v>358</v>
      </c>
      <c r="BG3" s="223" t="s">
        <v>359</v>
      </c>
      <c r="BH3" s="223" t="s">
        <v>322</v>
      </c>
      <c r="BI3" s="223" t="s">
        <v>346</v>
      </c>
      <c r="BJ3" s="223" t="s">
        <v>324</v>
      </c>
      <c r="BK3" s="223" t="s">
        <v>347</v>
      </c>
      <c r="BL3" s="223" t="s">
        <v>325</v>
      </c>
      <c r="BM3" s="223" t="s">
        <v>348</v>
      </c>
      <c r="BN3" s="223" t="s">
        <v>326</v>
      </c>
      <c r="BO3" s="223" t="s">
        <v>349</v>
      </c>
      <c r="BP3" s="223" t="s">
        <v>336</v>
      </c>
      <c r="BQ3" s="223" t="s">
        <v>350</v>
      </c>
      <c r="BR3" s="223" t="s">
        <v>360</v>
      </c>
      <c r="BS3" s="223" t="s">
        <v>361</v>
      </c>
      <c r="BT3" s="223" t="s">
        <v>362</v>
      </c>
      <c r="BU3" s="223" t="s">
        <v>363</v>
      </c>
      <c r="BV3" s="353" t="s">
        <v>373</v>
      </c>
      <c r="BW3" s="353" t="s">
        <v>375</v>
      </c>
      <c r="BX3" s="223" t="s">
        <v>364</v>
      </c>
      <c r="BY3" s="223" t="s">
        <v>365</v>
      </c>
      <c r="BZ3" s="223" t="s">
        <v>370</v>
      </c>
      <c r="CA3" s="223" t="s">
        <v>371</v>
      </c>
      <c r="CB3" s="223" t="s">
        <v>374</v>
      </c>
      <c r="CC3" s="223" t="s">
        <v>377</v>
      </c>
    </row>
    <row r="4" spans="1:92" ht="14.25" customHeight="1" x14ac:dyDescent="0.25">
      <c r="A4" s="70">
        <v>2023</v>
      </c>
      <c r="B4" t="s">
        <v>2</v>
      </c>
      <c r="C4" s="22" t="s">
        <v>2</v>
      </c>
      <c r="D4" s="23" t="s">
        <v>2</v>
      </c>
      <c r="E4" s="23" t="s">
        <v>2</v>
      </c>
      <c r="F4" s="23" t="s">
        <v>2</v>
      </c>
      <c r="G4" s="23" t="s">
        <v>2</v>
      </c>
      <c r="H4" s="23" t="s">
        <v>2</v>
      </c>
      <c r="I4" s="23" t="s">
        <v>2</v>
      </c>
      <c r="J4" s="23" t="s">
        <v>2</v>
      </c>
      <c r="K4" s="72" t="s">
        <v>362</v>
      </c>
      <c r="L4" s="72" t="s">
        <v>186</v>
      </c>
      <c r="M4" s="308" t="s">
        <v>195</v>
      </c>
      <c r="N4" s="3"/>
      <c r="O4" s="340"/>
      <c r="P4" s="50" t="s">
        <v>2</v>
      </c>
      <c r="Q4" s="50" t="s">
        <v>2</v>
      </c>
      <c r="R4" s="50" t="s">
        <v>2</v>
      </c>
      <c r="S4" s="50" t="s">
        <v>2</v>
      </c>
      <c r="T4" s="50" t="s">
        <v>2</v>
      </c>
      <c r="U4" s="50" t="s">
        <v>2</v>
      </c>
      <c r="V4" s="50" t="s">
        <v>2</v>
      </c>
      <c r="W4" s="50" t="s">
        <v>2</v>
      </c>
      <c r="X4" s="50" t="s">
        <v>2</v>
      </c>
      <c r="Y4" s="50" t="s">
        <v>2</v>
      </c>
      <c r="Z4" t="s">
        <v>203</v>
      </c>
      <c r="AA4" t="s">
        <v>203</v>
      </c>
      <c r="AB4" t="s">
        <v>203</v>
      </c>
      <c r="AC4" t="s">
        <v>203</v>
      </c>
      <c r="AD4" t="s">
        <v>203</v>
      </c>
      <c r="AE4" t="s">
        <v>203</v>
      </c>
      <c r="AF4" t="s">
        <v>203</v>
      </c>
      <c r="AG4" t="s">
        <v>203</v>
      </c>
      <c r="AH4" s="50" t="s">
        <v>2</v>
      </c>
      <c r="AI4" t="s">
        <v>203</v>
      </c>
      <c r="AJ4" t="s">
        <v>203</v>
      </c>
      <c r="AK4" t="s">
        <v>203</v>
      </c>
      <c r="AL4" s="50" t="s">
        <v>2</v>
      </c>
      <c r="AM4" t="s">
        <v>203</v>
      </c>
      <c r="AN4" t="s">
        <v>203</v>
      </c>
      <c r="AO4" t="s">
        <v>203</v>
      </c>
      <c r="AP4" t="s">
        <v>203</v>
      </c>
      <c r="AQ4" t="s">
        <v>203</v>
      </c>
      <c r="AR4" t="s">
        <v>203</v>
      </c>
      <c r="AS4" s="50" t="s">
        <v>2</v>
      </c>
      <c r="AT4" t="s">
        <v>203</v>
      </c>
      <c r="AU4" t="s">
        <v>203</v>
      </c>
      <c r="AV4" s="50" t="s">
        <v>2</v>
      </c>
      <c r="AW4" s="50" t="s">
        <v>2</v>
      </c>
      <c r="AX4" s="50" t="s">
        <v>2</v>
      </c>
      <c r="AY4" s="50" t="s">
        <v>2</v>
      </c>
      <c r="AZ4" t="s">
        <v>3</v>
      </c>
      <c r="BA4" t="s">
        <v>3</v>
      </c>
      <c r="BB4" t="s">
        <v>3</v>
      </c>
      <c r="BC4" t="s">
        <v>3</v>
      </c>
      <c r="BD4" t="s">
        <v>203</v>
      </c>
      <c r="BE4" t="s">
        <v>203</v>
      </c>
      <c r="BF4" t="s">
        <v>3</v>
      </c>
      <c r="BG4" t="s">
        <v>3</v>
      </c>
      <c r="BH4" t="s">
        <v>203</v>
      </c>
      <c r="BI4" t="s">
        <v>203</v>
      </c>
      <c r="BJ4" t="s">
        <v>3</v>
      </c>
      <c r="BK4" t="s">
        <v>3</v>
      </c>
      <c r="BL4" t="s">
        <v>3</v>
      </c>
      <c r="BM4" t="s">
        <v>3</v>
      </c>
      <c r="BN4" t="s">
        <v>354</v>
      </c>
      <c r="BO4" t="s">
        <v>354</v>
      </c>
      <c r="BP4" t="s">
        <v>3</v>
      </c>
      <c r="BQ4" t="s">
        <v>3</v>
      </c>
      <c r="BR4" s="50" t="s">
        <v>2</v>
      </c>
      <c r="BS4" s="50" t="s">
        <v>2</v>
      </c>
      <c r="BT4" s="50" t="s">
        <v>2</v>
      </c>
      <c r="BU4" s="50" t="s">
        <v>2</v>
      </c>
      <c r="BV4" t="s">
        <v>3</v>
      </c>
      <c r="BW4" t="s">
        <v>3</v>
      </c>
      <c r="BX4" s="50" t="s">
        <v>2</v>
      </c>
      <c r="BY4" s="50" t="s">
        <v>2</v>
      </c>
      <c r="BZ4" s="50" t="s">
        <v>2</v>
      </c>
      <c r="CA4" s="50" t="s">
        <v>2</v>
      </c>
      <c r="CB4" t="s">
        <v>3</v>
      </c>
      <c r="CC4" t="s">
        <v>3</v>
      </c>
      <c r="CD4" s="3" t="s">
        <v>2</v>
      </c>
    </row>
    <row r="5" spans="1:92" x14ac:dyDescent="0.25">
      <c r="A5" s="70">
        <v>2024</v>
      </c>
      <c r="B5" t="s">
        <v>2</v>
      </c>
      <c r="C5" s="22" t="s">
        <v>2</v>
      </c>
      <c r="D5" s="23" t="s">
        <v>2</v>
      </c>
      <c r="E5" s="23" t="s">
        <v>2</v>
      </c>
      <c r="F5" s="23" t="s">
        <v>2</v>
      </c>
      <c r="G5" s="23" t="s">
        <v>2</v>
      </c>
      <c r="H5" s="23" t="s">
        <v>2</v>
      </c>
      <c r="I5" s="23" t="s">
        <v>2</v>
      </c>
      <c r="J5" s="23" t="s">
        <v>2</v>
      </c>
      <c r="K5" s="72" t="s">
        <v>373</v>
      </c>
      <c r="L5" s="72" t="s">
        <v>187</v>
      </c>
      <c r="M5" s="308" t="s">
        <v>196</v>
      </c>
      <c r="N5" s="3"/>
      <c r="O5" s="341"/>
      <c r="P5" s="18" t="s">
        <v>2</v>
      </c>
      <c r="Q5" s="18" t="s">
        <v>2</v>
      </c>
      <c r="R5" s="18" t="s">
        <v>2</v>
      </c>
      <c r="S5" s="18" t="s">
        <v>2</v>
      </c>
      <c r="T5" s="18" t="s">
        <v>2</v>
      </c>
      <c r="U5" s="18" t="s">
        <v>2</v>
      </c>
      <c r="V5" s="18" t="s">
        <v>2</v>
      </c>
      <c r="W5" s="18" t="s">
        <v>2</v>
      </c>
      <c r="X5" s="18" t="s">
        <v>2</v>
      </c>
      <c r="Y5" s="18" t="s">
        <v>2</v>
      </c>
      <c r="Z5" s="2" t="s">
        <v>3</v>
      </c>
      <c r="AA5" s="2" t="s">
        <v>3</v>
      </c>
      <c r="AB5" s="2" t="s">
        <v>3</v>
      </c>
      <c r="AC5" s="2" t="s">
        <v>3</v>
      </c>
      <c r="AD5" s="2" t="s">
        <v>3</v>
      </c>
      <c r="AE5" s="2" t="s">
        <v>3</v>
      </c>
      <c r="AF5" s="2" t="s">
        <v>3</v>
      </c>
      <c r="AG5" s="2" t="s">
        <v>3</v>
      </c>
      <c r="AH5" s="18" t="s">
        <v>2</v>
      </c>
      <c r="AI5" s="2" t="s">
        <v>3</v>
      </c>
      <c r="AJ5" s="2" t="s">
        <v>3</v>
      </c>
      <c r="AK5" s="2" t="s">
        <v>3</v>
      </c>
      <c r="AL5" s="18" t="s">
        <v>2</v>
      </c>
      <c r="AM5" s="18" t="s">
        <v>2</v>
      </c>
      <c r="AN5" s="18" t="s">
        <v>2</v>
      </c>
      <c r="AO5" s="18" t="s">
        <v>2</v>
      </c>
      <c r="AP5" s="18" t="s">
        <v>2</v>
      </c>
      <c r="AQ5" s="18" t="s">
        <v>2</v>
      </c>
      <c r="AR5" s="18" t="s">
        <v>2</v>
      </c>
      <c r="AS5" s="18" t="s">
        <v>2</v>
      </c>
      <c r="AT5" s="18" t="s">
        <v>2</v>
      </c>
      <c r="AU5" s="18" t="s">
        <v>2</v>
      </c>
      <c r="AV5" s="18" t="s">
        <v>2</v>
      </c>
      <c r="AW5" s="18" t="s">
        <v>2</v>
      </c>
      <c r="AX5" s="18" t="s">
        <v>2</v>
      </c>
      <c r="AY5" s="18" t="s">
        <v>2</v>
      </c>
      <c r="AZ5" s="18" t="s">
        <v>2</v>
      </c>
      <c r="BA5" s="18" t="s">
        <v>2</v>
      </c>
      <c r="BB5" s="18" t="s">
        <v>2</v>
      </c>
      <c r="BC5" s="18" t="s">
        <v>2</v>
      </c>
      <c r="BD5" s="2" t="s">
        <v>3</v>
      </c>
      <c r="BE5" s="2" t="s">
        <v>3</v>
      </c>
      <c r="BF5" s="18" t="s">
        <v>2</v>
      </c>
      <c r="BG5" s="18" t="s">
        <v>2</v>
      </c>
      <c r="BH5" s="2" t="s">
        <v>3</v>
      </c>
      <c r="BI5" s="2" t="s">
        <v>3</v>
      </c>
      <c r="BJ5" s="18" t="s">
        <v>2</v>
      </c>
      <c r="BK5" s="18" t="s">
        <v>2</v>
      </c>
      <c r="BL5" s="18" t="s">
        <v>2</v>
      </c>
      <c r="BM5" s="18" t="s">
        <v>2</v>
      </c>
      <c r="BN5" s="2" t="s">
        <v>3</v>
      </c>
      <c r="BO5" s="2" t="s">
        <v>3</v>
      </c>
      <c r="BP5" s="18" t="s">
        <v>2</v>
      </c>
      <c r="BQ5" s="18" t="s">
        <v>2</v>
      </c>
      <c r="BR5" s="18" t="s">
        <v>2</v>
      </c>
      <c r="BS5" s="18" t="s">
        <v>2</v>
      </c>
      <c r="BT5" s="18" t="s">
        <v>2</v>
      </c>
      <c r="BU5" s="18" t="s">
        <v>2</v>
      </c>
      <c r="BV5" s="18" t="s">
        <v>2</v>
      </c>
      <c r="BW5" s="18" t="s">
        <v>2</v>
      </c>
      <c r="BX5" s="18" t="s">
        <v>2</v>
      </c>
      <c r="BY5" s="18" t="s">
        <v>2</v>
      </c>
      <c r="BZ5" s="18" t="s">
        <v>2</v>
      </c>
      <c r="CA5" s="18" t="s">
        <v>2</v>
      </c>
      <c r="CB5" s="18" t="s">
        <v>2</v>
      </c>
      <c r="CC5" s="18" t="s">
        <v>2</v>
      </c>
      <c r="CD5" s="3" t="s">
        <v>2</v>
      </c>
    </row>
    <row r="6" spans="1:92" x14ac:dyDescent="0.25">
      <c r="A6" s="12">
        <v>2025</v>
      </c>
      <c r="B6" t="s">
        <v>2</v>
      </c>
      <c r="C6" s="22" t="s">
        <v>2</v>
      </c>
      <c r="D6" s="23" t="s">
        <v>2</v>
      </c>
      <c r="E6" s="23" t="s">
        <v>2</v>
      </c>
      <c r="F6" s="23" t="s">
        <v>2</v>
      </c>
      <c r="G6" s="23" t="s">
        <v>2</v>
      </c>
      <c r="H6" s="23" t="s">
        <v>2</v>
      </c>
      <c r="I6" s="23" t="s">
        <v>2</v>
      </c>
      <c r="J6" s="23" t="s">
        <v>2</v>
      </c>
      <c r="K6" s="72" t="s">
        <v>364</v>
      </c>
      <c r="L6" s="72" t="s">
        <v>188</v>
      </c>
      <c r="M6" s="308" t="s">
        <v>197</v>
      </c>
      <c r="N6" s="3"/>
      <c r="O6" s="1"/>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J6" s="55" t="s">
        <v>204</v>
      </c>
    </row>
    <row r="7" spans="1:92" ht="23.25" customHeight="1" x14ac:dyDescent="0.25">
      <c r="B7" t="s">
        <v>2</v>
      </c>
      <c r="C7" s="22" t="s">
        <v>2</v>
      </c>
      <c r="D7" s="23" t="s">
        <v>2</v>
      </c>
      <c r="E7" s="23" t="s">
        <v>2</v>
      </c>
      <c r="F7" s="23" t="s">
        <v>2</v>
      </c>
      <c r="G7" s="23" t="s">
        <v>2</v>
      </c>
      <c r="H7" s="23" t="s">
        <v>2</v>
      </c>
      <c r="I7" s="23" t="s">
        <v>2</v>
      </c>
      <c r="J7" s="23" t="s">
        <v>2</v>
      </c>
      <c r="K7" s="72" t="s">
        <v>370</v>
      </c>
      <c r="L7" s="72" t="s">
        <v>189</v>
      </c>
      <c r="M7" s="308" t="s">
        <v>198</v>
      </c>
      <c r="N7" s="3"/>
      <c r="O7" s="339" t="s">
        <v>146</v>
      </c>
      <c r="P7" s="34" t="str">
        <f>$P$3</f>
        <v xml:space="preserve">  RFA 2023-102</v>
      </c>
      <c r="Q7" s="34" t="str">
        <f>$Q$3</f>
        <v xml:space="preserve">  RFA 2023-102SF</v>
      </c>
      <c r="R7" s="34" t="str">
        <f>$R$3</f>
        <v xml:space="preserve">  RFA 2023-103</v>
      </c>
      <c r="S7" s="34" t="str">
        <f>$S$3</f>
        <v xml:space="preserve">  RFA 2023-103SF</v>
      </c>
      <c r="T7" s="34" t="str">
        <f>$T$3</f>
        <v xml:space="preserve">  RFA 2023-104</v>
      </c>
      <c r="U7" s="34" t="str">
        <f>$U$3</f>
        <v xml:space="preserve">  RFA 2023-104SF</v>
      </c>
      <c r="V7" s="34" t="str">
        <f>$V$3</f>
        <v xml:space="preserve">  RFA 2023-105</v>
      </c>
      <c r="W7" s="34" t="str">
        <f>$W$3</f>
        <v xml:space="preserve">  RFA 2023-106</v>
      </c>
      <c r="X7" s="34" t="str">
        <f>$X$3</f>
        <v xml:space="preserve">  RFA 2023-106SF</v>
      </c>
      <c r="Y7" s="34" t="str">
        <f>$Y$3</f>
        <v xml:space="preserve">  RFA 2023-108</v>
      </c>
      <c r="Z7" s="223" t="str">
        <f>$Z$3</f>
        <v xml:space="preserve">  RFA 2023-201</v>
      </c>
      <c r="AA7" s="223" t="str">
        <f>$AA$3</f>
        <v xml:space="preserve">  RFA 2023-202</v>
      </c>
      <c r="AB7" s="223" t="str">
        <f>$AB$3</f>
        <v xml:space="preserve">  RFA 2023-202SF</v>
      </c>
      <c r="AC7" s="223" t="str">
        <f>$AC$3</f>
        <v xml:space="preserve">  RFA 2023-203SF</v>
      </c>
      <c r="AD7" s="223" t="s">
        <v>277</v>
      </c>
      <c r="AE7" s="223" t="s">
        <v>278</v>
      </c>
      <c r="AF7" s="223" t="str">
        <f>$AF$3</f>
        <v xml:space="preserve">  RFA 2023-205</v>
      </c>
      <c r="AG7" s="223" t="str">
        <f>$AG$3</f>
        <v xml:space="preserve">  RFA 2023-205SF</v>
      </c>
      <c r="AH7" s="303" t="str">
        <f>$AH$3</f>
        <v xml:space="preserve">  RFA 2023-211</v>
      </c>
      <c r="AI7" s="223" t="str">
        <f>$AI$3</f>
        <v xml:space="preserve">  RFA 2023-212</v>
      </c>
      <c r="AJ7" s="223" t="str">
        <f>$AJ$3</f>
        <v xml:space="preserve">  RFA 2023-213</v>
      </c>
      <c r="AK7" s="223" t="str">
        <f>AK$3</f>
        <v xml:space="preserve">  RFA 2023-213SF</v>
      </c>
      <c r="AL7" s="303" t="str">
        <f>$AL$3</f>
        <v xml:space="preserve">  RFA 2023-304</v>
      </c>
      <c r="AM7" s="223" t="str">
        <f>$AM$3</f>
        <v xml:space="preserve">  RFA 2024-102</v>
      </c>
      <c r="AN7" s="223" t="str">
        <f>$AN$3</f>
        <v xml:space="preserve">  RFA 2024-102SF</v>
      </c>
      <c r="AO7" s="223" t="str">
        <f>$AO$3</f>
        <v xml:space="preserve">  RFA 2024-103</v>
      </c>
      <c r="AP7" s="223" t="str">
        <f>$AP$3</f>
        <v xml:space="preserve">  RFA 2024-103SF</v>
      </c>
      <c r="AQ7" s="223" t="str">
        <f>$AQ$3</f>
        <v xml:space="preserve">  RFA 2024-104</v>
      </c>
      <c r="AR7" s="223" t="str">
        <f>$AR$3</f>
        <v xml:space="preserve">  RFA 2024-104SF</v>
      </c>
      <c r="AS7" s="223" t="str">
        <f>$AS$3</f>
        <v xml:space="preserve">  RFA 2024-105</v>
      </c>
      <c r="AT7" s="223" t="str">
        <f t="shared" ref="AT7:BC7" si="0">AT3</f>
        <v xml:space="preserve">  RFA 2024-106</v>
      </c>
      <c r="AU7" s="223" t="str">
        <f t="shared" si="0"/>
        <v xml:space="preserve">  RFA 2024-106SF</v>
      </c>
      <c r="AV7" s="223" t="str">
        <f t="shared" si="0"/>
        <v xml:space="preserve">  RFA 2024-201</v>
      </c>
      <c r="AW7" s="223" t="str">
        <f t="shared" si="0"/>
        <v xml:space="preserve">  RFA 2024-202</v>
      </c>
      <c r="AX7" s="223" t="str">
        <f t="shared" si="0"/>
        <v xml:space="preserve">  RFA 2024-202SF</v>
      </c>
      <c r="AY7" s="223" t="str">
        <f t="shared" si="0"/>
        <v xml:space="preserve">  RFA 2024-203</v>
      </c>
      <c r="AZ7" s="223" t="str">
        <f t="shared" si="0"/>
        <v xml:space="preserve">  RFA 2024-204</v>
      </c>
      <c r="BA7" s="223" t="str">
        <f t="shared" si="0"/>
        <v xml:space="preserve">  RFA 2024-204SF</v>
      </c>
      <c r="BB7" s="223" t="str">
        <f t="shared" si="0"/>
        <v xml:space="preserve">  RFA 2024-205</v>
      </c>
      <c r="BC7" s="223" t="str">
        <f t="shared" si="0"/>
        <v xml:space="preserve">  RFA 2024-205SF</v>
      </c>
      <c r="BD7" s="223" t="str">
        <f>$BD$3</f>
        <v xml:space="preserve">  RFA 2024-206</v>
      </c>
      <c r="BE7" s="223" t="str">
        <f t="shared" ref="BE7:CC7" si="1">BE3</f>
        <v xml:space="preserve">  RFA 2024-206SF</v>
      </c>
      <c r="BF7" s="223" t="str">
        <f>$BF$3</f>
        <v xml:space="preserve">  RFA 2024-213</v>
      </c>
      <c r="BG7" s="223" t="str">
        <f>$BG$3</f>
        <v xml:space="preserve">  RFA 2024-213SF</v>
      </c>
      <c r="BH7" s="223" t="str">
        <f t="shared" si="1"/>
        <v xml:space="preserve">  RFA 2024-214</v>
      </c>
      <c r="BI7" s="223" t="str">
        <f t="shared" si="1"/>
        <v xml:space="preserve">  RFA 2024-214SF</v>
      </c>
      <c r="BJ7" s="223" t="str">
        <f t="shared" si="1"/>
        <v xml:space="preserve">  RFA 2024-215</v>
      </c>
      <c r="BK7" s="223" t="str">
        <f t="shared" si="1"/>
        <v xml:space="preserve">  RFA 2024-215SF</v>
      </c>
      <c r="BL7" s="223" t="str">
        <f t="shared" si="1"/>
        <v xml:space="preserve">  RFA 2024-216</v>
      </c>
      <c r="BM7" s="223" t="str">
        <f t="shared" si="1"/>
        <v xml:space="preserve">  RFA 2024-216SF</v>
      </c>
      <c r="BN7" s="223" t="str">
        <f t="shared" si="1"/>
        <v xml:space="preserve">  RFA 2024-305</v>
      </c>
      <c r="BO7" s="223" t="str">
        <f t="shared" si="1"/>
        <v xml:space="preserve">  RFA 2024-305SF</v>
      </c>
      <c r="BP7" s="223" t="str">
        <f t="shared" si="1"/>
        <v xml:space="preserve">  RFA 2024-306</v>
      </c>
      <c r="BQ7" s="223" t="str">
        <f t="shared" ref="BQ7:BW7" si="2">BQ3</f>
        <v xml:space="preserve">  RFA 2024-306SF</v>
      </c>
      <c r="BR7" s="223" t="str">
        <f t="shared" si="1"/>
        <v xml:space="preserve">  RFA 2025-102</v>
      </c>
      <c r="BS7" s="223" t="str">
        <f t="shared" si="2"/>
        <v xml:space="preserve">  RFA 2025-102SF</v>
      </c>
      <c r="BT7" s="223" t="str">
        <f t="shared" si="1"/>
        <v xml:space="preserve">  RFA 2025-103</v>
      </c>
      <c r="BU7" s="223" t="str">
        <f t="shared" si="2"/>
        <v xml:space="preserve">  RFA 2025-103SF</v>
      </c>
      <c r="BV7" s="353" t="str">
        <f t="shared" si="1"/>
        <v xml:space="preserve">  RFA 2025-104</v>
      </c>
      <c r="BW7" s="353" t="str">
        <f t="shared" si="2"/>
        <v xml:space="preserve">  RFA 2025-104SF</v>
      </c>
      <c r="BX7" s="223" t="str">
        <f t="shared" si="1"/>
        <v xml:space="preserve">  RFA 2025-106</v>
      </c>
      <c r="BY7" s="223" t="str">
        <f t="shared" si="1"/>
        <v xml:space="preserve">  RFA 2025-106SF</v>
      </c>
      <c r="BZ7" s="223" t="str">
        <f t="shared" ref="BZ7:CA7" si="3">BZ3</f>
        <v xml:space="preserve">  RFA 2025-206</v>
      </c>
      <c r="CA7" s="223" t="str">
        <f t="shared" si="3"/>
        <v xml:space="preserve">  RFA 2025-206SF</v>
      </c>
      <c r="CB7" s="223" t="str">
        <f t="shared" si="1"/>
        <v xml:space="preserve">  RFA 2025-216</v>
      </c>
      <c r="CC7" s="223" t="str">
        <f t="shared" si="1"/>
        <v xml:space="preserve">  RFA 2025-216SF</v>
      </c>
      <c r="CD7" s="29"/>
      <c r="CJ7" t="s">
        <v>205</v>
      </c>
      <c r="CK7" s="10" t="s">
        <v>174</v>
      </c>
      <c r="CL7" s="10" t="s">
        <v>174</v>
      </c>
      <c r="CM7" s="10" t="s">
        <v>327</v>
      </c>
      <c r="CN7" s="10" t="s">
        <v>327</v>
      </c>
    </row>
    <row r="8" spans="1:92" x14ac:dyDescent="0.25">
      <c r="B8" t="s">
        <v>2</v>
      </c>
      <c r="C8" s="22" t="s">
        <v>2</v>
      </c>
      <c r="D8" s="23" t="s">
        <v>2</v>
      </c>
      <c r="E8" s="23" t="s">
        <v>2</v>
      </c>
      <c r="F8" s="23" t="s">
        <v>2</v>
      </c>
      <c r="G8" s="23" t="s">
        <v>2</v>
      </c>
      <c r="H8" s="23" t="s">
        <v>2</v>
      </c>
      <c r="I8" s="23" t="s">
        <v>2</v>
      </c>
      <c r="J8" s="23" t="s">
        <v>2</v>
      </c>
      <c r="K8" s="72" t="s">
        <v>374</v>
      </c>
      <c r="L8" s="72" t="s">
        <v>337</v>
      </c>
      <c r="M8" s="308" t="s">
        <v>199</v>
      </c>
      <c r="N8" s="3"/>
      <c r="O8" s="340"/>
      <c r="P8" s="50" t="s">
        <v>2</v>
      </c>
      <c r="Q8" s="50" t="s">
        <v>2</v>
      </c>
      <c r="R8" s="50" t="s">
        <v>2</v>
      </c>
      <c r="S8" s="50" t="s">
        <v>2</v>
      </c>
      <c r="T8" s="50" t="s">
        <v>2</v>
      </c>
      <c r="U8" s="50" t="s">
        <v>2</v>
      </c>
      <c r="V8" s="50" t="s">
        <v>2</v>
      </c>
      <c r="W8" s="50" t="s">
        <v>2</v>
      </c>
      <c r="X8" s="50" t="s">
        <v>2</v>
      </c>
      <c r="Y8" s="50" t="s">
        <v>2</v>
      </c>
      <c r="Z8" s="51">
        <v>7500</v>
      </c>
      <c r="AA8" s="51">
        <v>7500</v>
      </c>
      <c r="AB8" s="51">
        <v>7500</v>
      </c>
      <c r="AC8" s="51">
        <v>7500</v>
      </c>
      <c r="AD8" s="51">
        <v>7500</v>
      </c>
      <c r="AE8" s="51">
        <v>7500</v>
      </c>
      <c r="AF8" s="51">
        <v>7500</v>
      </c>
      <c r="AG8" s="51">
        <v>7500</v>
      </c>
      <c r="AH8" s="50" t="s">
        <v>2</v>
      </c>
      <c r="AI8" s="51">
        <v>7500</v>
      </c>
      <c r="AJ8" s="51">
        <v>7500</v>
      </c>
      <c r="AK8" s="51">
        <v>7500</v>
      </c>
      <c r="AL8" s="50" t="s">
        <v>2</v>
      </c>
      <c r="AM8" s="51">
        <v>7500</v>
      </c>
      <c r="AN8" s="51">
        <v>7500</v>
      </c>
      <c r="AO8" s="51">
        <v>7500</v>
      </c>
      <c r="AP8" s="51">
        <v>7500</v>
      </c>
      <c r="AQ8" s="51">
        <v>7500</v>
      </c>
      <c r="AR8" s="51">
        <v>7500</v>
      </c>
      <c r="AS8" s="50" t="s">
        <v>2</v>
      </c>
      <c r="AT8" s="51">
        <v>7500</v>
      </c>
      <c r="AU8" s="51">
        <v>7500</v>
      </c>
      <c r="AV8" s="50" t="s">
        <v>2</v>
      </c>
      <c r="AW8" s="50" t="s">
        <v>2</v>
      </c>
      <c r="AX8" s="50" t="s">
        <v>2</v>
      </c>
      <c r="AY8" s="50" t="s">
        <v>2</v>
      </c>
      <c r="AZ8" s="51">
        <v>7500</v>
      </c>
      <c r="BA8" s="51">
        <v>7500</v>
      </c>
      <c r="BB8" s="51">
        <v>7500</v>
      </c>
      <c r="BC8" s="51">
        <v>7500</v>
      </c>
      <c r="BD8" s="51">
        <v>7500</v>
      </c>
      <c r="BE8" s="51">
        <v>7500</v>
      </c>
      <c r="BF8" s="51">
        <v>7500</v>
      </c>
      <c r="BG8" s="51">
        <v>7500</v>
      </c>
      <c r="BH8" s="51">
        <v>7500</v>
      </c>
      <c r="BI8" s="51">
        <v>7500</v>
      </c>
      <c r="BJ8" s="51">
        <v>7500</v>
      </c>
      <c r="BK8" s="51">
        <v>7500</v>
      </c>
      <c r="BL8" s="51">
        <v>7500</v>
      </c>
      <c r="BM8" s="51">
        <v>7500</v>
      </c>
      <c r="BN8" s="51">
        <v>7500</v>
      </c>
      <c r="BO8" s="51">
        <v>7500</v>
      </c>
      <c r="BP8" s="51">
        <v>7500</v>
      </c>
      <c r="BQ8" s="51">
        <v>7500</v>
      </c>
      <c r="BR8" s="50" t="s">
        <v>2</v>
      </c>
      <c r="BS8" s="50" t="s">
        <v>2</v>
      </c>
      <c r="BT8" s="50" t="s">
        <v>2</v>
      </c>
      <c r="BU8" s="50" t="s">
        <v>2</v>
      </c>
      <c r="BV8" s="51">
        <v>7500</v>
      </c>
      <c r="BW8" s="51">
        <v>7500</v>
      </c>
      <c r="BX8" s="50" t="s">
        <v>2</v>
      </c>
      <c r="BY8" s="50" t="s">
        <v>2</v>
      </c>
      <c r="BZ8" s="50" t="s">
        <v>2</v>
      </c>
      <c r="CA8" s="50" t="s">
        <v>2</v>
      </c>
      <c r="CB8" s="51">
        <v>7500</v>
      </c>
      <c r="CC8" s="51">
        <v>7500</v>
      </c>
      <c r="CD8" s="3"/>
      <c r="CJ8" t="s">
        <v>206</v>
      </c>
      <c r="CK8" s="10" t="s">
        <v>147</v>
      </c>
      <c r="CL8" s="10" t="s">
        <v>148</v>
      </c>
      <c r="CM8" s="10" t="s">
        <v>147</v>
      </c>
      <c r="CN8" s="10" t="s">
        <v>148</v>
      </c>
    </row>
    <row r="9" spans="1:92" ht="18.75" customHeight="1" x14ac:dyDescent="0.25">
      <c r="B9" t="s">
        <v>2</v>
      </c>
      <c r="C9" s="22" t="s">
        <v>2</v>
      </c>
      <c r="D9" s="23" t="s">
        <v>2</v>
      </c>
      <c r="E9" s="23" t="s">
        <v>2</v>
      </c>
      <c r="F9" s="23" t="s">
        <v>2</v>
      </c>
      <c r="G9" s="23" t="s">
        <v>2</v>
      </c>
      <c r="H9" s="23" t="s">
        <v>2</v>
      </c>
      <c r="I9" s="23" t="s">
        <v>2</v>
      </c>
      <c r="J9" s="23" t="s">
        <v>2</v>
      </c>
      <c r="K9" s="23" t="s">
        <v>2</v>
      </c>
      <c r="L9" s="72" t="s">
        <v>338</v>
      </c>
      <c r="M9" s="300" t="s">
        <v>156</v>
      </c>
      <c r="N9" s="3"/>
      <c r="O9" s="341"/>
      <c r="P9" s="18" t="s">
        <v>2</v>
      </c>
      <c r="Q9" s="18" t="s">
        <v>2</v>
      </c>
      <c r="R9" s="18" t="s">
        <v>2</v>
      </c>
      <c r="S9" s="18" t="s">
        <v>2</v>
      </c>
      <c r="T9" s="18" t="s">
        <v>2</v>
      </c>
      <c r="U9" s="18" t="s">
        <v>2</v>
      </c>
      <c r="V9" s="18" t="s">
        <v>2</v>
      </c>
      <c r="W9" s="18" t="s">
        <v>2</v>
      </c>
      <c r="X9" s="18" t="s">
        <v>2</v>
      </c>
      <c r="Y9" s="18" t="s">
        <v>2</v>
      </c>
      <c r="Z9" s="7">
        <v>7500</v>
      </c>
      <c r="AA9" s="7">
        <v>7500</v>
      </c>
      <c r="AB9" s="7">
        <v>7500</v>
      </c>
      <c r="AC9" s="7">
        <v>7500</v>
      </c>
      <c r="AD9" s="7">
        <v>7500</v>
      </c>
      <c r="AE9" s="7">
        <v>7500</v>
      </c>
      <c r="AF9" s="7">
        <v>7500</v>
      </c>
      <c r="AG9" s="7">
        <v>7500</v>
      </c>
      <c r="AH9" s="18" t="s">
        <v>2</v>
      </c>
      <c r="AI9" s="7">
        <v>7500</v>
      </c>
      <c r="AJ9" s="7">
        <v>7500</v>
      </c>
      <c r="AK9" s="7">
        <v>7500</v>
      </c>
      <c r="AL9" s="18" t="s">
        <v>2</v>
      </c>
      <c r="AM9" s="18" t="s">
        <v>2</v>
      </c>
      <c r="AN9" s="18" t="s">
        <v>2</v>
      </c>
      <c r="AO9" s="18" t="s">
        <v>2</v>
      </c>
      <c r="AP9" s="18" t="s">
        <v>2</v>
      </c>
      <c r="AQ9" s="18" t="s">
        <v>2</v>
      </c>
      <c r="AR9" s="18" t="s">
        <v>2</v>
      </c>
      <c r="AS9" s="18" t="s">
        <v>2</v>
      </c>
      <c r="AT9" s="18" t="s">
        <v>2</v>
      </c>
      <c r="AU9" s="18" t="s">
        <v>2</v>
      </c>
      <c r="AV9" s="18" t="s">
        <v>2</v>
      </c>
      <c r="AW9" s="18" t="s">
        <v>2</v>
      </c>
      <c r="AX9" s="18" t="s">
        <v>2</v>
      </c>
      <c r="AY9" s="18" t="s">
        <v>2</v>
      </c>
      <c r="AZ9" s="18" t="s">
        <v>2</v>
      </c>
      <c r="BA9" s="18" t="s">
        <v>2</v>
      </c>
      <c r="BB9" s="18" t="s">
        <v>2</v>
      </c>
      <c r="BC9" s="18" t="s">
        <v>2</v>
      </c>
      <c r="BD9" s="7">
        <v>7500</v>
      </c>
      <c r="BE9" s="7">
        <v>7500</v>
      </c>
      <c r="BF9" s="18" t="s">
        <v>2</v>
      </c>
      <c r="BG9" s="18" t="s">
        <v>2</v>
      </c>
      <c r="BH9" s="7">
        <v>7500</v>
      </c>
      <c r="BI9" s="7">
        <v>7500</v>
      </c>
      <c r="BJ9" s="18" t="s">
        <v>2</v>
      </c>
      <c r="BK9" s="18" t="s">
        <v>2</v>
      </c>
      <c r="BL9" s="18" t="s">
        <v>2</v>
      </c>
      <c r="BM9" s="18" t="s">
        <v>2</v>
      </c>
      <c r="BN9" s="7">
        <v>7500</v>
      </c>
      <c r="BO9" s="7">
        <v>7500</v>
      </c>
      <c r="BP9" s="18" t="s">
        <v>2</v>
      </c>
      <c r="BQ9" s="18" t="s">
        <v>2</v>
      </c>
      <c r="BR9" s="18" t="s">
        <v>2</v>
      </c>
      <c r="BS9" s="18" t="s">
        <v>2</v>
      </c>
      <c r="BT9" s="18" t="s">
        <v>2</v>
      </c>
      <c r="BU9" s="18" t="s">
        <v>2</v>
      </c>
      <c r="BV9" s="18" t="s">
        <v>2</v>
      </c>
      <c r="BW9" s="18" t="s">
        <v>2</v>
      </c>
      <c r="BX9" s="18" t="s">
        <v>2</v>
      </c>
      <c r="BY9" s="18" t="s">
        <v>2</v>
      </c>
      <c r="BZ9" s="18" t="s">
        <v>2</v>
      </c>
      <c r="CA9" s="18" t="s">
        <v>2</v>
      </c>
      <c r="CB9" s="18" t="s">
        <v>2</v>
      </c>
      <c r="CC9" s="18" t="s">
        <v>2</v>
      </c>
      <c r="CD9" s="3"/>
      <c r="CJ9" t="s">
        <v>136</v>
      </c>
      <c r="CK9" s="54">
        <v>220000</v>
      </c>
      <c r="CL9" s="54">
        <v>240000</v>
      </c>
      <c r="CM9" s="54">
        <v>233000</v>
      </c>
      <c r="CN9" s="54">
        <v>258000</v>
      </c>
    </row>
    <row r="10" spans="1:92" x14ac:dyDescent="0.25">
      <c r="B10" t="s">
        <v>2</v>
      </c>
      <c r="C10" s="22" t="s">
        <v>2</v>
      </c>
      <c r="D10" s="23" t="s">
        <v>2</v>
      </c>
      <c r="E10" s="23" t="s">
        <v>2</v>
      </c>
      <c r="F10" s="23" t="s">
        <v>2</v>
      </c>
      <c r="G10" s="23" t="s">
        <v>2</v>
      </c>
      <c r="H10" s="23" t="s">
        <v>2</v>
      </c>
      <c r="I10" s="23" t="s">
        <v>2</v>
      </c>
      <c r="J10" s="23" t="s">
        <v>2</v>
      </c>
      <c r="K10" s="23" t="s">
        <v>2</v>
      </c>
      <c r="L10" s="72" t="s">
        <v>339</v>
      </c>
      <c r="M10" s="300" t="s">
        <v>157</v>
      </c>
      <c r="N10" s="3"/>
      <c r="O10" s="1"/>
      <c r="CJ10" t="s">
        <v>114</v>
      </c>
      <c r="CK10" s="54">
        <v>240000</v>
      </c>
      <c r="CL10" s="54">
        <v>260000</v>
      </c>
      <c r="CM10" s="54">
        <v>258000</v>
      </c>
      <c r="CN10" s="54">
        <v>283000</v>
      </c>
    </row>
    <row r="11" spans="1:92" ht="15" customHeight="1" x14ac:dyDescent="0.25">
      <c r="A11" s="11" t="s">
        <v>1</v>
      </c>
      <c r="B11" t="s">
        <v>2</v>
      </c>
      <c r="C11" s="22" t="s">
        <v>2</v>
      </c>
      <c r="D11" s="23" t="s">
        <v>2</v>
      </c>
      <c r="E11" s="23" t="s">
        <v>2</v>
      </c>
      <c r="F11" s="23" t="s">
        <v>2</v>
      </c>
      <c r="G11" s="23" t="s">
        <v>2</v>
      </c>
      <c r="H11" s="23" t="s">
        <v>2</v>
      </c>
      <c r="I11" s="23" t="s">
        <v>2</v>
      </c>
      <c r="J11" s="23" t="s">
        <v>2</v>
      </c>
      <c r="K11" s="23" t="s">
        <v>2</v>
      </c>
      <c r="L11" s="72" t="s">
        <v>340</v>
      </c>
      <c r="M11" s="300" t="s">
        <v>158</v>
      </c>
      <c r="N11" s="3"/>
      <c r="O11" s="339" t="s">
        <v>90</v>
      </c>
      <c r="P11" s="34" t="str">
        <f>$P$3</f>
        <v xml:space="preserve">  RFA 2023-102</v>
      </c>
      <c r="Q11" s="34" t="str">
        <f>$Q$3</f>
        <v xml:space="preserve">  RFA 2023-102SF</v>
      </c>
      <c r="R11" s="34" t="str">
        <f>$R$3</f>
        <v xml:space="preserve">  RFA 2023-103</v>
      </c>
      <c r="S11" s="34" t="str">
        <f>$S$3</f>
        <v xml:space="preserve">  RFA 2023-103SF</v>
      </c>
      <c r="T11" s="34" t="str">
        <f>$T$3</f>
        <v xml:space="preserve">  RFA 2023-104</v>
      </c>
      <c r="U11" s="34" t="str">
        <f>$U$3</f>
        <v xml:space="preserve">  RFA 2023-104SF</v>
      </c>
      <c r="V11" s="34" t="str">
        <f>$V$3</f>
        <v xml:space="preserve">  RFA 2023-105</v>
      </c>
      <c r="W11" s="34" t="str">
        <f>$W$3</f>
        <v xml:space="preserve">  RFA 2023-106</v>
      </c>
      <c r="X11" s="34" t="str">
        <f>$X$3</f>
        <v xml:space="preserve">  RFA 2023-106SF</v>
      </c>
      <c r="Y11" s="34" t="str">
        <f>$Y$3</f>
        <v xml:space="preserve">  RFA 2023-108</v>
      </c>
      <c r="Z11" s="223" t="str">
        <f>$Z$3</f>
        <v xml:space="preserve">  RFA 2023-201</v>
      </c>
      <c r="AA11" s="223" t="str">
        <f>$AA$3</f>
        <v xml:space="preserve">  RFA 2023-202</v>
      </c>
      <c r="AB11" s="223" t="str">
        <f>$AB$3</f>
        <v xml:space="preserve">  RFA 2023-202SF</v>
      </c>
      <c r="AC11" s="223" t="str">
        <f>$AC$3</f>
        <v xml:space="preserve">  RFA 2023-203SF</v>
      </c>
      <c r="AD11" s="223" t="s">
        <v>277</v>
      </c>
      <c r="AE11" s="223" t="s">
        <v>278</v>
      </c>
      <c r="AF11" s="223" t="str">
        <f>$AF$3</f>
        <v xml:space="preserve">  RFA 2023-205</v>
      </c>
      <c r="AG11" s="223" t="str">
        <f>$AG$3</f>
        <v xml:space="preserve">  RFA 2023-205SF</v>
      </c>
      <c r="AH11" s="303" t="str">
        <f>$AH$3</f>
        <v xml:space="preserve">  RFA 2023-211</v>
      </c>
      <c r="AI11" s="223" t="str">
        <f>$AI$3</f>
        <v xml:space="preserve">  RFA 2023-212</v>
      </c>
      <c r="AJ11" s="223" t="str">
        <f>$AJ$3</f>
        <v xml:space="preserve">  RFA 2023-213</v>
      </c>
      <c r="AK11" s="223" t="str">
        <f>AK$3</f>
        <v xml:space="preserve">  RFA 2023-213SF</v>
      </c>
      <c r="AL11" s="303" t="str">
        <f>$AL$3</f>
        <v xml:space="preserve">  RFA 2023-304</v>
      </c>
      <c r="AM11" s="223" t="str">
        <f>$AM$3</f>
        <v xml:space="preserve">  RFA 2024-102</v>
      </c>
      <c r="AN11" s="223" t="str">
        <f>$AN$3</f>
        <v xml:space="preserve">  RFA 2024-102SF</v>
      </c>
      <c r="AO11" s="223" t="str">
        <f>$AO$3</f>
        <v xml:space="preserve">  RFA 2024-103</v>
      </c>
      <c r="AP11" s="223" t="str">
        <f>$AP$3</f>
        <v xml:space="preserve">  RFA 2024-103SF</v>
      </c>
      <c r="AQ11" s="223" t="str">
        <f>$AQ$3</f>
        <v xml:space="preserve">  RFA 2024-104</v>
      </c>
      <c r="AR11" s="223" t="str">
        <f>$AR$3</f>
        <v xml:space="preserve">  RFA 2024-104SF</v>
      </c>
      <c r="AS11" s="223" t="str">
        <f>$AS$3</f>
        <v xml:space="preserve">  RFA 2024-105</v>
      </c>
      <c r="AT11" s="223" t="str">
        <f t="shared" ref="AT11:BC11" si="4">AT3</f>
        <v xml:space="preserve">  RFA 2024-106</v>
      </c>
      <c r="AU11" s="223" t="str">
        <f t="shared" si="4"/>
        <v xml:space="preserve">  RFA 2024-106SF</v>
      </c>
      <c r="AV11" s="223" t="str">
        <f t="shared" si="4"/>
        <v xml:space="preserve">  RFA 2024-201</v>
      </c>
      <c r="AW11" s="223" t="str">
        <f t="shared" si="4"/>
        <v xml:space="preserve">  RFA 2024-202</v>
      </c>
      <c r="AX11" s="223" t="str">
        <f t="shared" si="4"/>
        <v xml:space="preserve">  RFA 2024-202SF</v>
      </c>
      <c r="AY11" s="223" t="str">
        <f t="shared" si="4"/>
        <v xml:space="preserve">  RFA 2024-203</v>
      </c>
      <c r="AZ11" s="223" t="str">
        <f t="shared" si="4"/>
        <v xml:space="preserve">  RFA 2024-204</v>
      </c>
      <c r="BA11" s="223" t="str">
        <f t="shared" si="4"/>
        <v xml:space="preserve">  RFA 2024-204SF</v>
      </c>
      <c r="BB11" s="223" t="str">
        <f t="shared" si="4"/>
        <v xml:space="preserve">  RFA 2024-205</v>
      </c>
      <c r="BC11" s="223" t="str">
        <f t="shared" si="4"/>
        <v xml:space="preserve">  RFA 2024-205SF</v>
      </c>
      <c r="BD11" s="223" t="str">
        <f>$BD$3</f>
        <v xml:space="preserve">  RFA 2024-206</v>
      </c>
      <c r="BE11" s="223" t="str">
        <f t="shared" ref="BE11:CC11" si="5">BE3</f>
        <v xml:space="preserve">  RFA 2024-206SF</v>
      </c>
      <c r="BF11" s="223" t="str">
        <f>$BF$3</f>
        <v xml:space="preserve">  RFA 2024-213</v>
      </c>
      <c r="BG11" s="223" t="str">
        <f>$BG$3</f>
        <v xml:space="preserve">  RFA 2024-213SF</v>
      </c>
      <c r="BH11" s="223" t="str">
        <f t="shared" si="5"/>
        <v xml:space="preserve">  RFA 2024-214</v>
      </c>
      <c r="BI11" s="223" t="str">
        <f t="shared" si="5"/>
        <v xml:space="preserve">  RFA 2024-214SF</v>
      </c>
      <c r="BJ11" s="223" t="str">
        <f t="shared" si="5"/>
        <v xml:space="preserve">  RFA 2024-215</v>
      </c>
      <c r="BK11" s="223" t="str">
        <f t="shared" si="5"/>
        <v xml:space="preserve">  RFA 2024-215SF</v>
      </c>
      <c r="BL11" s="223" t="str">
        <f t="shared" si="5"/>
        <v xml:space="preserve">  RFA 2024-216</v>
      </c>
      <c r="BM11" s="223" t="str">
        <f t="shared" si="5"/>
        <v xml:space="preserve">  RFA 2024-216SF</v>
      </c>
      <c r="BN11" s="223" t="str">
        <f t="shared" si="5"/>
        <v xml:space="preserve">  RFA 2024-305</v>
      </c>
      <c r="BO11" s="223" t="str">
        <f t="shared" si="5"/>
        <v xml:space="preserve">  RFA 2024-305SF</v>
      </c>
      <c r="BP11" s="223" t="str">
        <f t="shared" si="5"/>
        <v xml:space="preserve">  RFA 2024-306</v>
      </c>
      <c r="BQ11" s="223" t="str">
        <f t="shared" ref="BQ11:BW11" si="6">BQ3</f>
        <v xml:space="preserve">  RFA 2024-306SF</v>
      </c>
      <c r="BR11" s="223" t="str">
        <f t="shared" si="5"/>
        <v xml:space="preserve">  RFA 2025-102</v>
      </c>
      <c r="BS11" s="223" t="str">
        <f t="shared" si="6"/>
        <v xml:space="preserve">  RFA 2025-102SF</v>
      </c>
      <c r="BT11" s="223" t="str">
        <f t="shared" si="5"/>
        <v xml:space="preserve">  RFA 2025-103</v>
      </c>
      <c r="BU11" s="223" t="str">
        <f t="shared" si="6"/>
        <v xml:space="preserve">  RFA 2025-103SF</v>
      </c>
      <c r="BV11" s="353" t="str">
        <f t="shared" si="5"/>
        <v xml:space="preserve">  RFA 2025-104</v>
      </c>
      <c r="BW11" s="353" t="str">
        <f t="shared" si="6"/>
        <v xml:space="preserve">  RFA 2025-104SF</v>
      </c>
      <c r="BX11" s="223" t="str">
        <f t="shared" si="5"/>
        <v xml:space="preserve">  RFA 2025-106</v>
      </c>
      <c r="BY11" s="223" t="str">
        <f t="shared" si="5"/>
        <v xml:space="preserve">  RFA 2025-106SF</v>
      </c>
      <c r="BZ11" s="223" t="str">
        <f t="shared" ref="BZ11:CA11" si="7">BZ3</f>
        <v xml:space="preserve">  RFA 2025-206</v>
      </c>
      <c r="CA11" s="223" t="str">
        <f t="shared" si="7"/>
        <v xml:space="preserve">  RFA 2025-206SF</v>
      </c>
      <c r="CB11" s="223" t="str">
        <f t="shared" si="5"/>
        <v xml:space="preserve">  RFA 2025-216</v>
      </c>
      <c r="CC11" s="223" t="str">
        <f t="shared" si="5"/>
        <v xml:space="preserve">  RFA 2025-216SF</v>
      </c>
      <c r="CJ11" t="s">
        <v>137</v>
      </c>
      <c r="CK11" s="54">
        <v>240000</v>
      </c>
      <c r="CL11" s="54">
        <v>260000</v>
      </c>
      <c r="CM11" s="54">
        <v>258000</v>
      </c>
      <c r="CN11" s="54">
        <v>283000</v>
      </c>
    </row>
    <row r="12" spans="1:92" x14ac:dyDescent="0.25">
      <c r="A12" s="13" t="s">
        <v>15</v>
      </c>
      <c r="B12" t="s">
        <v>2</v>
      </c>
      <c r="C12" s="22" t="s">
        <v>2</v>
      </c>
      <c r="D12" s="23" t="s">
        <v>2</v>
      </c>
      <c r="E12" s="23" t="s">
        <v>2</v>
      </c>
      <c r="F12" s="23" t="s">
        <v>2</v>
      </c>
      <c r="G12" s="23" t="s">
        <v>2</v>
      </c>
      <c r="H12" s="23" t="s">
        <v>2</v>
      </c>
      <c r="I12" s="23" t="s">
        <v>2</v>
      </c>
      <c r="J12" s="23" t="s">
        <v>2</v>
      </c>
      <c r="K12" s="23" t="s">
        <v>2</v>
      </c>
      <c r="L12" s="72" t="s">
        <v>341</v>
      </c>
      <c r="M12" s="300" t="s">
        <v>271</v>
      </c>
      <c r="O12" s="340"/>
      <c r="P12" s="50" t="s">
        <v>2</v>
      </c>
      <c r="Q12" s="50" t="s">
        <v>2</v>
      </c>
      <c r="R12" s="50" t="s">
        <v>2</v>
      </c>
      <c r="S12" s="50" t="s">
        <v>2</v>
      </c>
      <c r="T12" s="50" t="s">
        <v>2</v>
      </c>
      <c r="U12" s="50" t="s">
        <v>2</v>
      </c>
      <c r="V12" s="50" t="s">
        <v>2</v>
      </c>
      <c r="W12" s="50" t="s">
        <v>2</v>
      </c>
      <c r="X12" s="50" t="s">
        <v>2</v>
      </c>
      <c r="Y12" s="50" t="s">
        <v>2</v>
      </c>
      <c r="Z12" t="s">
        <v>283</v>
      </c>
      <c r="AA12" t="s">
        <v>283</v>
      </c>
      <c r="AB12" t="s">
        <v>283</v>
      </c>
      <c r="AC12" t="s">
        <v>283</v>
      </c>
      <c r="AD12" t="s">
        <v>138</v>
      </c>
      <c r="AE12" s="1" t="s">
        <v>7</v>
      </c>
      <c r="AF12" t="s">
        <v>283</v>
      </c>
      <c r="AG12" t="s">
        <v>283</v>
      </c>
      <c r="AH12" s="17" t="s">
        <v>2</v>
      </c>
      <c r="AI12" t="s">
        <v>283</v>
      </c>
      <c r="AJ12" t="s">
        <v>283</v>
      </c>
      <c r="AK12" t="s">
        <v>283</v>
      </c>
      <c r="AL12" s="17" t="s">
        <v>2</v>
      </c>
      <c r="AM12" t="s">
        <v>138</v>
      </c>
      <c r="AN12" t="s">
        <v>5</v>
      </c>
      <c r="AO12" t="s">
        <v>283</v>
      </c>
      <c r="AP12" t="s">
        <v>283</v>
      </c>
      <c r="AQ12" t="s">
        <v>138</v>
      </c>
      <c r="AR12" s="50" t="s">
        <v>2</v>
      </c>
      <c r="AS12" s="50" t="s">
        <v>2</v>
      </c>
      <c r="AT12" t="s">
        <v>283</v>
      </c>
      <c r="AU12" t="s">
        <v>283</v>
      </c>
      <c r="AV12" t="s">
        <v>357</v>
      </c>
      <c r="AW12" t="s">
        <v>357</v>
      </c>
      <c r="AX12" t="s">
        <v>357</v>
      </c>
      <c r="AY12" t="s">
        <v>357</v>
      </c>
      <c r="AZ12" t="s">
        <v>355</v>
      </c>
      <c r="BA12" t="s">
        <v>369</v>
      </c>
      <c r="BB12" t="s">
        <v>357</v>
      </c>
      <c r="BC12" t="s">
        <v>357</v>
      </c>
      <c r="BD12" t="s">
        <v>138</v>
      </c>
      <c r="BE12" s="50" t="s">
        <v>2</v>
      </c>
      <c r="BF12" t="s">
        <v>357</v>
      </c>
      <c r="BG12" t="s">
        <v>357</v>
      </c>
      <c r="BH12" s="1" t="s">
        <v>7</v>
      </c>
      <c r="BI12" s="1" t="s">
        <v>7</v>
      </c>
      <c r="BJ12" t="s">
        <v>357</v>
      </c>
      <c r="BK12" t="s">
        <v>357</v>
      </c>
      <c r="BL12" t="s">
        <v>138</v>
      </c>
      <c r="BM12" t="s">
        <v>355</v>
      </c>
      <c r="BN12" t="s">
        <v>138</v>
      </c>
      <c r="BO12" s="50" t="s">
        <v>2</v>
      </c>
      <c r="BP12" t="s">
        <v>357</v>
      </c>
      <c r="BQ12" t="s">
        <v>357</v>
      </c>
      <c r="BR12" t="s">
        <v>355</v>
      </c>
      <c r="BS12" t="s">
        <v>355</v>
      </c>
      <c r="BT12" t="s">
        <v>355</v>
      </c>
      <c r="BU12" t="s">
        <v>355</v>
      </c>
      <c r="BV12" t="s">
        <v>355</v>
      </c>
      <c r="BW12" t="s">
        <v>355</v>
      </c>
      <c r="BX12" t="s">
        <v>355</v>
      </c>
      <c r="BY12" t="s">
        <v>355</v>
      </c>
      <c r="BZ12" t="s">
        <v>355</v>
      </c>
      <c r="CA12" t="s">
        <v>355</v>
      </c>
      <c r="CB12" t="s">
        <v>355</v>
      </c>
      <c r="CC12" t="s">
        <v>355</v>
      </c>
      <c r="CD12" s="3" t="s">
        <v>2</v>
      </c>
      <c r="CJ12" t="s">
        <v>177</v>
      </c>
      <c r="CK12" s="54">
        <v>270000</v>
      </c>
      <c r="CL12" s="54">
        <v>290000</v>
      </c>
      <c r="CM12" s="54">
        <v>285000</v>
      </c>
      <c r="CN12" s="54">
        <v>310000</v>
      </c>
    </row>
    <row r="13" spans="1:92" x14ac:dyDescent="0.25">
      <c r="A13" s="13" t="s">
        <v>16</v>
      </c>
      <c r="B13" t="s">
        <v>2</v>
      </c>
      <c r="C13" s="22" t="s">
        <v>2</v>
      </c>
      <c r="D13" s="23" t="s">
        <v>2</v>
      </c>
      <c r="E13" s="23" t="s">
        <v>2</v>
      </c>
      <c r="F13" s="23" t="s">
        <v>2</v>
      </c>
      <c r="G13" s="23" t="s">
        <v>2</v>
      </c>
      <c r="H13" s="23" t="s">
        <v>2</v>
      </c>
      <c r="I13" s="23" t="s">
        <v>2</v>
      </c>
      <c r="J13" s="23" t="s">
        <v>2</v>
      </c>
      <c r="K13" s="23" t="s">
        <v>2</v>
      </c>
      <c r="L13" s="72" t="s">
        <v>321</v>
      </c>
      <c r="M13" s="300" t="s">
        <v>159</v>
      </c>
      <c r="O13" s="340"/>
      <c r="P13" s="50" t="s">
        <v>2</v>
      </c>
      <c r="Q13" s="50" t="s">
        <v>2</v>
      </c>
      <c r="R13" s="50" t="s">
        <v>2</v>
      </c>
      <c r="S13" s="50" t="s">
        <v>2</v>
      </c>
      <c r="T13" s="50" t="s">
        <v>2</v>
      </c>
      <c r="U13" s="50" t="s">
        <v>2</v>
      </c>
      <c r="V13" s="50" t="s">
        <v>2</v>
      </c>
      <c r="W13" s="50" t="s">
        <v>2</v>
      </c>
      <c r="X13" s="50" t="s">
        <v>2</v>
      </c>
      <c r="Y13" s="50" t="s">
        <v>2</v>
      </c>
      <c r="Z13" t="s">
        <v>280</v>
      </c>
      <c r="AA13" t="s">
        <v>280</v>
      </c>
      <c r="AB13" t="s">
        <v>280</v>
      </c>
      <c r="AC13" t="s">
        <v>280</v>
      </c>
      <c r="AD13" s="1" t="s">
        <v>6</v>
      </c>
      <c r="AE13" s="50" t="s">
        <v>2</v>
      </c>
      <c r="AF13" t="s">
        <v>280</v>
      </c>
      <c r="AG13" t="s">
        <v>280</v>
      </c>
      <c r="AH13" s="50" t="s">
        <v>2</v>
      </c>
      <c r="AI13" t="s">
        <v>280</v>
      </c>
      <c r="AJ13" t="s">
        <v>280</v>
      </c>
      <c r="AK13" t="s">
        <v>280</v>
      </c>
      <c r="AL13" s="50" t="s">
        <v>2</v>
      </c>
      <c r="AM13" t="s">
        <v>6</v>
      </c>
      <c r="AN13" s="50" t="s">
        <v>2</v>
      </c>
      <c r="AO13" t="s">
        <v>280</v>
      </c>
      <c r="AP13" t="s">
        <v>280</v>
      </c>
      <c r="AQ13" s="1" t="s">
        <v>6</v>
      </c>
      <c r="AR13" s="50" t="s">
        <v>2</v>
      </c>
      <c r="AS13" s="50" t="s">
        <v>2</v>
      </c>
      <c r="AT13" t="s">
        <v>280</v>
      </c>
      <c r="AU13" t="s">
        <v>280</v>
      </c>
      <c r="AV13" t="s">
        <v>356</v>
      </c>
      <c r="AW13" t="s">
        <v>356</v>
      </c>
      <c r="AX13" t="s">
        <v>356</v>
      </c>
      <c r="AY13" t="s">
        <v>356</v>
      </c>
      <c r="AZ13" s="50" t="s">
        <v>2</v>
      </c>
      <c r="BA13" s="50" t="s">
        <v>2</v>
      </c>
      <c r="BB13" t="s">
        <v>356</v>
      </c>
      <c r="BC13" t="s">
        <v>356</v>
      </c>
      <c r="BD13" s="1" t="s">
        <v>6</v>
      </c>
      <c r="BE13" s="50" t="s">
        <v>2</v>
      </c>
      <c r="BF13" t="s">
        <v>356</v>
      </c>
      <c r="BG13" t="s">
        <v>356</v>
      </c>
      <c r="BH13" t="s">
        <v>138</v>
      </c>
      <c r="BI13" s="50" t="s">
        <v>2</v>
      </c>
      <c r="BJ13" t="s">
        <v>356</v>
      </c>
      <c r="BK13" t="s">
        <v>356</v>
      </c>
      <c r="BL13" s="1" t="s">
        <v>6</v>
      </c>
      <c r="BM13" s="50" t="s">
        <v>2</v>
      </c>
      <c r="BN13" s="1" t="s">
        <v>6</v>
      </c>
      <c r="BO13" s="50" t="s">
        <v>2</v>
      </c>
      <c r="BP13" t="s">
        <v>356</v>
      </c>
      <c r="BQ13" t="s">
        <v>356</v>
      </c>
      <c r="BR13" s="50" t="s">
        <v>2</v>
      </c>
      <c r="BS13" s="50" t="s">
        <v>2</v>
      </c>
      <c r="BT13" s="50" t="s">
        <v>2</v>
      </c>
      <c r="BU13" s="50" t="s">
        <v>2</v>
      </c>
      <c r="BV13" s="50" t="s">
        <v>2</v>
      </c>
      <c r="BW13" s="50" t="s">
        <v>2</v>
      </c>
      <c r="BX13" s="50" t="s">
        <v>2</v>
      </c>
      <c r="BY13" s="50" t="s">
        <v>2</v>
      </c>
      <c r="BZ13" s="50" t="s">
        <v>2</v>
      </c>
      <c r="CA13" s="50" t="s">
        <v>2</v>
      </c>
      <c r="CB13" s="50" t="s">
        <v>2</v>
      </c>
      <c r="CC13" s="50" t="s">
        <v>2</v>
      </c>
      <c r="CD13" s="3" t="s">
        <v>2</v>
      </c>
      <c r="CJ13" t="s">
        <v>84</v>
      </c>
      <c r="CK13" s="54">
        <v>290000</v>
      </c>
      <c r="CL13" s="54">
        <v>310000</v>
      </c>
      <c r="CM13" s="54">
        <v>310000</v>
      </c>
      <c r="CN13" s="54">
        <v>335000</v>
      </c>
    </row>
    <row r="14" spans="1:92" x14ac:dyDescent="0.25">
      <c r="A14" s="13" t="s">
        <v>17</v>
      </c>
      <c r="B14" t="s">
        <v>2</v>
      </c>
      <c r="C14" s="22" t="s">
        <v>2</v>
      </c>
      <c r="D14" s="23" t="s">
        <v>2</v>
      </c>
      <c r="E14" s="23" t="s">
        <v>2</v>
      </c>
      <c r="F14" s="23" t="s">
        <v>2</v>
      </c>
      <c r="G14" s="23" t="s">
        <v>2</v>
      </c>
      <c r="H14" s="23" t="s">
        <v>2</v>
      </c>
      <c r="I14" s="23" t="s">
        <v>2</v>
      </c>
      <c r="J14" s="23" t="s">
        <v>2</v>
      </c>
      <c r="K14" s="23" t="s">
        <v>2</v>
      </c>
      <c r="L14" s="72" t="s">
        <v>358</v>
      </c>
      <c r="M14" s="308" t="s">
        <v>200</v>
      </c>
      <c r="O14" s="340"/>
      <c r="P14" s="50" t="s">
        <v>2</v>
      </c>
      <c r="Q14" s="50" t="s">
        <v>2</v>
      </c>
      <c r="R14" s="50" t="s">
        <v>2</v>
      </c>
      <c r="S14" s="50" t="s">
        <v>2</v>
      </c>
      <c r="T14" s="50" t="s">
        <v>2</v>
      </c>
      <c r="U14" s="50" t="s">
        <v>2</v>
      </c>
      <c r="V14" s="50" t="s">
        <v>2</v>
      </c>
      <c r="W14" s="50" t="s">
        <v>2</v>
      </c>
      <c r="X14" s="50" t="s">
        <v>2</v>
      </c>
      <c r="Y14" s="50" t="s">
        <v>2</v>
      </c>
      <c r="Z14" t="s">
        <v>281</v>
      </c>
      <c r="AA14" t="s">
        <v>281</v>
      </c>
      <c r="AB14" t="s">
        <v>281</v>
      </c>
      <c r="AC14" t="s">
        <v>281</v>
      </c>
      <c r="AD14" s="1" t="s">
        <v>7</v>
      </c>
      <c r="AE14" s="50" t="s">
        <v>2</v>
      </c>
      <c r="AF14" t="s">
        <v>281</v>
      </c>
      <c r="AG14" t="s">
        <v>281</v>
      </c>
      <c r="AH14" s="50" t="s">
        <v>2</v>
      </c>
      <c r="AI14" t="s">
        <v>281</v>
      </c>
      <c r="AJ14" t="s">
        <v>281</v>
      </c>
      <c r="AK14" t="s">
        <v>281</v>
      </c>
      <c r="AL14" s="50" t="s">
        <v>2</v>
      </c>
      <c r="AM14" t="s">
        <v>5</v>
      </c>
      <c r="AN14" s="50" t="s">
        <v>2</v>
      </c>
      <c r="AO14" t="s">
        <v>281</v>
      </c>
      <c r="AP14" t="s">
        <v>281</v>
      </c>
      <c r="AQ14" s="50" t="s">
        <v>2</v>
      </c>
      <c r="AR14" s="50" t="s">
        <v>2</v>
      </c>
      <c r="AS14" s="50" t="s">
        <v>2</v>
      </c>
      <c r="AT14" t="s">
        <v>281</v>
      </c>
      <c r="AU14" t="s">
        <v>281</v>
      </c>
      <c r="AV14" t="s">
        <v>138</v>
      </c>
      <c r="AW14" t="s">
        <v>7</v>
      </c>
      <c r="AX14" t="s">
        <v>7</v>
      </c>
      <c r="AY14" t="s">
        <v>7</v>
      </c>
      <c r="AZ14" t="s">
        <v>138</v>
      </c>
      <c r="BA14" t="s">
        <v>138</v>
      </c>
      <c r="BB14" t="s">
        <v>138</v>
      </c>
      <c r="BC14" t="s">
        <v>7</v>
      </c>
      <c r="BD14" s="50" t="s">
        <v>2</v>
      </c>
      <c r="BE14" s="50" t="s">
        <v>2</v>
      </c>
      <c r="BF14" t="s">
        <v>138</v>
      </c>
      <c r="BG14" t="s">
        <v>138</v>
      </c>
      <c r="BH14" s="1" t="s">
        <v>6</v>
      </c>
      <c r="BI14" s="50" t="s">
        <v>2</v>
      </c>
      <c r="BJ14" t="s">
        <v>138</v>
      </c>
      <c r="BK14" s="50" t="s">
        <v>2</v>
      </c>
      <c r="BL14" t="s">
        <v>355</v>
      </c>
      <c r="BM14" s="50" t="s">
        <v>2</v>
      </c>
      <c r="BN14" s="50" t="s">
        <v>2</v>
      </c>
      <c r="BO14" s="50" t="s">
        <v>2</v>
      </c>
      <c r="BP14" s="50" t="s">
        <v>2</v>
      </c>
      <c r="BQ14" s="50" t="s">
        <v>2</v>
      </c>
      <c r="BR14" t="s">
        <v>138</v>
      </c>
      <c r="BS14" t="s">
        <v>5</v>
      </c>
      <c r="BT14" t="s">
        <v>281</v>
      </c>
      <c r="BU14" t="s">
        <v>281</v>
      </c>
      <c r="BV14" t="s">
        <v>138</v>
      </c>
      <c r="BW14" s="50" t="s">
        <v>2</v>
      </c>
      <c r="BX14" t="s">
        <v>281</v>
      </c>
      <c r="BY14" t="s">
        <v>281</v>
      </c>
      <c r="BZ14" t="s">
        <v>138</v>
      </c>
      <c r="CA14" s="50" t="s">
        <v>2</v>
      </c>
      <c r="CB14" t="s">
        <v>138</v>
      </c>
      <c r="CC14" s="50" t="s">
        <v>2</v>
      </c>
      <c r="CD14" s="3" t="s">
        <v>2</v>
      </c>
      <c r="CJ14" t="s">
        <v>85</v>
      </c>
      <c r="CK14" s="54">
        <v>100000</v>
      </c>
      <c r="CL14" s="54">
        <v>110000</v>
      </c>
      <c r="CM14" s="54">
        <v>106000</v>
      </c>
      <c r="CN14" s="54">
        <v>121000</v>
      </c>
    </row>
    <row r="15" spans="1:92" x14ac:dyDescent="0.25">
      <c r="A15" s="13" t="s">
        <v>18</v>
      </c>
      <c r="B15" t="s">
        <v>2</v>
      </c>
      <c r="C15" s="22" t="s">
        <v>2</v>
      </c>
      <c r="D15" s="23" t="s">
        <v>2</v>
      </c>
      <c r="E15" s="23" t="s">
        <v>2</v>
      </c>
      <c r="F15" s="23" t="s">
        <v>2</v>
      </c>
      <c r="G15" s="23" t="s">
        <v>2</v>
      </c>
      <c r="H15" s="23" t="s">
        <v>2</v>
      </c>
      <c r="I15" s="23" t="s">
        <v>2</v>
      </c>
      <c r="J15" s="23" t="s">
        <v>2</v>
      </c>
      <c r="K15" s="23" t="s">
        <v>2</v>
      </c>
      <c r="L15" s="72" t="s">
        <v>322</v>
      </c>
      <c r="M15" s="304" t="s">
        <v>272</v>
      </c>
      <c r="O15" s="340"/>
      <c r="P15" s="50" t="s">
        <v>2</v>
      </c>
      <c r="Q15" s="50" t="s">
        <v>2</v>
      </c>
      <c r="R15" s="50" t="s">
        <v>2</v>
      </c>
      <c r="S15" s="50" t="s">
        <v>2</v>
      </c>
      <c r="T15" s="50" t="s">
        <v>2</v>
      </c>
      <c r="U15" s="50" t="s">
        <v>2</v>
      </c>
      <c r="V15" s="50" t="s">
        <v>2</v>
      </c>
      <c r="W15" s="50" t="s">
        <v>2</v>
      </c>
      <c r="X15" s="50" t="s">
        <v>2</v>
      </c>
      <c r="Y15" s="50" t="s">
        <v>2</v>
      </c>
      <c r="Z15" t="s">
        <v>282</v>
      </c>
      <c r="AA15" t="s">
        <v>282</v>
      </c>
      <c r="AB15" t="s">
        <v>282</v>
      </c>
      <c r="AC15" t="s">
        <v>282</v>
      </c>
      <c r="AD15" s="50" t="s">
        <v>2</v>
      </c>
      <c r="AE15" s="50" t="s">
        <v>2</v>
      </c>
      <c r="AF15" t="s">
        <v>282</v>
      </c>
      <c r="AG15" t="s">
        <v>282</v>
      </c>
      <c r="AH15" s="50" t="s">
        <v>2</v>
      </c>
      <c r="AI15" t="s">
        <v>282</v>
      </c>
      <c r="AJ15" t="s">
        <v>282</v>
      </c>
      <c r="AK15" t="s">
        <v>282</v>
      </c>
      <c r="AL15" s="50" t="s">
        <v>2</v>
      </c>
      <c r="AM15" s="50" t="s">
        <v>2</v>
      </c>
      <c r="AN15" s="50" t="s">
        <v>2</v>
      </c>
      <c r="AO15" t="s">
        <v>282</v>
      </c>
      <c r="AP15" t="s">
        <v>282</v>
      </c>
      <c r="AQ15" s="50" t="s">
        <v>2</v>
      </c>
      <c r="AR15" s="50" t="s">
        <v>2</v>
      </c>
      <c r="AS15" s="50" t="s">
        <v>2</v>
      </c>
      <c r="AT15" t="s">
        <v>282</v>
      </c>
      <c r="AU15" t="s">
        <v>282</v>
      </c>
      <c r="AV15" s="1" t="s">
        <v>6</v>
      </c>
      <c r="AW15" s="50" t="s">
        <v>2</v>
      </c>
      <c r="AX15" s="50" t="s">
        <v>2</v>
      </c>
      <c r="AY15" s="50" t="s">
        <v>2</v>
      </c>
      <c r="AZ15" s="1" t="s">
        <v>6</v>
      </c>
      <c r="BA15" s="1" t="s">
        <v>6</v>
      </c>
      <c r="BB15" s="1" t="s">
        <v>6</v>
      </c>
      <c r="BC15" s="50" t="s">
        <v>2</v>
      </c>
      <c r="BD15" s="50" t="s">
        <v>2</v>
      </c>
      <c r="BE15" s="50" t="s">
        <v>2</v>
      </c>
      <c r="BF15" s="1" t="s">
        <v>6</v>
      </c>
      <c r="BG15" s="1" t="s">
        <v>6</v>
      </c>
      <c r="BH15" s="50" t="s">
        <v>2</v>
      </c>
      <c r="BI15" s="50" t="s">
        <v>2</v>
      </c>
      <c r="BJ15" s="1" t="s">
        <v>6</v>
      </c>
      <c r="BK15" s="50" t="s">
        <v>2</v>
      </c>
      <c r="BL15" s="50" t="s">
        <v>2</v>
      </c>
      <c r="BM15" s="50" t="s">
        <v>2</v>
      </c>
      <c r="BN15" s="50" t="s">
        <v>2</v>
      </c>
      <c r="BO15" s="50" t="s">
        <v>2</v>
      </c>
      <c r="BP15" s="50" t="s">
        <v>2</v>
      </c>
      <c r="BQ15" s="50" t="s">
        <v>2</v>
      </c>
      <c r="BR15" t="s">
        <v>6</v>
      </c>
      <c r="BS15" s="50" t="s">
        <v>2</v>
      </c>
      <c r="BT15" t="s">
        <v>282</v>
      </c>
      <c r="BU15" t="s">
        <v>282</v>
      </c>
      <c r="BV15" t="s">
        <v>6</v>
      </c>
      <c r="BW15" s="50" t="s">
        <v>2</v>
      </c>
      <c r="BX15" t="s">
        <v>282</v>
      </c>
      <c r="BY15" t="s">
        <v>282</v>
      </c>
      <c r="BZ15" t="s">
        <v>6</v>
      </c>
      <c r="CA15" s="50" t="s">
        <v>2</v>
      </c>
      <c r="CB15" t="s">
        <v>6</v>
      </c>
      <c r="CC15" s="50" t="s">
        <v>2</v>
      </c>
      <c r="CD15" s="3" t="s">
        <v>2</v>
      </c>
      <c r="CJ15" t="s">
        <v>86</v>
      </c>
      <c r="CK15" s="54">
        <v>130000</v>
      </c>
      <c r="CL15" s="54">
        <v>140000</v>
      </c>
      <c r="CM15" s="54">
        <v>146000</v>
      </c>
      <c r="CN15" s="54">
        <v>161000</v>
      </c>
    </row>
    <row r="16" spans="1:92" x14ac:dyDescent="0.25">
      <c r="A16" s="13" t="s">
        <v>19</v>
      </c>
      <c r="B16" t="s">
        <v>2</v>
      </c>
      <c r="C16" s="22" t="s">
        <v>2</v>
      </c>
      <c r="D16" s="23" t="s">
        <v>2</v>
      </c>
      <c r="E16" s="23" t="s">
        <v>2</v>
      </c>
      <c r="F16" s="23" t="s">
        <v>2</v>
      </c>
      <c r="G16" s="23" t="s">
        <v>2</v>
      </c>
      <c r="H16" s="23" t="s">
        <v>2</v>
      </c>
      <c r="I16" s="23" t="s">
        <v>2</v>
      </c>
      <c r="J16" s="23" t="s">
        <v>2</v>
      </c>
      <c r="K16" s="23" t="s">
        <v>2</v>
      </c>
      <c r="L16" s="72" t="s">
        <v>324</v>
      </c>
      <c r="M16" s="304" t="s">
        <v>273</v>
      </c>
      <c r="O16" s="340"/>
      <c r="P16" s="50" t="s">
        <v>2</v>
      </c>
      <c r="Q16" s="50" t="s">
        <v>2</v>
      </c>
      <c r="R16" s="50" t="s">
        <v>2</v>
      </c>
      <c r="S16" s="50" t="s">
        <v>2</v>
      </c>
      <c r="T16" s="50" t="s">
        <v>2</v>
      </c>
      <c r="U16" s="50" t="s">
        <v>2</v>
      </c>
      <c r="V16" s="50" t="s">
        <v>2</v>
      </c>
      <c r="W16" s="50" t="s">
        <v>2</v>
      </c>
      <c r="X16" s="50" t="s">
        <v>2</v>
      </c>
      <c r="Y16" s="50" t="s">
        <v>2</v>
      </c>
      <c r="Z16" t="s">
        <v>138</v>
      </c>
      <c r="AA16" t="s">
        <v>138</v>
      </c>
      <c r="AB16" s="1" t="s">
        <v>7</v>
      </c>
      <c r="AC16" s="1" t="s">
        <v>7</v>
      </c>
      <c r="AD16" s="50" t="s">
        <v>2</v>
      </c>
      <c r="AE16" s="50" t="s">
        <v>2</v>
      </c>
      <c r="AF16" t="s">
        <v>138</v>
      </c>
      <c r="AG16" s="1" t="s">
        <v>7</v>
      </c>
      <c r="AH16" s="50" t="s">
        <v>2</v>
      </c>
      <c r="AI16" t="s">
        <v>138</v>
      </c>
      <c r="AJ16" t="s">
        <v>138</v>
      </c>
      <c r="AK16" s="1" t="s">
        <v>7</v>
      </c>
      <c r="AL16" s="50" t="s">
        <v>2</v>
      </c>
      <c r="AM16" s="50" t="s">
        <v>2</v>
      </c>
      <c r="AN16" s="50" t="s">
        <v>2</v>
      </c>
      <c r="AO16" s="50" t="s">
        <v>2</v>
      </c>
      <c r="AP16" s="50" t="s">
        <v>2</v>
      </c>
      <c r="AQ16" s="50" t="s">
        <v>2</v>
      </c>
      <c r="AR16" s="50" t="s">
        <v>2</v>
      </c>
      <c r="AS16" s="50" t="s">
        <v>2</v>
      </c>
      <c r="AT16" s="50" t="s">
        <v>2</v>
      </c>
      <c r="AU16" s="50" t="s">
        <v>2</v>
      </c>
      <c r="AV16" t="s">
        <v>7</v>
      </c>
      <c r="AW16" s="50" t="s">
        <v>2</v>
      </c>
      <c r="AX16" s="50" t="s">
        <v>2</v>
      </c>
      <c r="AY16" s="50" t="s">
        <v>2</v>
      </c>
      <c r="AZ16" t="s">
        <v>7</v>
      </c>
      <c r="BA16" t="s">
        <v>7</v>
      </c>
      <c r="BB16" t="s">
        <v>7</v>
      </c>
      <c r="BC16" s="50" t="s">
        <v>2</v>
      </c>
      <c r="BD16" s="50" t="s">
        <v>2</v>
      </c>
      <c r="BE16" s="50" t="s">
        <v>2</v>
      </c>
      <c r="BF16" s="50" t="s">
        <v>2</v>
      </c>
      <c r="BG16" s="50" t="s">
        <v>2</v>
      </c>
      <c r="BH16" s="50" t="s">
        <v>2</v>
      </c>
      <c r="BI16" s="50" t="s">
        <v>2</v>
      </c>
      <c r="BJ16" s="50" t="s">
        <v>2</v>
      </c>
      <c r="BK16" s="50" t="s">
        <v>2</v>
      </c>
      <c r="BL16" s="50" t="s">
        <v>2</v>
      </c>
      <c r="BM16" s="50" t="s">
        <v>2</v>
      </c>
      <c r="BN16" s="50" t="s">
        <v>2</v>
      </c>
      <c r="BO16" s="50" t="s">
        <v>2</v>
      </c>
      <c r="BP16" s="50" t="s">
        <v>2</v>
      </c>
      <c r="BQ16" s="50" t="s">
        <v>2</v>
      </c>
      <c r="BR16" t="s">
        <v>5</v>
      </c>
      <c r="BS16" s="50" t="s">
        <v>2</v>
      </c>
      <c r="BT16" t="s">
        <v>367</v>
      </c>
      <c r="BU16" t="s">
        <v>367</v>
      </c>
      <c r="BV16" s="50" t="s">
        <v>2</v>
      </c>
      <c r="BW16" s="50" t="s">
        <v>2</v>
      </c>
      <c r="BX16" t="s">
        <v>280</v>
      </c>
      <c r="BY16" t="s">
        <v>280</v>
      </c>
      <c r="BZ16" s="50" t="s">
        <v>2</v>
      </c>
      <c r="CA16" s="50" t="s">
        <v>2</v>
      </c>
      <c r="CB16" s="50" t="s">
        <v>2</v>
      </c>
      <c r="CC16" s="50" t="s">
        <v>2</v>
      </c>
      <c r="CD16" s="3" t="s">
        <v>2</v>
      </c>
    </row>
    <row r="17" spans="1:90" x14ac:dyDescent="0.25">
      <c r="A17" s="13" t="s">
        <v>20</v>
      </c>
      <c r="B17" t="s">
        <v>2</v>
      </c>
      <c r="C17" s="22" t="s">
        <v>2</v>
      </c>
      <c r="D17" s="23" t="s">
        <v>2</v>
      </c>
      <c r="E17" s="23" t="s">
        <v>2</v>
      </c>
      <c r="F17" s="23" t="s">
        <v>2</v>
      </c>
      <c r="G17" s="23" t="s">
        <v>2</v>
      </c>
      <c r="H17" s="23" t="s">
        <v>2</v>
      </c>
      <c r="I17" s="23" t="s">
        <v>2</v>
      </c>
      <c r="J17" s="23" t="s">
        <v>2</v>
      </c>
      <c r="K17" s="23" t="s">
        <v>2</v>
      </c>
      <c r="L17" s="72" t="s">
        <v>325</v>
      </c>
      <c r="M17" s="308" t="s">
        <v>201</v>
      </c>
      <c r="O17" s="340"/>
      <c r="P17" s="50" t="s">
        <v>2</v>
      </c>
      <c r="Q17" s="50" t="s">
        <v>2</v>
      </c>
      <c r="R17" s="50" t="s">
        <v>2</v>
      </c>
      <c r="S17" s="50" t="s">
        <v>2</v>
      </c>
      <c r="T17" s="50" t="s">
        <v>2</v>
      </c>
      <c r="U17" s="50" t="s">
        <v>2</v>
      </c>
      <c r="V17" s="50" t="s">
        <v>2</v>
      </c>
      <c r="W17" s="50" t="s">
        <v>2</v>
      </c>
      <c r="X17" s="50" t="s">
        <v>2</v>
      </c>
      <c r="Y17" s="50" t="s">
        <v>2</v>
      </c>
      <c r="Z17" s="1" t="s">
        <v>6</v>
      </c>
      <c r="AA17" s="1" t="s">
        <v>6</v>
      </c>
      <c r="AB17" s="50" t="s">
        <v>2</v>
      </c>
      <c r="AC17" s="50" t="s">
        <v>2</v>
      </c>
      <c r="AD17" s="50" t="s">
        <v>2</v>
      </c>
      <c r="AE17" s="50" t="s">
        <v>2</v>
      </c>
      <c r="AF17" s="1" t="s">
        <v>6</v>
      </c>
      <c r="AG17" s="50" t="s">
        <v>2</v>
      </c>
      <c r="AH17" s="50" t="s">
        <v>2</v>
      </c>
      <c r="AI17" s="1" t="s">
        <v>6</v>
      </c>
      <c r="AJ17" s="1" t="s">
        <v>6</v>
      </c>
      <c r="AK17" s="50" t="s">
        <v>2</v>
      </c>
      <c r="AL17" s="50" t="s">
        <v>2</v>
      </c>
      <c r="AM17" s="50" t="s">
        <v>2</v>
      </c>
      <c r="AN17" s="50" t="s">
        <v>2</v>
      </c>
      <c r="AO17" s="50" t="s">
        <v>2</v>
      </c>
      <c r="AP17" s="50" t="s">
        <v>2</v>
      </c>
      <c r="AQ17" s="50" t="s">
        <v>2</v>
      </c>
      <c r="AR17" s="50" t="s">
        <v>2</v>
      </c>
      <c r="AS17" s="50" t="s">
        <v>2</v>
      </c>
      <c r="AT17" s="50" t="s">
        <v>2</v>
      </c>
      <c r="AU17" s="50" t="s">
        <v>2</v>
      </c>
      <c r="AV17" s="50" t="s">
        <v>2</v>
      </c>
      <c r="AW17" s="50" t="s">
        <v>2</v>
      </c>
      <c r="AX17" s="50" t="s">
        <v>2</v>
      </c>
      <c r="AY17" s="50" t="s">
        <v>2</v>
      </c>
      <c r="AZ17" s="50" t="s">
        <v>2</v>
      </c>
      <c r="BA17" s="50" t="s">
        <v>2</v>
      </c>
      <c r="BB17" s="50" t="s">
        <v>2</v>
      </c>
      <c r="BC17" s="50" t="s">
        <v>2</v>
      </c>
      <c r="BD17" s="50" t="s">
        <v>2</v>
      </c>
      <c r="BE17" s="50" t="s">
        <v>2</v>
      </c>
      <c r="BF17" s="50" t="s">
        <v>2</v>
      </c>
      <c r="BG17" s="50" t="s">
        <v>2</v>
      </c>
      <c r="BH17" s="50" t="s">
        <v>2</v>
      </c>
      <c r="BI17" s="50" t="s">
        <v>2</v>
      </c>
      <c r="BJ17" s="50" t="s">
        <v>2</v>
      </c>
      <c r="BK17" s="50" t="s">
        <v>2</v>
      </c>
      <c r="BL17" s="50" t="s">
        <v>2</v>
      </c>
      <c r="BM17" s="50" t="s">
        <v>2</v>
      </c>
      <c r="BN17" s="50" t="s">
        <v>2</v>
      </c>
      <c r="BO17" s="50" t="s">
        <v>2</v>
      </c>
      <c r="BP17" s="50" t="s">
        <v>2</v>
      </c>
      <c r="BQ17" s="50" t="s">
        <v>2</v>
      </c>
      <c r="BR17" s="50" t="s">
        <v>2</v>
      </c>
      <c r="BS17" s="50" t="s">
        <v>2</v>
      </c>
      <c r="BT17" s="50" t="s">
        <v>2</v>
      </c>
      <c r="BU17" s="50" t="s">
        <v>2</v>
      </c>
      <c r="BV17" s="50" t="s">
        <v>2</v>
      </c>
      <c r="BW17" s="50" t="s">
        <v>2</v>
      </c>
      <c r="BX17" s="50" t="s">
        <v>2</v>
      </c>
      <c r="BY17" s="50" t="s">
        <v>2</v>
      </c>
      <c r="BZ17" s="50" t="s">
        <v>2</v>
      </c>
      <c r="CA17" s="50" t="s">
        <v>2</v>
      </c>
      <c r="CB17" s="50" t="s">
        <v>2</v>
      </c>
      <c r="CC17" s="50" t="s">
        <v>2</v>
      </c>
      <c r="CD17" s="3"/>
    </row>
    <row r="18" spans="1:90" x14ac:dyDescent="0.25">
      <c r="A18" s="13" t="s">
        <v>21</v>
      </c>
      <c r="B18" t="s">
        <v>2</v>
      </c>
      <c r="C18" s="22" t="s">
        <v>2</v>
      </c>
      <c r="D18" s="23" t="s">
        <v>2</v>
      </c>
      <c r="E18" s="23" t="s">
        <v>2</v>
      </c>
      <c r="F18" s="23" t="s">
        <v>2</v>
      </c>
      <c r="G18" s="23" t="s">
        <v>2</v>
      </c>
      <c r="H18" s="23" t="s">
        <v>2</v>
      </c>
      <c r="I18" s="23" t="s">
        <v>2</v>
      </c>
      <c r="J18" s="23" t="s">
        <v>2</v>
      </c>
      <c r="K18" s="23" t="s">
        <v>2</v>
      </c>
      <c r="L18" s="72" t="s">
        <v>326</v>
      </c>
      <c r="M18" s="219" t="s">
        <v>2</v>
      </c>
      <c r="N18" s="2"/>
      <c r="O18" s="341"/>
      <c r="P18" s="18" t="s">
        <v>2</v>
      </c>
      <c r="Q18" s="18" t="s">
        <v>2</v>
      </c>
      <c r="R18" s="18" t="s">
        <v>2</v>
      </c>
      <c r="S18" s="18" t="s">
        <v>2</v>
      </c>
      <c r="T18" s="18" t="s">
        <v>2</v>
      </c>
      <c r="U18" s="18" t="s">
        <v>2</v>
      </c>
      <c r="V18" s="18" t="s">
        <v>2</v>
      </c>
      <c r="W18" s="18" t="s">
        <v>2</v>
      </c>
      <c r="X18" s="18" t="s">
        <v>2</v>
      </c>
      <c r="Y18" s="18" t="s">
        <v>2</v>
      </c>
      <c r="Z18" s="2" t="s">
        <v>7</v>
      </c>
      <c r="AA18" s="2" t="s">
        <v>7</v>
      </c>
      <c r="AB18" s="18" t="s">
        <v>2</v>
      </c>
      <c r="AC18" s="18" t="s">
        <v>2</v>
      </c>
      <c r="AD18" s="18" t="s">
        <v>2</v>
      </c>
      <c r="AE18" s="18" t="s">
        <v>2</v>
      </c>
      <c r="AF18" s="2" t="s">
        <v>7</v>
      </c>
      <c r="AG18" s="18" t="s">
        <v>2</v>
      </c>
      <c r="AH18" s="18" t="s">
        <v>2</v>
      </c>
      <c r="AI18" s="2" t="s">
        <v>7</v>
      </c>
      <c r="AJ18" s="2" t="s">
        <v>7</v>
      </c>
      <c r="AK18" s="18" t="s">
        <v>2</v>
      </c>
      <c r="AL18" s="18" t="s">
        <v>2</v>
      </c>
      <c r="AM18" s="18" t="s">
        <v>2</v>
      </c>
      <c r="AN18" s="18" t="s">
        <v>2</v>
      </c>
      <c r="AO18" s="18" t="s">
        <v>2</v>
      </c>
      <c r="AP18" s="18" t="s">
        <v>2</v>
      </c>
      <c r="AQ18" s="18" t="s">
        <v>2</v>
      </c>
      <c r="AR18" s="18" t="s">
        <v>2</v>
      </c>
      <c r="AS18" s="18" t="s">
        <v>2</v>
      </c>
      <c r="AT18" s="18" t="s">
        <v>2</v>
      </c>
      <c r="AU18" s="18" t="s">
        <v>2</v>
      </c>
      <c r="AV18" s="18" t="s">
        <v>2</v>
      </c>
      <c r="AW18" s="18" t="s">
        <v>2</v>
      </c>
      <c r="AX18" s="18" t="s">
        <v>2</v>
      </c>
      <c r="AY18" s="18" t="s">
        <v>2</v>
      </c>
      <c r="AZ18" s="18" t="s">
        <v>2</v>
      </c>
      <c r="BA18" s="18" t="s">
        <v>2</v>
      </c>
      <c r="BB18" s="18" t="s">
        <v>2</v>
      </c>
      <c r="BC18" s="18" t="s">
        <v>2</v>
      </c>
      <c r="BD18" s="18" t="s">
        <v>2</v>
      </c>
      <c r="BE18" s="18" t="s">
        <v>2</v>
      </c>
      <c r="BF18" s="18" t="s">
        <v>2</v>
      </c>
      <c r="BG18" s="18" t="s">
        <v>2</v>
      </c>
      <c r="BH18" s="18" t="s">
        <v>2</v>
      </c>
      <c r="BI18" s="18" t="s">
        <v>2</v>
      </c>
      <c r="BJ18" s="18" t="s">
        <v>2</v>
      </c>
      <c r="BK18" s="18" t="s">
        <v>2</v>
      </c>
      <c r="BL18" s="18" t="s">
        <v>2</v>
      </c>
      <c r="BM18" s="18" t="s">
        <v>2</v>
      </c>
      <c r="BN18" s="18" t="s">
        <v>2</v>
      </c>
      <c r="BO18" s="18" t="s">
        <v>2</v>
      </c>
      <c r="BP18" s="18" t="s">
        <v>2</v>
      </c>
      <c r="BQ18" s="18" t="s">
        <v>2</v>
      </c>
      <c r="BR18" s="18" t="s">
        <v>2</v>
      </c>
      <c r="BS18" s="18" t="s">
        <v>2</v>
      </c>
      <c r="BT18" s="18" t="s">
        <v>2</v>
      </c>
      <c r="BU18" s="18" t="s">
        <v>2</v>
      </c>
      <c r="BV18" s="18" t="s">
        <v>2</v>
      </c>
      <c r="BW18" s="18" t="s">
        <v>2</v>
      </c>
      <c r="BX18" s="18" t="s">
        <v>2</v>
      </c>
      <c r="BY18" s="18" t="s">
        <v>2</v>
      </c>
      <c r="BZ18" s="18" t="s">
        <v>2</v>
      </c>
      <c r="CA18" s="18" t="s">
        <v>2</v>
      </c>
      <c r="CB18" s="18" t="s">
        <v>2</v>
      </c>
      <c r="CC18" s="18" t="s">
        <v>2</v>
      </c>
      <c r="CD18" s="3" t="s">
        <v>2</v>
      </c>
      <c r="CJ18" s="55" t="s">
        <v>209</v>
      </c>
      <c r="CK18" s="10" t="s">
        <v>174</v>
      </c>
      <c r="CL18" s="10" t="s">
        <v>327</v>
      </c>
    </row>
    <row r="19" spans="1:90" ht="15" customHeight="1" x14ac:dyDescent="0.25">
      <c r="A19" s="13" t="s">
        <v>22</v>
      </c>
      <c r="B19" t="s">
        <v>2</v>
      </c>
      <c r="C19" s="22" t="s">
        <v>2</v>
      </c>
      <c r="D19" s="23" t="s">
        <v>2</v>
      </c>
      <c r="E19" s="23" t="s">
        <v>2</v>
      </c>
      <c r="F19" s="23" t="s">
        <v>2</v>
      </c>
      <c r="G19" s="23" t="s">
        <v>2</v>
      </c>
      <c r="H19" s="23" t="s">
        <v>2</v>
      </c>
      <c r="I19" s="23" t="s">
        <v>2</v>
      </c>
      <c r="J19" s="23" t="s">
        <v>2</v>
      </c>
      <c r="K19" s="23" t="s">
        <v>2</v>
      </c>
      <c r="L19" s="72" t="s">
        <v>336</v>
      </c>
      <c r="M19" s="219" t="s">
        <v>2</v>
      </c>
      <c r="N19" s="3"/>
      <c r="O19" s="1"/>
      <c r="CJ19" t="s">
        <v>207</v>
      </c>
      <c r="CK19" s="54">
        <v>7500</v>
      </c>
      <c r="CL19" s="54">
        <v>7500</v>
      </c>
    </row>
    <row r="20" spans="1:90" ht="17.25" customHeight="1" x14ac:dyDescent="0.25">
      <c r="A20" s="13" t="s">
        <v>23</v>
      </c>
      <c r="B20" t="s">
        <v>2</v>
      </c>
      <c r="C20" s="24"/>
      <c r="D20" s="25"/>
      <c r="E20" s="25"/>
      <c r="F20" s="25"/>
      <c r="G20" s="25"/>
      <c r="H20" s="25"/>
      <c r="I20" s="25"/>
      <c r="J20" s="25"/>
      <c r="K20" s="323" t="s">
        <v>2</v>
      </c>
      <c r="L20" s="323" t="s">
        <v>2</v>
      </c>
      <c r="M20" s="218" t="s">
        <v>2</v>
      </c>
      <c r="N20" s="3"/>
      <c r="O20" s="339" t="s">
        <v>91</v>
      </c>
      <c r="P20" s="34" t="str">
        <f>$P$3</f>
        <v xml:space="preserve">  RFA 2023-102</v>
      </c>
      <c r="Q20" s="34" t="str">
        <f>$Q$3</f>
        <v xml:space="preserve">  RFA 2023-102SF</v>
      </c>
      <c r="R20" s="34" t="str">
        <f>$R$3</f>
        <v xml:space="preserve">  RFA 2023-103</v>
      </c>
      <c r="S20" s="34" t="str">
        <f>$S$3</f>
        <v xml:space="preserve">  RFA 2023-103SF</v>
      </c>
      <c r="T20" s="34" t="str">
        <f>$T$3</f>
        <v xml:space="preserve">  RFA 2023-104</v>
      </c>
      <c r="U20" s="34" t="str">
        <f>$U$3</f>
        <v xml:space="preserve">  RFA 2023-104SF</v>
      </c>
      <c r="V20" s="34" t="str">
        <f>$V$3</f>
        <v xml:space="preserve">  RFA 2023-105</v>
      </c>
      <c r="W20" s="34" t="str">
        <f>$W$3</f>
        <v xml:space="preserve">  RFA 2023-106</v>
      </c>
      <c r="X20" s="34" t="str">
        <f>$X$3</f>
        <v xml:space="preserve">  RFA 2023-106SF</v>
      </c>
      <c r="Y20" s="34" t="str">
        <f>$Y$3</f>
        <v xml:space="preserve">  RFA 2023-108</v>
      </c>
      <c r="Z20" s="223" t="str">
        <f>$Z$3</f>
        <v xml:space="preserve">  RFA 2023-201</v>
      </c>
      <c r="AA20" s="223" t="str">
        <f>$AA$3</f>
        <v xml:space="preserve">  RFA 2023-202</v>
      </c>
      <c r="AB20" s="223" t="str">
        <f>$AB$3</f>
        <v xml:space="preserve">  RFA 2023-202SF</v>
      </c>
      <c r="AC20" s="223" t="str">
        <f>$AC$3</f>
        <v xml:space="preserve">  RFA 2023-203SF</v>
      </c>
      <c r="AD20" s="223" t="s">
        <v>277</v>
      </c>
      <c r="AE20" s="223" t="s">
        <v>278</v>
      </c>
      <c r="AF20" s="223" t="str">
        <f>$AF$3</f>
        <v xml:space="preserve">  RFA 2023-205</v>
      </c>
      <c r="AG20" s="223" t="str">
        <f>$AG$3</f>
        <v xml:space="preserve">  RFA 2023-205SF</v>
      </c>
      <c r="AH20" s="303" t="str">
        <f>$AH$3</f>
        <v xml:space="preserve">  RFA 2023-211</v>
      </c>
      <c r="AI20" s="223" t="str">
        <f>$AI$3</f>
        <v xml:space="preserve">  RFA 2023-212</v>
      </c>
      <c r="AJ20" s="223" t="str">
        <f>$AJ$3</f>
        <v xml:space="preserve">  RFA 2023-213</v>
      </c>
      <c r="AK20" s="223" t="str">
        <f>AK$3</f>
        <v xml:space="preserve">  RFA 2023-213SF</v>
      </c>
      <c r="AL20" s="303" t="str">
        <f>$AL$3</f>
        <v xml:space="preserve">  RFA 2023-304</v>
      </c>
      <c r="AM20" s="223" t="str">
        <f>$AM$3</f>
        <v xml:space="preserve">  RFA 2024-102</v>
      </c>
      <c r="AN20" s="223" t="str">
        <f>$AN$3</f>
        <v xml:space="preserve">  RFA 2024-102SF</v>
      </c>
      <c r="AO20" s="223" t="str">
        <f>$AO$3</f>
        <v xml:space="preserve">  RFA 2024-103</v>
      </c>
      <c r="AP20" s="223" t="str">
        <f>$AP$3</f>
        <v xml:space="preserve">  RFA 2024-103SF</v>
      </c>
      <c r="AQ20" s="223" t="str">
        <f>$AQ$3</f>
        <v xml:space="preserve">  RFA 2024-104</v>
      </c>
      <c r="AR20" s="223" t="str">
        <f>$AR$3</f>
        <v xml:space="preserve">  RFA 2024-104SF</v>
      </c>
      <c r="AS20" s="223" t="str">
        <f>$AS$3</f>
        <v xml:space="preserve">  RFA 2024-105</v>
      </c>
      <c r="AT20" s="223" t="str">
        <f t="shared" ref="AT20:BC20" si="8">AT3</f>
        <v xml:space="preserve">  RFA 2024-106</v>
      </c>
      <c r="AU20" s="223" t="str">
        <f t="shared" si="8"/>
        <v xml:space="preserve">  RFA 2024-106SF</v>
      </c>
      <c r="AV20" s="223" t="str">
        <f t="shared" si="8"/>
        <v xml:space="preserve">  RFA 2024-201</v>
      </c>
      <c r="AW20" s="223" t="str">
        <f t="shared" si="8"/>
        <v xml:space="preserve">  RFA 2024-202</v>
      </c>
      <c r="AX20" s="223" t="str">
        <f t="shared" si="8"/>
        <v xml:space="preserve">  RFA 2024-202SF</v>
      </c>
      <c r="AY20" s="223" t="str">
        <f t="shared" si="8"/>
        <v xml:space="preserve">  RFA 2024-203</v>
      </c>
      <c r="AZ20" s="223" t="str">
        <f t="shared" si="8"/>
        <v xml:space="preserve">  RFA 2024-204</v>
      </c>
      <c r="BA20" s="223" t="str">
        <f t="shared" si="8"/>
        <v xml:space="preserve">  RFA 2024-204SF</v>
      </c>
      <c r="BB20" s="223" t="str">
        <f t="shared" si="8"/>
        <v xml:space="preserve">  RFA 2024-205</v>
      </c>
      <c r="BC20" s="223" t="str">
        <f t="shared" si="8"/>
        <v xml:space="preserve">  RFA 2024-205SF</v>
      </c>
      <c r="BD20" s="223" t="str">
        <f>$BD$3</f>
        <v xml:space="preserve">  RFA 2024-206</v>
      </c>
      <c r="BE20" s="223" t="str">
        <f t="shared" ref="BE20:CC20" si="9">BE3</f>
        <v xml:space="preserve">  RFA 2024-206SF</v>
      </c>
      <c r="BF20" s="223" t="str">
        <f>$BF$3</f>
        <v xml:space="preserve">  RFA 2024-213</v>
      </c>
      <c r="BG20" s="223" t="str">
        <f>$BG$3</f>
        <v xml:space="preserve">  RFA 2024-213SF</v>
      </c>
      <c r="BH20" s="223" t="str">
        <f t="shared" si="9"/>
        <v xml:space="preserve">  RFA 2024-214</v>
      </c>
      <c r="BI20" s="223" t="str">
        <f t="shared" si="9"/>
        <v xml:space="preserve">  RFA 2024-214SF</v>
      </c>
      <c r="BJ20" s="223" t="str">
        <f t="shared" si="9"/>
        <v xml:space="preserve">  RFA 2024-215</v>
      </c>
      <c r="BK20" s="223" t="str">
        <f t="shared" si="9"/>
        <v xml:space="preserve">  RFA 2024-215SF</v>
      </c>
      <c r="BL20" s="223" t="str">
        <f t="shared" si="9"/>
        <v xml:space="preserve">  RFA 2024-216</v>
      </c>
      <c r="BM20" s="223" t="str">
        <f t="shared" si="9"/>
        <v xml:space="preserve">  RFA 2024-216SF</v>
      </c>
      <c r="BN20" s="223" t="str">
        <f t="shared" si="9"/>
        <v xml:space="preserve">  RFA 2024-305</v>
      </c>
      <c r="BO20" s="223" t="str">
        <f t="shared" si="9"/>
        <v xml:space="preserve">  RFA 2024-305SF</v>
      </c>
      <c r="BP20" s="223" t="str">
        <f t="shared" si="9"/>
        <v xml:space="preserve">  RFA 2024-306</v>
      </c>
      <c r="BQ20" s="223" t="str">
        <f t="shared" ref="BQ20:BW20" si="10">BQ3</f>
        <v xml:space="preserve">  RFA 2024-306SF</v>
      </c>
      <c r="BR20" s="223" t="str">
        <f t="shared" si="9"/>
        <v xml:space="preserve">  RFA 2025-102</v>
      </c>
      <c r="BS20" s="223" t="str">
        <f t="shared" si="10"/>
        <v xml:space="preserve">  RFA 2025-102SF</v>
      </c>
      <c r="BT20" s="223" t="str">
        <f t="shared" si="9"/>
        <v xml:space="preserve">  RFA 2025-103</v>
      </c>
      <c r="BU20" s="223" t="str">
        <f t="shared" si="10"/>
        <v xml:space="preserve">  RFA 2025-103SF</v>
      </c>
      <c r="BV20" s="353" t="str">
        <f t="shared" si="9"/>
        <v xml:space="preserve">  RFA 2025-104</v>
      </c>
      <c r="BW20" s="353" t="str">
        <f t="shared" si="10"/>
        <v xml:space="preserve">  RFA 2025-104SF</v>
      </c>
      <c r="BX20" s="223" t="str">
        <f t="shared" si="9"/>
        <v xml:space="preserve">  RFA 2025-106</v>
      </c>
      <c r="BY20" s="223" t="str">
        <f t="shared" si="9"/>
        <v xml:space="preserve">  RFA 2025-106SF</v>
      </c>
      <c r="BZ20" s="223" t="str">
        <f t="shared" ref="BZ20:CA20" si="11">BZ3</f>
        <v xml:space="preserve">  RFA 2025-206</v>
      </c>
      <c r="CA20" s="223" t="str">
        <f t="shared" si="11"/>
        <v xml:space="preserve">  RFA 2025-206SF</v>
      </c>
      <c r="CB20" s="223" t="str">
        <f t="shared" si="9"/>
        <v xml:space="preserve">  RFA 2025-216</v>
      </c>
      <c r="CC20" s="223" t="str">
        <f t="shared" si="9"/>
        <v xml:space="preserve">  RFA 2025-216SF</v>
      </c>
      <c r="CJ20" t="s">
        <v>208</v>
      </c>
      <c r="CK20" s="54">
        <v>7500</v>
      </c>
      <c r="CL20" s="54">
        <v>7500</v>
      </c>
    </row>
    <row r="21" spans="1:90" x14ac:dyDescent="0.25">
      <c r="A21" s="13" t="s">
        <v>24</v>
      </c>
      <c r="B21" t="s">
        <v>2</v>
      </c>
      <c r="N21" s="5"/>
      <c r="O21" s="340"/>
      <c r="P21" s="50" t="s">
        <v>2</v>
      </c>
      <c r="Q21" s="50" t="s">
        <v>2</v>
      </c>
      <c r="R21" s="50" t="s">
        <v>2</v>
      </c>
      <c r="S21" s="50" t="s">
        <v>2</v>
      </c>
      <c r="T21" s="50" t="s">
        <v>2</v>
      </c>
      <c r="U21" s="50" t="s">
        <v>2</v>
      </c>
      <c r="V21" s="50" t="s">
        <v>2</v>
      </c>
      <c r="W21" s="50" t="s">
        <v>2</v>
      </c>
      <c r="X21" s="50" t="s">
        <v>2</v>
      </c>
      <c r="Y21" s="50" t="s">
        <v>2</v>
      </c>
      <c r="Z21" s="5">
        <v>0.9</v>
      </c>
      <c r="AA21" s="5">
        <v>0.9</v>
      </c>
      <c r="AB21" s="5">
        <v>0.9</v>
      </c>
      <c r="AC21" s="5">
        <v>0.9</v>
      </c>
      <c r="AD21" s="5">
        <v>0.65</v>
      </c>
      <c r="AE21" s="5">
        <v>0.95</v>
      </c>
      <c r="AF21" s="5">
        <v>0.9</v>
      </c>
      <c r="AG21" s="5">
        <v>0.9</v>
      </c>
      <c r="AH21" s="17" t="s">
        <v>2</v>
      </c>
      <c r="AI21" s="5">
        <v>0.9</v>
      </c>
      <c r="AJ21" s="5">
        <v>0.9</v>
      </c>
      <c r="AK21" s="5">
        <v>0.9</v>
      </c>
      <c r="AL21" s="50" t="s">
        <v>2</v>
      </c>
      <c r="AM21" s="5">
        <v>0.65</v>
      </c>
      <c r="AN21" s="5">
        <v>0.9</v>
      </c>
      <c r="AO21" s="5">
        <v>0.9</v>
      </c>
      <c r="AP21" s="5">
        <v>0.9</v>
      </c>
      <c r="AQ21" s="5">
        <v>0.65</v>
      </c>
      <c r="AR21" s="50" t="s">
        <v>2</v>
      </c>
      <c r="AS21" s="50" t="s">
        <v>2</v>
      </c>
      <c r="AT21" s="5">
        <v>0.9</v>
      </c>
      <c r="AU21" s="5">
        <v>0.9</v>
      </c>
      <c r="AV21" s="5">
        <v>0.89</v>
      </c>
      <c r="AW21" s="5">
        <v>0.89</v>
      </c>
      <c r="AX21" s="5">
        <v>0.89</v>
      </c>
      <c r="AY21" s="5">
        <v>0.89</v>
      </c>
      <c r="AZ21" s="5">
        <v>0.89</v>
      </c>
      <c r="BA21" s="5">
        <v>0.89</v>
      </c>
      <c r="BB21" s="5">
        <v>0.89</v>
      </c>
      <c r="BC21" s="5">
        <v>0.89</v>
      </c>
      <c r="BD21" s="5">
        <v>0.65</v>
      </c>
      <c r="BE21" s="50" t="s">
        <v>2</v>
      </c>
      <c r="BF21" s="5">
        <v>0.89</v>
      </c>
      <c r="BG21" s="5">
        <v>0.89</v>
      </c>
      <c r="BH21" s="5">
        <v>0.95</v>
      </c>
      <c r="BI21" s="5">
        <v>0.95</v>
      </c>
      <c r="BJ21" s="5">
        <v>0.89</v>
      </c>
      <c r="BK21" s="5">
        <v>0.89</v>
      </c>
      <c r="BL21" s="5">
        <v>0.65</v>
      </c>
      <c r="BM21" s="5">
        <v>0.89</v>
      </c>
      <c r="BN21" s="5">
        <v>0.65</v>
      </c>
      <c r="BO21" s="50" t="s">
        <v>2</v>
      </c>
      <c r="BP21" s="5">
        <v>0.89</v>
      </c>
      <c r="BQ21" s="5">
        <v>0.89</v>
      </c>
      <c r="BR21" s="5">
        <v>0.89</v>
      </c>
      <c r="BS21" s="5">
        <v>0.89</v>
      </c>
      <c r="BT21" s="5">
        <v>0.89</v>
      </c>
      <c r="BU21" s="5">
        <v>0.89</v>
      </c>
      <c r="BV21" s="5">
        <v>0.89</v>
      </c>
      <c r="BW21" s="5">
        <v>0.89</v>
      </c>
      <c r="BX21" s="5">
        <v>0.89</v>
      </c>
      <c r="BY21" s="5">
        <v>0.89</v>
      </c>
      <c r="BZ21" s="5">
        <v>0.89</v>
      </c>
      <c r="CA21" s="5">
        <v>0.89</v>
      </c>
      <c r="CB21" s="5">
        <v>0.89</v>
      </c>
      <c r="CC21" s="5">
        <v>0.89</v>
      </c>
      <c r="CD21" s="3" t="s">
        <v>2</v>
      </c>
      <c r="CJ21" s="55" t="s">
        <v>210</v>
      </c>
    </row>
    <row r="22" spans="1:90" x14ac:dyDescent="0.25">
      <c r="A22" s="13" t="s">
        <v>25</v>
      </c>
      <c r="B22" t="s">
        <v>2</v>
      </c>
      <c r="N22" s="5"/>
      <c r="O22" s="340"/>
      <c r="P22" s="50" t="s">
        <v>2</v>
      </c>
      <c r="Q22" s="50" t="s">
        <v>2</v>
      </c>
      <c r="R22" s="50" t="s">
        <v>2</v>
      </c>
      <c r="S22" s="50" t="s">
        <v>2</v>
      </c>
      <c r="T22" s="50" t="s">
        <v>2</v>
      </c>
      <c r="U22" s="50" t="s">
        <v>2</v>
      </c>
      <c r="V22" s="50" t="s">
        <v>2</v>
      </c>
      <c r="W22" s="50" t="s">
        <v>2</v>
      </c>
      <c r="X22" s="50" t="s">
        <v>2</v>
      </c>
      <c r="Y22" s="50" t="s">
        <v>2</v>
      </c>
      <c r="Z22" s="5">
        <v>0.9</v>
      </c>
      <c r="AA22" s="5">
        <v>0.9</v>
      </c>
      <c r="AB22" s="5">
        <v>0.9</v>
      </c>
      <c r="AC22" s="5">
        <v>0.9</v>
      </c>
      <c r="AD22" s="5">
        <v>0.5</v>
      </c>
      <c r="AE22" s="50" t="s">
        <v>2</v>
      </c>
      <c r="AF22" s="5">
        <v>0.9</v>
      </c>
      <c r="AG22" s="5">
        <v>0.9</v>
      </c>
      <c r="AH22" s="50" t="s">
        <v>2</v>
      </c>
      <c r="AI22" s="5">
        <v>0.9</v>
      </c>
      <c r="AJ22" s="5">
        <v>0.9</v>
      </c>
      <c r="AK22" s="5">
        <v>0.9</v>
      </c>
      <c r="AL22" s="50" t="s">
        <v>2</v>
      </c>
      <c r="AM22" s="5">
        <v>0.5</v>
      </c>
      <c r="AN22" s="50" t="s">
        <v>2</v>
      </c>
      <c r="AO22" s="5">
        <v>0.9</v>
      </c>
      <c r="AP22" s="5">
        <v>0.9</v>
      </c>
      <c r="AQ22" s="5">
        <v>0.5</v>
      </c>
      <c r="AR22" s="50" t="s">
        <v>2</v>
      </c>
      <c r="AS22" s="50" t="s">
        <v>2</v>
      </c>
      <c r="AT22" s="5">
        <v>0.9</v>
      </c>
      <c r="AU22" s="5">
        <v>0.9</v>
      </c>
      <c r="AV22" s="5">
        <v>0.89</v>
      </c>
      <c r="AW22" s="5">
        <v>0.89</v>
      </c>
      <c r="AX22" s="5">
        <v>0.89</v>
      </c>
      <c r="AY22" s="5">
        <v>0.89</v>
      </c>
      <c r="AZ22" s="50" t="s">
        <v>2</v>
      </c>
      <c r="BA22" s="50" t="s">
        <v>2</v>
      </c>
      <c r="BB22" s="5">
        <v>0.89</v>
      </c>
      <c r="BC22" s="5">
        <v>0.89</v>
      </c>
      <c r="BD22" s="5">
        <v>0.5</v>
      </c>
      <c r="BE22" s="50" t="s">
        <v>2</v>
      </c>
      <c r="BF22" s="5">
        <v>0.89</v>
      </c>
      <c r="BG22" s="5">
        <v>0.89</v>
      </c>
      <c r="BH22" s="5">
        <v>0.65</v>
      </c>
      <c r="BI22" s="50" t="s">
        <v>2</v>
      </c>
      <c r="BJ22" s="5">
        <v>0.89</v>
      </c>
      <c r="BK22" s="5">
        <v>0.89</v>
      </c>
      <c r="BL22" s="5">
        <v>0.5</v>
      </c>
      <c r="BM22" s="50" t="s">
        <v>2</v>
      </c>
      <c r="BN22" s="5">
        <v>0.5</v>
      </c>
      <c r="BO22" s="50" t="s">
        <v>2</v>
      </c>
      <c r="BP22" s="5">
        <v>0.89</v>
      </c>
      <c r="BQ22" s="5">
        <v>0.89</v>
      </c>
      <c r="BR22" s="50" t="s">
        <v>2</v>
      </c>
      <c r="BS22" s="50" t="s">
        <v>2</v>
      </c>
      <c r="BT22" s="50" t="s">
        <v>2</v>
      </c>
      <c r="BU22" s="50" t="s">
        <v>2</v>
      </c>
      <c r="BV22" s="50" t="s">
        <v>2</v>
      </c>
      <c r="BW22" s="50" t="s">
        <v>2</v>
      </c>
      <c r="BX22" s="50" t="s">
        <v>2</v>
      </c>
      <c r="BY22" s="50" t="s">
        <v>2</v>
      </c>
      <c r="BZ22" s="50" t="s">
        <v>2</v>
      </c>
      <c r="CA22" s="50" t="s">
        <v>2</v>
      </c>
      <c r="CB22" s="50" t="s">
        <v>2</v>
      </c>
      <c r="CC22" s="50" t="s">
        <v>2</v>
      </c>
      <c r="CD22" s="3" t="s">
        <v>2</v>
      </c>
      <c r="CJ22" s="76" t="s">
        <v>178</v>
      </c>
      <c r="CK22" s="75">
        <v>0.95</v>
      </c>
      <c r="CL22" s="75">
        <v>0.95</v>
      </c>
    </row>
    <row r="23" spans="1:90" x14ac:dyDescent="0.25">
      <c r="A23" s="13" t="s">
        <v>26</v>
      </c>
      <c r="B23" t="s">
        <v>2</v>
      </c>
      <c r="C23" s="333" t="s">
        <v>205</v>
      </c>
      <c r="D23" s="334"/>
      <c r="E23" s="334"/>
      <c r="F23" s="334"/>
      <c r="G23" s="334"/>
      <c r="H23" s="334"/>
      <c r="I23" s="334"/>
      <c r="J23" s="334"/>
      <c r="K23" s="334"/>
      <c r="L23" s="334"/>
      <c r="M23" s="335"/>
      <c r="N23" s="5"/>
      <c r="O23" s="340"/>
      <c r="P23" s="50" t="s">
        <v>2</v>
      </c>
      <c r="Q23" s="50" t="s">
        <v>2</v>
      </c>
      <c r="R23" s="50" t="s">
        <v>2</v>
      </c>
      <c r="S23" s="50" t="s">
        <v>2</v>
      </c>
      <c r="T23" s="50" t="s">
        <v>2</v>
      </c>
      <c r="U23" s="50" t="s">
        <v>2</v>
      </c>
      <c r="V23" s="50" t="s">
        <v>2</v>
      </c>
      <c r="W23" s="50" t="s">
        <v>2</v>
      </c>
      <c r="X23" s="50" t="s">
        <v>2</v>
      </c>
      <c r="Y23" s="50" t="s">
        <v>2</v>
      </c>
      <c r="Z23" s="5">
        <v>0.9</v>
      </c>
      <c r="AA23" s="5">
        <v>0.9</v>
      </c>
      <c r="AB23" s="5">
        <v>0.9</v>
      </c>
      <c r="AC23" s="5">
        <v>0.9</v>
      </c>
      <c r="AD23" s="5">
        <v>0.95</v>
      </c>
      <c r="AE23" s="50" t="s">
        <v>2</v>
      </c>
      <c r="AF23" s="5">
        <v>0.9</v>
      </c>
      <c r="AG23" s="5">
        <v>0.9</v>
      </c>
      <c r="AH23" s="50" t="s">
        <v>2</v>
      </c>
      <c r="AI23" s="5">
        <v>0.9</v>
      </c>
      <c r="AJ23" s="5">
        <v>0.9</v>
      </c>
      <c r="AK23" s="5">
        <v>0.9</v>
      </c>
      <c r="AL23" s="50" t="s">
        <v>2</v>
      </c>
      <c r="AM23" s="5">
        <v>0.9</v>
      </c>
      <c r="AN23" s="50" t="s">
        <v>2</v>
      </c>
      <c r="AO23" s="5">
        <v>0.9</v>
      </c>
      <c r="AP23" s="5">
        <v>0.9</v>
      </c>
      <c r="AQ23" s="50" t="s">
        <v>2</v>
      </c>
      <c r="AR23" s="50" t="s">
        <v>2</v>
      </c>
      <c r="AS23" s="50" t="s">
        <v>2</v>
      </c>
      <c r="AT23" s="5">
        <v>0.9</v>
      </c>
      <c r="AU23" s="5">
        <v>0.9</v>
      </c>
      <c r="AV23" s="5">
        <v>0.65</v>
      </c>
      <c r="AW23" s="5">
        <v>0.95</v>
      </c>
      <c r="AX23" s="5">
        <v>0.95</v>
      </c>
      <c r="AY23" s="5">
        <v>0.95</v>
      </c>
      <c r="AZ23" s="5">
        <v>0.65</v>
      </c>
      <c r="BA23" s="5">
        <v>0.65</v>
      </c>
      <c r="BB23" s="5">
        <v>0.65</v>
      </c>
      <c r="BC23" s="5">
        <v>0.95</v>
      </c>
      <c r="BD23" s="50" t="s">
        <v>2</v>
      </c>
      <c r="BE23" s="50" t="s">
        <v>2</v>
      </c>
      <c r="BF23" s="5">
        <v>0.65</v>
      </c>
      <c r="BG23" s="5">
        <v>0.65</v>
      </c>
      <c r="BH23" s="5">
        <v>0.5</v>
      </c>
      <c r="BI23" s="50" t="s">
        <v>2</v>
      </c>
      <c r="BJ23" s="5">
        <v>0.65</v>
      </c>
      <c r="BK23" s="50" t="s">
        <v>2</v>
      </c>
      <c r="BL23" s="5">
        <v>0.89</v>
      </c>
      <c r="BM23" s="50" t="s">
        <v>2</v>
      </c>
      <c r="BN23" s="50" t="s">
        <v>2</v>
      </c>
      <c r="BO23" s="50" t="s">
        <v>2</v>
      </c>
      <c r="BP23" s="50" t="s">
        <v>2</v>
      </c>
      <c r="BQ23" s="50" t="s">
        <v>2</v>
      </c>
      <c r="BR23" s="5">
        <v>0.65</v>
      </c>
      <c r="BS23" s="5">
        <v>0.85</v>
      </c>
      <c r="BT23" s="5">
        <v>0.85</v>
      </c>
      <c r="BU23" s="5">
        <v>0.85</v>
      </c>
      <c r="BV23" s="5">
        <v>0.65</v>
      </c>
      <c r="BW23" s="50" t="s">
        <v>2</v>
      </c>
      <c r="BX23" s="5">
        <v>0.85</v>
      </c>
      <c r="BY23" s="5">
        <v>0.85</v>
      </c>
      <c r="BZ23" s="5">
        <v>0.65</v>
      </c>
      <c r="CA23" s="50" t="s">
        <v>2</v>
      </c>
      <c r="CB23" s="5">
        <v>0.65</v>
      </c>
      <c r="CC23" s="50" t="s">
        <v>2</v>
      </c>
      <c r="CD23" s="3" t="s">
        <v>2</v>
      </c>
      <c r="CJ23" s="76" t="s">
        <v>179</v>
      </c>
      <c r="CK23" s="75">
        <v>0.9</v>
      </c>
      <c r="CL23" s="75">
        <v>0.85</v>
      </c>
    </row>
    <row r="24" spans="1:90" ht="30" x14ac:dyDescent="0.25">
      <c r="A24" s="13" t="s">
        <v>27</v>
      </c>
      <c r="B24" t="s">
        <v>2</v>
      </c>
      <c r="C24" s="61"/>
      <c r="D24" s="62"/>
      <c r="E24" s="62"/>
      <c r="F24" s="62"/>
      <c r="G24" s="62"/>
      <c r="H24" s="62"/>
      <c r="I24" s="62"/>
      <c r="J24" s="62"/>
      <c r="K24" s="72" t="s">
        <v>327</v>
      </c>
      <c r="L24" s="306" t="s">
        <v>174</v>
      </c>
      <c r="M24" s="309" t="s">
        <v>165</v>
      </c>
      <c r="N24" s="322"/>
      <c r="O24" s="340"/>
      <c r="P24" s="50" t="s">
        <v>2</v>
      </c>
      <c r="Q24" s="50" t="s">
        <v>2</v>
      </c>
      <c r="R24" s="50" t="s">
        <v>2</v>
      </c>
      <c r="S24" s="50" t="s">
        <v>2</v>
      </c>
      <c r="T24" s="50" t="s">
        <v>2</v>
      </c>
      <c r="U24" s="50" t="s">
        <v>2</v>
      </c>
      <c r="V24" s="50" t="s">
        <v>2</v>
      </c>
      <c r="W24" s="50" t="s">
        <v>2</v>
      </c>
      <c r="X24" s="50" t="s">
        <v>2</v>
      </c>
      <c r="Y24" s="50" t="s">
        <v>2</v>
      </c>
      <c r="Z24" s="5">
        <v>0.95</v>
      </c>
      <c r="AA24" s="5">
        <v>0.95</v>
      </c>
      <c r="AB24" s="5">
        <v>0.95</v>
      </c>
      <c r="AC24" s="5">
        <v>0.95</v>
      </c>
      <c r="AD24" s="50" t="s">
        <v>2</v>
      </c>
      <c r="AE24" s="50" t="s">
        <v>2</v>
      </c>
      <c r="AF24" s="5">
        <v>0.95</v>
      </c>
      <c r="AG24" s="5">
        <v>0.95</v>
      </c>
      <c r="AH24" s="50" t="s">
        <v>2</v>
      </c>
      <c r="AI24" s="5">
        <v>0.95</v>
      </c>
      <c r="AJ24" s="5">
        <v>0.95</v>
      </c>
      <c r="AK24" s="5">
        <v>0.95</v>
      </c>
      <c r="AL24" s="50" t="s">
        <v>2</v>
      </c>
      <c r="AM24" s="50" t="s">
        <v>2</v>
      </c>
      <c r="AN24" s="50" t="s">
        <v>2</v>
      </c>
      <c r="AO24" s="5">
        <v>0.95</v>
      </c>
      <c r="AP24" s="5">
        <v>0.95</v>
      </c>
      <c r="AQ24" s="50" t="s">
        <v>2</v>
      </c>
      <c r="AR24" s="50" t="s">
        <v>2</v>
      </c>
      <c r="AS24" s="50" t="s">
        <v>2</v>
      </c>
      <c r="AT24" s="5">
        <v>0.95</v>
      </c>
      <c r="AU24" s="5">
        <v>0.95</v>
      </c>
      <c r="AV24" s="5">
        <v>0.5</v>
      </c>
      <c r="AW24" s="50" t="s">
        <v>2</v>
      </c>
      <c r="AX24" s="50" t="s">
        <v>2</v>
      </c>
      <c r="AY24" s="50" t="s">
        <v>2</v>
      </c>
      <c r="AZ24" s="5">
        <v>0.5</v>
      </c>
      <c r="BA24" s="5">
        <v>0.5</v>
      </c>
      <c r="BB24" s="5">
        <v>0.5</v>
      </c>
      <c r="BC24" s="50" t="s">
        <v>2</v>
      </c>
      <c r="BD24" s="50" t="s">
        <v>2</v>
      </c>
      <c r="BE24" s="50" t="s">
        <v>2</v>
      </c>
      <c r="BF24" s="5">
        <v>0.5</v>
      </c>
      <c r="BG24" s="5">
        <v>0.5</v>
      </c>
      <c r="BH24" s="50" t="s">
        <v>2</v>
      </c>
      <c r="BI24" s="50" t="s">
        <v>2</v>
      </c>
      <c r="BJ24" s="5">
        <v>0.5</v>
      </c>
      <c r="BK24" s="50" t="s">
        <v>2</v>
      </c>
      <c r="BL24" s="50" t="s">
        <v>2</v>
      </c>
      <c r="BM24" s="50" t="s">
        <v>2</v>
      </c>
      <c r="BN24" s="50" t="s">
        <v>2</v>
      </c>
      <c r="BO24" s="50" t="s">
        <v>2</v>
      </c>
      <c r="BP24" s="50" t="s">
        <v>2</v>
      </c>
      <c r="BQ24" s="50" t="s">
        <v>2</v>
      </c>
      <c r="BR24" s="5">
        <v>0.5</v>
      </c>
      <c r="BS24" s="50" t="s">
        <v>2</v>
      </c>
      <c r="BT24" s="5">
        <v>0.9</v>
      </c>
      <c r="BU24" s="5">
        <v>0.9</v>
      </c>
      <c r="BV24" s="5">
        <v>0.5</v>
      </c>
      <c r="BW24" s="50" t="s">
        <v>2</v>
      </c>
      <c r="BX24" s="5">
        <v>0.9</v>
      </c>
      <c r="BY24" s="5">
        <v>0.9</v>
      </c>
      <c r="BZ24" s="5">
        <v>0.5</v>
      </c>
      <c r="CA24" s="50" t="s">
        <v>2</v>
      </c>
      <c r="CB24" s="5">
        <v>0.5</v>
      </c>
      <c r="CC24" s="50" t="s">
        <v>2</v>
      </c>
      <c r="CD24" s="3" t="s">
        <v>2</v>
      </c>
      <c r="CJ24" s="76" t="s">
        <v>180</v>
      </c>
      <c r="CK24" s="75">
        <v>0.9</v>
      </c>
      <c r="CL24" s="75">
        <v>0.85</v>
      </c>
    </row>
    <row r="25" spans="1:90" ht="30" x14ac:dyDescent="0.25">
      <c r="A25" s="13" t="s">
        <v>28</v>
      </c>
      <c r="B25" t="s">
        <v>2</v>
      </c>
      <c r="C25" s="22"/>
      <c r="D25" s="23"/>
      <c r="E25" s="23"/>
      <c r="F25" s="23"/>
      <c r="G25" s="23"/>
      <c r="H25" s="23"/>
      <c r="I25" s="23"/>
      <c r="J25" s="23"/>
      <c r="K25" s="72" t="s">
        <v>327</v>
      </c>
      <c r="L25" s="72" t="s">
        <v>174</v>
      </c>
      <c r="M25" s="310" t="s">
        <v>165</v>
      </c>
      <c r="N25" s="322"/>
      <c r="O25" s="340"/>
      <c r="P25" s="50" t="s">
        <v>2</v>
      </c>
      <c r="Q25" s="50" t="s">
        <v>2</v>
      </c>
      <c r="R25" s="50" t="s">
        <v>2</v>
      </c>
      <c r="S25" s="50" t="s">
        <v>2</v>
      </c>
      <c r="T25" s="50" t="s">
        <v>2</v>
      </c>
      <c r="U25" s="50" t="s">
        <v>2</v>
      </c>
      <c r="V25" s="50" t="s">
        <v>2</v>
      </c>
      <c r="W25" s="50" t="s">
        <v>2</v>
      </c>
      <c r="X25" s="50" t="s">
        <v>2</v>
      </c>
      <c r="Y25" s="50" t="s">
        <v>2</v>
      </c>
      <c r="Z25" s="5">
        <v>0.65</v>
      </c>
      <c r="AA25" s="5">
        <v>0.65</v>
      </c>
      <c r="AB25" s="5">
        <v>0.95</v>
      </c>
      <c r="AC25" s="5">
        <v>0.95</v>
      </c>
      <c r="AD25" s="50" t="s">
        <v>2</v>
      </c>
      <c r="AE25" s="50" t="s">
        <v>320</v>
      </c>
      <c r="AF25" s="5">
        <v>0.65</v>
      </c>
      <c r="AG25" s="5">
        <v>0.95</v>
      </c>
      <c r="AH25" s="50" t="s">
        <v>2</v>
      </c>
      <c r="AI25" s="5">
        <v>0.65</v>
      </c>
      <c r="AJ25" s="5">
        <v>0.65</v>
      </c>
      <c r="AK25" s="5">
        <v>0.95</v>
      </c>
      <c r="AL25" s="50" t="s">
        <v>2</v>
      </c>
      <c r="AM25" s="50" t="s">
        <v>2</v>
      </c>
      <c r="AN25" s="50" t="s">
        <v>2</v>
      </c>
      <c r="AO25" s="50" t="s">
        <v>2</v>
      </c>
      <c r="AP25" s="50" t="s">
        <v>2</v>
      </c>
      <c r="AQ25" s="50" t="s">
        <v>2</v>
      </c>
      <c r="AR25" s="50" t="s">
        <v>2</v>
      </c>
      <c r="AS25" s="50" t="s">
        <v>2</v>
      </c>
      <c r="AT25" s="50" t="s">
        <v>2</v>
      </c>
      <c r="AU25" s="50" t="s">
        <v>2</v>
      </c>
      <c r="AV25" s="5">
        <v>0.95</v>
      </c>
      <c r="AW25" s="50" t="s">
        <v>2</v>
      </c>
      <c r="AX25" s="50" t="s">
        <v>2</v>
      </c>
      <c r="AY25" s="50" t="s">
        <v>2</v>
      </c>
      <c r="AZ25" s="5">
        <v>0.95</v>
      </c>
      <c r="BA25" s="5">
        <v>0.95</v>
      </c>
      <c r="BB25" s="5">
        <v>0.95</v>
      </c>
      <c r="BC25" s="50" t="s">
        <v>2</v>
      </c>
      <c r="BD25" s="50" t="s">
        <v>2</v>
      </c>
      <c r="BE25" s="50" t="s">
        <v>2</v>
      </c>
      <c r="BF25" s="50" t="s">
        <v>2</v>
      </c>
      <c r="BG25" s="50" t="s">
        <v>2</v>
      </c>
      <c r="BH25" s="50" t="s">
        <v>2</v>
      </c>
      <c r="BI25" s="50" t="s">
        <v>2</v>
      </c>
      <c r="BJ25" s="50" t="s">
        <v>2</v>
      </c>
      <c r="BK25" s="50" t="s">
        <v>2</v>
      </c>
      <c r="BL25" s="50" t="s">
        <v>2</v>
      </c>
      <c r="BM25" s="50" t="s">
        <v>2</v>
      </c>
      <c r="BN25" s="50" t="s">
        <v>2</v>
      </c>
      <c r="BO25" s="50" t="s">
        <v>2</v>
      </c>
      <c r="BP25" s="50" t="s">
        <v>2</v>
      </c>
      <c r="BQ25" s="50" t="s">
        <v>2</v>
      </c>
      <c r="BR25" s="5">
        <v>0.85</v>
      </c>
      <c r="BS25" s="50" t="s">
        <v>2</v>
      </c>
      <c r="BT25" s="5">
        <v>0.85</v>
      </c>
      <c r="BU25" s="5">
        <v>0.85</v>
      </c>
      <c r="BV25" s="50" t="s">
        <v>2</v>
      </c>
      <c r="BW25" s="50" t="s">
        <v>2</v>
      </c>
      <c r="BX25" s="5">
        <v>0.85</v>
      </c>
      <c r="BY25" s="5">
        <v>0.85</v>
      </c>
      <c r="BZ25" s="50" t="s">
        <v>2</v>
      </c>
      <c r="CA25" s="50" t="s">
        <v>2</v>
      </c>
      <c r="CB25" s="50" t="s">
        <v>2</v>
      </c>
      <c r="CC25" s="50" t="s">
        <v>2</v>
      </c>
      <c r="CD25" s="3" t="s">
        <v>2</v>
      </c>
      <c r="CJ25" s="76" t="s">
        <v>181</v>
      </c>
      <c r="CK25" s="75">
        <v>0.9</v>
      </c>
      <c r="CL25" s="75">
        <v>0.85</v>
      </c>
    </row>
    <row r="26" spans="1:90" ht="30" x14ac:dyDescent="0.25">
      <c r="A26" s="13" t="s">
        <v>29</v>
      </c>
      <c r="B26" t="s">
        <v>2</v>
      </c>
      <c r="C26" s="22"/>
      <c r="D26" s="23"/>
      <c r="E26" s="23"/>
      <c r="F26" s="23"/>
      <c r="G26" s="23"/>
      <c r="H26" s="23"/>
      <c r="I26" s="23"/>
      <c r="J26" s="23"/>
      <c r="K26" s="72" t="s">
        <v>327</v>
      </c>
      <c r="L26" s="72" t="s">
        <v>174</v>
      </c>
      <c r="M26" s="310" t="s">
        <v>165</v>
      </c>
      <c r="N26" s="322"/>
      <c r="O26" s="340"/>
      <c r="P26" s="50" t="s">
        <v>2</v>
      </c>
      <c r="Q26" s="50" t="s">
        <v>2</v>
      </c>
      <c r="R26" s="50" t="s">
        <v>2</v>
      </c>
      <c r="S26" s="50" t="s">
        <v>2</v>
      </c>
      <c r="T26" s="50" t="s">
        <v>2</v>
      </c>
      <c r="U26" s="50" t="s">
        <v>2</v>
      </c>
      <c r="V26" s="50" t="s">
        <v>2</v>
      </c>
      <c r="W26" s="50" t="s">
        <v>2</v>
      </c>
      <c r="X26" s="50" t="s">
        <v>2</v>
      </c>
      <c r="Y26" s="50" t="s">
        <v>2</v>
      </c>
      <c r="Z26" s="5">
        <v>0.5</v>
      </c>
      <c r="AA26" s="5">
        <v>0.5</v>
      </c>
      <c r="AB26" s="50" t="s">
        <v>2</v>
      </c>
      <c r="AC26" s="50" t="s">
        <v>2</v>
      </c>
      <c r="AD26" s="50" t="s">
        <v>2</v>
      </c>
      <c r="AE26" s="50" t="s">
        <v>2</v>
      </c>
      <c r="AF26" s="5">
        <v>0.5</v>
      </c>
      <c r="AG26" s="50" t="s">
        <v>2</v>
      </c>
      <c r="AH26" s="50" t="s">
        <v>2</v>
      </c>
      <c r="AI26" s="5">
        <v>0.5</v>
      </c>
      <c r="AJ26" s="5">
        <v>0.5</v>
      </c>
      <c r="AK26" s="50" t="s">
        <v>2</v>
      </c>
      <c r="AL26" s="50" t="s">
        <v>2</v>
      </c>
      <c r="AM26" s="50" t="s">
        <v>2</v>
      </c>
      <c r="AN26" s="50" t="s">
        <v>2</v>
      </c>
      <c r="AO26" s="50" t="s">
        <v>2</v>
      </c>
      <c r="AP26" s="50" t="s">
        <v>2</v>
      </c>
      <c r="AQ26" s="50" t="s">
        <v>2</v>
      </c>
      <c r="AR26" s="50" t="s">
        <v>2</v>
      </c>
      <c r="AS26" s="50" t="s">
        <v>2</v>
      </c>
      <c r="AT26" s="50" t="s">
        <v>2</v>
      </c>
      <c r="AU26" s="50" t="s">
        <v>2</v>
      </c>
      <c r="AV26" s="50" t="s">
        <v>2</v>
      </c>
      <c r="AW26" s="50" t="s">
        <v>2</v>
      </c>
      <c r="AX26" s="50" t="s">
        <v>2</v>
      </c>
      <c r="AY26" s="50" t="s">
        <v>2</v>
      </c>
      <c r="AZ26" s="50" t="s">
        <v>2</v>
      </c>
      <c r="BA26" s="50" t="s">
        <v>2</v>
      </c>
      <c r="BB26" s="50" t="s">
        <v>2</v>
      </c>
      <c r="BC26" s="50" t="s">
        <v>2</v>
      </c>
      <c r="BD26" s="50" t="s">
        <v>2</v>
      </c>
      <c r="BE26" s="50" t="s">
        <v>2</v>
      </c>
      <c r="BF26" s="50" t="s">
        <v>2</v>
      </c>
      <c r="BG26" s="50" t="s">
        <v>2</v>
      </c>
      <c r="BH26" s="50" t="s">
        <v>2</v>
      </c>
      <c r="BI26" s="50" t="s">
        <v>2</v>
      </c>
      <c r="BJ26" s="50" t="s">
        <v>2</v>
      </c>
      <c r="BK26" s="50" t="s">
        <v>2</v>
      </c>
      <c r="BL26" s="50" t="s">
        <v>2</v>
      </c>
      <c r="BM26" s="50" t="s">
        <v>2</v>
      </c>
      <c r="BN26" s="50" t="s">
        <v>2</v>
      </c>
      <c r="BO26" s="50" t="s">
        <v>2</v>
      </c>
      <c r="BP26" s="50" t="s">
        <v>2</v>
      </c>
      <c r="BQ26" s="50" t="s">
        <v>2</v>
      </c>
      <c r="BR26" s="50" t="s">
        <v>2</v>
      </c>
      <c r="BS26" s="50" t="s">
        <v>2</v>
      </c>
      <c r="BT26" s="50" t="s">
        <v>2</v>
      </c>
      <c r="BU26" s="50" t="s">
        <v>2</v>
      </c>
      <c r="BV26" s="50" t="s">
        <v>2</v>
      </c>
      <c r="BW26" s="50" t="s">
        <v>2</v>
      </c>
      <c r="BX26" s="50" t="s">
        <v>2</v>
      </c>
      <c r="BY26" s="50" t="s">
        <v>2</v>
      </c>
      <c r="BZ26" s="50" t="s">
        <v>2</v>
      </c>
      <c r="CA26" s="50" t="s">
        <v>2</v>
      </c>
      <c r="CB26" s="50" t="s">
        <v>2</v>
      </c>
      <c r="CC26" s="50" t="s">
        <v>2</v>
      </c>
      <c r="CD26" s="3"/>
      <c r="CJ26" s="76" t="s">
        <v>182</v>
      </c>
      <c r="CK26" s="75">
        <v>0.95</v>
      </c>
      <c r="CL26" s="75">
        <v>0.9</v>
      </c>
    </row>
    <row r="27" spans="1:90" ht="60" x14ac:dyDescent="0.25">
      <c r="A27" s="13" t="s">
        <v>30</v>
      </c>
      <c r="B27" t="s">
        <v>2</v>
      </c>
      <c r="C27" s="22"/>
      <c r="D27" s="23"/>
      <c r="E27" s="23"/>
      <c r="F27" s="23"/>
      <c r="G27" s="23"/>
      <c r="H27" s="23"/>
      <c r="I27" s="23"/>
      <c r="J27" s="23"/>
      <c r="K27" s="72" t="s">
        <v>327</v>
      </c>
      <c r="L27" s="72" t="s">
        <v>174</v>
      </c>
      <c r="M27" s="310" t="s">
        <v>165</v>
      </c>
      <c r="N27" s="322"/>
      <c r="O27" s="341"/>
      <c r="P27" s="18" t="s">
        <v>2</v>
      </c>
      <c r="Q27" s="18" t="s">
        <v>2</v>
      </c>
      <c r="R27" s="18" t="s">
        <v>2</v>
      </c>
      <c r="S27" s="18" t="s">
        <v>2</v>
      </c>
      <c r="T27" s="18" t="s">
        <v>2</v>
      </c>
      <c r="U27" s="18" t="s">
        <v>2</v>
      </c>
      <c r="V27" s="18" t="s">
        <v>2</v>
      </c>
      <c r="W27" s="18" t="s">
        <v>2</v>
      </c>
      <c r="X27" s="18" t="s">
        <v>2</v>
      </c>
      <c r="Y27" s="18" t="s">
        <v>2</v>
      </c>
      <c r="Z27" s="6">
        <v>0.95</v>
      </c>
      <c r="AA27" s="6">
        <v>0.95</v>
      </c>
      <c r="AB27" s="18" t="s">
        <v>2</v>
      </c>
      <c r="AC27" s="18" t="s">
        <v>2</v>
      </c>
      <c r="AD27" s="18" t="s">
        <v>2</v>
      </c>
      <c r="AE27" s="18" t="s">
        <v>2</v>
      </c>
      <c r="AF27" s="6">
        <v>0.95</v>
      </c>
      <c r="AG27" s="18" t="s">
        <v>2</v>
      </c>
      <c r="AH27" s="18" t="s">
        <v>2</v>
      </c>
      <c r="AI27" s="6">
        <v>0.95</v>
      </c>
      <c r="AJ27" s="6">
        <v>0.95</v>
      </c>
      <c r="AK27" s="18" t="s">
        <v>2</v>
      </c>
      <c r="AL27" s="18" t="s">
        <v>2</v>
      </c>
      <c r="AM27" s="18" t="s">
        <v>2</v>
      </c>
      <c r="AN27" s="18" t="s">
        <v>2</v>
      </c>
      <c r="AO27" s="18" t="s">
        <v>2</v>
      </c>
      <c r="AP27" s="18" t="s">
        <v>2</v>
      </c>
      <c r="AQ27" s="18" t="s">
        <v>2</v>
      </c>
      <c r="AR27" s="18" t="s">
        <v>2</v>
      </c>
      <c r="AS27" s="18" t="s">
        <v>2</v>
      </c>
      <c r="AT27" s="18" t="s">
        <v>2</v>
      </c>
      <c r="AU27" s="18" t="s">
        <v>2</v>
      </c>
      <c r="AV27" s="18" t="s">
        <v>2</v>
      </c>
      <c r="AW27" s="18" t="s">
        <v>2</v>
      </c>
      <c r="AX27" s="18" t="s">
        <v>2</v>
      </c>
      <c r="AY27" s="18" t="s">
        <v>2</v>
      </c>
      <c r="AZ27" s="18" t="s">
        <v>2</v>
      </c>
      <c r="BA27" s="18" t="s">
        <v>2</v>
      </c>
      <c r="BB27" s="18" t="s">
        <v>2</v>
      </c>
      <c r="BC27" s="18" t="s">
        <v>2</v>
      </c>
      <c r="BD27" s="18" t="s">
        <v>2</v>
      </c>
      <c r="BE27" s="18" t="s">
        <v>2</v>
      </c>
      <c r="BF27" s="18" t="s">
        <v>2</v>
      </c>
      <c r="BG27" s="18" t="s">
        <v>2</v>
      </c>
      <c r="BH27" s="18" t="s">
        <v>2</v>
      </c>
      <c r="BI27" s="18" t="s">
        <v>2</v>
      </c>
      <c r="BJ27" s="18" t="s">
        <v>2</v>
      </c>
      <c r="BK27" s="18" t="s">
        <v>2</v>
      </c>
      <c r="BL27" s="18" t="s">
        <v>2</v>
      </c>
      <c r="BM27" s="18" t="s">
        <v>2</v>
      </c>
      <c r="BN27" s="18" t="s">
        <v>2</v>
      </c>
      <c r="BO27" s="18" t="s">
        <v>2</v>
      </c>
      <c r="BP27" s="18" t="s">
        <v>2</v>
      </c>
      <c r="BQ27" s="18" t="s">
        <v>2</v>
      </c>
      <c r="BR27" s="18" t="s">
        <v>2</v>
      </c>
      <c r="BS27" s="18" t="s">
        <v>2</v>
      </c>
      <c r="BT27" s="18" t="s">
        <v>2</v>
      </c>
      <c r="BU27" s="18" t="s">
        <v>2</v>
      </c>
      <c r="BV27" s="18" t="s">
        <v>2</v>
      </c>
      <c r="BW27" s="18" t="s">
        <v>2</v>
      </c>
      <c r="BX27" s="18" t="s">
        <v>2</v>
      </c>
      <c r="BY27" s="18" t="s">
        <v>2</v>
      </c>
      <c r="BZ27" s="18" t="s">
        <v>2</v>
      </c>
      <c r="CA27" s="18" t="s">
        <v>2</v>
      </c>
      <c r="CB27" s="18" t="s">
        <v>2</v>
      </c>
      <c r="CC27" s="18" t="s">
        <v>2</v>
      </c>
      <c r="CD27" s="3" t="s">
        <v>2</v>
      </c>
      <c r="CJ27" s="76" t="s">
        <v>351</v>
      </c>
      <c r="CK27" s="324" t="s">
        <v>353</v>
      </c>
      <c r="CL27" s="75">
        <v>0.89</v>
      </c>
    </row>
    <row r="28" spans="1:90" ht="30" x14ac:dyDescent="0.25">
      <c r="A28" s="13" t="s">
        <v>31</v>
      </c>
      <c r="B28" t="s">
        <v>2</v>
      </c>
      <c r="C28" s="22"/>
      <c r="D28" s="23"/>
      <c r="E28" s="23"/>
      <c r="F28" s="23"/>
      <c r="G28" s="23"/>
      <c r="H28" s="23"/>
      <c r="I28" s="23"/>
      <c r="J28" s="23"/>
      <c r="K28" s="72" t="s">
        <v>327</v>
      </c>
      <c r="L28" s="72" t="s">
        <v>174</v>
      </c>
      <c r="M28" s="310" t="s">
        <v>165</v>
      </c>
      <c r="N28" s="322"/>
      <c r="CJ28" s="76" t="s">
        <v>352</v>
      </c>
      <c r="CK28" s="324" t="s">
        <v>353</v>
      </c>
      <c r="CL28" s="75">
        <v>0.89</v>
      </c>
    </row>
    <row r="29" spans="1:90" x14ac:dyDescent="0.25">
      <c r="A29" s="13" t="s">
        <v>32</v>
      </c>
      <c r="B29" t="s">
        <v>2</v>
      </c>
      <c r="C29" s="22"/>
      <c r="D29" s="23"/>
      <c r="E29" s="23"/>
      <c r="F29" s="23"/>
      <c r="G29" s="23"/>
      <c r="H29" s="23"/>
      <c r="I29" s="23"/>
      <c r="J29" s="23"/>
      <c r="K29" s="72" t="s">
        <v>327</v>
      </c>
      <c r="L29" s="72" t="s">
        <v>327</v>
      </c>
      <c r="M29" s="310" t="s">
        <v>165</v>
      </c>
      <c r="N29" s="220"/>
      <c r="O29" s="339" t="s">
        <v>87</v>
      </c>
      <c r="P29" s="34" t="str">
        <f>$P$3</f>
        <v xml:space="preserve">  RFA 2023-102</v>
      </c>
      <c r="Q29" s="34" t="str">
        <f>$Q$3</f>
        <v xml:space="preserve">  RFA 2023-102SF</v>
      </c>
      <c r="R29" s="34" t="str">
        <f>$R$3</f>
        <v xml:space="preserve">  RFA 2023-103</v>
      </c>
      <c r="S29" s="34" t="str">
        <f>$S$3</f>
        <v xml:space="preserve">  RFA 2023-103SF</v>
      </c>
      <c r="T29" s="34" t="str">
        <f>$T$3</f>
        <v xml:space="preserve">  RFA 2023-104</v>
      </c>
      <c r="U29" s="34" t="str">
        <f>$U$3</f>
        <v xml:space="preserve">  RFA 2023-104SF</v>
      </c>
      <c r="V29" s="34" t="str">
        <f>$V$3</f>
        <v xml:space="preserve">  RFA 2023-105</v>
      </c>
      <c r="W29" s="34" t="str">
        <f>$W$3</f>
        <v xml:space="preserve">  RFA 2023-106</v>
      </c>
      <c r="X29" s="34" t="str">
        <f>$X$3</f>
        <v xml:space="preserve">  RFA 2023-106SF</v>
      </c>
      <c r="Y29" s="34" t="str">
        <f>$Y$3</f>
        <v xml:space="preserve">  RFA 2023-108</v>
      </c>
      <c r="Z29" s="223" t="str">
        <f>$Z$3</f>
        <v xml:space="preserve">  RFA 2023-201</v>
      </c>
      <c r="AA29" s="223" t="str">
        <f>$AA$3</f>
        <v xml:space="preserve">  RFA 2023-202</v>
      </c>
      <c r="AB29" s="223" t="str">
        <f>$AB$3</f>
        <v xml:space="preserve">  RFA 2023-202SF</v>
      </c>
      <c r="AC29" s="223" t="str">
        <f>$AC$3</f>
        <v xml:space="preserve">  RFA 2023-203SF</v>
      </c>
      <c r="AD29" s="223" t="s">
        <v>277</v>
      </c>
      <c r="AE29" s="223" t="s">
        <v>278</v>
      </c>
      <c r="AF29" s="223" t="str">
        <f>$AF$3</f>
        <v xml:space="preserve">  RFA 2023-205</v>
      </c>
      <c r="AG29" s="223" t="str">
        <f>$AG$3</f>
        <v xml:space="preserve">  RFA 2023-205SF</v>
      </c>
      <c r="AH29" s="303" t="str">
        <f>$AH$3</f>
        <v xml:space="preserve">  RFA 2023-211</v>
      </c>
      <c r="AI29" s="223" t="str">
        <f>$AI$3</f>
        <v xml:space="preserve">  RFA 2023-212</v>
      </c>
      <c r="AJ29" s="223" t="str">
        <f>$AJ$3</f>
        <v xml:space="preserve">  RFA 2023-213</v>
      </c>
      <c r="AK29" s="223" t="str">
        <f>AK$3</f>
        <v xml:space="preserve">  RFA 2023-213SF</v>
      </c>
      <c r="AL29" s="303" t="str">
        <f>$AL$3</f>
        <v xml:space="preserve">  RFA 2023-304</v>
      </c>
      <c r="AM29" s="223" t="str">
        <f>$AM$3</f>
        <v xml:space="preserve">  RFA 2024-102</v>
      </c>
      <c r="AN29" s="223" t="str">
        <f>$AN$3</f>
        <v xml:space="preserve">  RFA 2024-102SF</v>
      </c>
      <c r="AO29" s="223" t="str">
        <f>$AO$3</f>
        <v xml:space="preserve">  RFA 2024-103</v>
      </c>
      <c r="AP29" s="223" t="str">
        <f>$AP$3</f>
        <v xml:space="preserve">  RFA 2024-103SF</v>
      </c>
      <c r="AQ29" s="223" t="str">
        <f>$AQ$3</f>
        <v xml:space="preserve">  RFA 2024-104</v>
      </c>
      <c r="AR29" s="223" t="str">
        <f>$AR$3</f>
        <v xml:space="preserve">  RFA 2024-104SF</v>
      </c>
      <c r="AS29" s="223" t="str">
        <f>$AS$3</f>
        <v xml:space="preserve">  RFA 2024-105</v>
      </c>
      <c r="AT29" s="223" t="str">
        <f t="shared" ref="AT29:BC29" si="12">AT3</f>
        <v xml:space="preserve">  RFA 2024-106</v>
      </c>
      <c r="AU29" s="223" t="str">
        <f t="shared" si="12"/>
        <v xml:space="preserve">  RFA 2024-106SF</v>
      </c>
      <c r="AV29" s="223" t="str">
        <f t="shared" si="12"/>
        <v xml:space="preserve">  RFA 2024-201</v>
      </c>
      <c r="AW29" s="223" t="str">
        <f t="shared" si="12"/>
        <v xml:space="preserve">  RFA 2024-202</v>
      </c>
      <c r="AX29" s="223" t="str">
        <f t="shared" si="12"/>
        <v xml:space="preserve">  RFA 2024-202SF</v>
      </c>
      <c r="AY29" s="223" t="str">
        <f t="shared" si="12"/>
        <v xml:space="preserve">  RFA 2024-203</v>
      </c>
      <c r="AZ29" s="223" t="str">
        <f t="shared" si="12"/>
        <v xml:space="preserve">  RFA 2024-204</v>
      </c>
      <c r="BA29" s="223" t="str">
        <f t="shared" si="12"/>
        <v xml:space="preserve">  RFA 2024-204SF</v>
      </c>
      <c r="BB29" s="223" t="str">
        <f t="shared" si="12"/>
        <v xml:space="preserve">  RFA 2024-205</v>
      </c>
      <c r="BC29" s="223" t="str">
        <f t="shared" si="12"/>
        <v xml:space="preserve">  RFA 2024-205SF</v>
      </c>
      <c r="BD29" s="223" t="str">
        <f>$BD$3</f>
        <v xml:space="preserve">  RFA 2024-206</v>
      </c>
      <c r="BE29" s="223" t="str">
        <f t="shared" ref="BE29:CC29" si="13">BE3</f>
        <v xml:space="preserve">  RFA 2024-206SF</v>
      </c>
      <c r="BF29" s="223" t="str">
        <f>$BF$3</f>
        <v xml:space="preserve">  RFA 2024-213</v>
      </c>
      <c r="BG29" s="223" t="str">
        <f>$BG$3</f>
        <v xml:space="preserve">  RFA 2024-213SF</v>
      </c>
      <c r="BH29" s="223" t="str">
        <f t="shared" si="13"/>
        <v xml:space="preserve">  RFA 2024-214</v>
      </c>
      <c r="BI29" s="223" t="str">
        <f t="shared" si="13"/>
        <v xml:space="preserve">  RFA 2024-214SF</v>
      </c>
      <c r="BJ29" s="223" t="str">
        <f t="shared" si="13"/>
        <v xml:space="preserve">  RFA 2024-215</v>
      </c>
      <c r="BK29" s="223" t="str">
        <f t="shared" si="13"/>
        <v xml:space="preserve">  RFA 2024-215SF</v>
      </c>
      <c r="BL29" s="223" t="str">
        <f t="shared" si="13"/>
        <v xml:space="preserve">  RFA 2024-216</v>
      </c>
      <c r="BM29" s="223" t="str">
        <f t="shared" si="13"/>
        <v xml:space="preserve">  RFA 2024-216SF</v>
      </c>
      <c r="BN29" s="223" t="str">
        <f t="shared" si="13"/>
        <v xml:space="preserve">  RFA 2024-305</v>
      </c>
      <c r="BO29" s="223" t="str">
        <f t="shared" si="13"/>
        <v xml:space="preserve">  RFA 2024-305SF</v>
      </c>
      <c r="BP29" s="223" t="str">
        <f t="shared" si="13"/>
        <v xml:space="preserve">  RFA 2024-306</v>
      </c>
      <c r="BQ29" s="223" t="str">
        <f t="shared" ref="BQ29:BW29" si="14">BQ3</f>
        <v xml:space="preserve">  RFA 2024-306SF</v>
      </c>
      <c r="BR29" s="223" t="str">
        <f t="shared" si="13"/>
        <v xml:space="preserve">  RFA 2025-102</v>
      </c>
      <c r="BS29" s="223" t="str">
        <f t="shared" si="14"/>
        <v xml:space="preserve">  RFA 2025-102SF</v>
      </c>
      <c r="BT29" s="223" t="str">
        <f t="shared" si="13"/>
        <v xml:space="preserve">  RFA 2025-103</v>
      </c>
      <c r="BU29" s="223" t="str">
        <f t="shared" si="14"/>
        <v xml:space="preserve">  RFA 2025-103SF</v>
      </c>
      <c r="BV29" s="353" t="str">
        <f t="shared" si="13"/>
        <v xml:space="preserve">  RFA 2025-104</v>
      </c>
      <c r="BW29" s="353" t="str">
        <f t="shared" si="14"/>
        <v xml:space="preserve">  RFA 2025-104SF</v>
      </c>
      <c r="BX29" s="223" t="str">
        <f t="shared" si="13"/>
        <v xml:space="preserve">  RFA 2025-106</v>
      </c>
      <c r="BY29" s="223" t="str">
        <f t="shared" si="13"/>
        <v xml:space="preserve">  RFA 2025-106SF</v>
      </c>
      <c r="BZ29" s="223" t="str">
        <f t="shared" ref="BZ29:CA29" si="15">BZ3</f>
        <v xml:space="preserve">  RFA 2025-206</v>
      </c>
      <c r="CA29" s="223" t="str">
        <f t="shared" si="15"/>
        <v xml:space="preserve">  RFA 2025-206SF</v>
      </c>
      <c r="CB29" s="223" t="str">
        <f t="shared" si="13"/>
        <v xml:space="preserve">  RFA 2025-216</v>
      </c>
      <c r="CC29" s="223" t="str">
        <f t="shared" si="13"/>
        <v xml:space="preserve">  RFA 2025-216SF</v>
      </c>
      <c r="CJ29" s="76" t="s">
        <v>183</v>
      </c>
      <c r="CK29" s="75">
        <v>0.65</v>
      </c>
      <c r="CL29" s="75">
        <v>0.65</v>
      </c>
    </row>
    <row r="30" spans="1:90" x14ac:dyDescent="0.25">
      <c r="A30" s="13" t="s">
        <v>33</v>
      </c>
      <c r="B30" t="s">
        <v>2</v>
      </c>
      <c r="C30" s="22"/>
      <c r="D30" s="23"/>
      <c r="E30" s="23"/>
      <c r="F30" s="23"/>
      <c r="G30" s="23"/>
      <c r="H30" s="23"/>
      <c r="I30" s="23"/>
      <c r="J30" s="23"/>
      <c r="K30" s="23" t="s">
        <v>2</v>
      </c>
      <c r="L30" s="72" t="s">
        <v>327</v>
      </c>
      <c r="M30" s="301" t="s">
        <v>174</v>
      </c>
      <c r="N30" s="220"/>
      <c r="O30" s="340"/>
      <c r="P30" s="50" t="s">
        <v>2</v>
      </c>
      <c r="Q30" s="50" t="s">
        <v>2</v>
      </c>
      <c r="R30" s="50" t="s">
        <v>2</v>
      </c>
      <c r="S30" s="50" t="s">
        <v>2</v>
      </c>
      <c r="T30" s="50" t="s">
        <v>2</v>
      </c>
      <c r="U30" s="50" t="s">
        <v>2</v>
      </c>
      <c r="V30" s="50" t="s">
        <v>2</v>
      </c>
      <c r="W30" s="50" t="s">
        <v>2</v>
      </c>
      <c r="X30" s="50" t="s">
        <v>2</v>
      </c>
      <c r="Y30" s="50" t="s">
        <v>2</v>
      </c>
      <c r="Z30" s="15" t="s">
        <v>136</v>
      </c>
      <c r="AA30" s="15" t="s">
        <v>136</v>
      </c>
      <c r="AB30" s="15" t="s">
        <v>136</v>
      </c>
      <c r="AC30" s="15" t="s">
        <v>136</v>
      </c>
      <c r="AD30" s="15" t="s">
        <v>136</v>
      </c>
      <c r="AE30" s="15" t="s">
        <v>136</v>
      </c>
      <c r="AF30" s="15" t="s">
        <v>136</v>
      </c>
      <c r="AG30" s="15" t="s">
        <v>136</v>
      </c>
      <c r="AH30" s="17" t="s">
        <v>2</v>
      </c>
      <c r="AI30" s="15" t="s">
        <v>136</v>
      </c>
      <c r="AJ30" s="15" t="s">
        <v>136</v>
      </c>
      <c r="AK30" s="15" t="s">
        <v>136</v>
      </c>
      <c r="AL30" s="50" t="s">
        <v>2</v>
      </c>
      <c r="AM30" s="15" t="s">
        <v>136</v>
      </c>
      <c r="AN30" s="15" t="s">
        <v>136</v>
      </c>
      <c r="AO30" s="15" t="s">
        <v>136</v>
      </c>
      <c r="AP30" s="15" t="s">
        <v>136</v>
      </c>
      <c r="AQ30" s="15" t="s">
        <v>136</v>
      </c>
      <c r="AR30" s="15" t="s">
        <v>136</v>
      </c>
      <c r="AS30" s="3" t="s">
        <v>102</v>
      </c>
      <c r="AT30" s="15" t="s">
        <v>136</v>
      </c>
      <c r="AU30" s="15" t="s">
        <v>136</v>
      </c>
      <c r="AV30" s="15" t="s">
        <v>136</v>
      </c>
      <c r="AW30" s="15" t="s">
        <v>136</v>
      </c>
      <c r="AX30" s="15" t="s">
        <v>136</v>
      </c>
      <c r="AY30" s="15" t="s">
        <v>136</v>
      </c>
      <c r="AZ30" s="15" t="s">
        <v>136</v>
      </c>
      <c r="BA30" s="15" t="s">
        <v>136</v>
      </c>
      <c r="BB30" s="15" t="s">
        <v>136</v>
      </c>
      <c r="BC30" s="15" t="s">
        <v>136</v>
      </c>
      <c r="BD30" s="15" t="s">
        <v>136</v>
      </c>
      <c r="BE30" s="15" t="s">
        <v>136</v>
      </c>
      <c r="BF30" s="15" t="s">
        <v>136</v>
      </c>
      <c r="BG30" s="15" t="s">
        <v>136</v>
      </c>
      <c r="BH30" s="15" t="s">
        <v>136</v>
      </c>
      <c r="BI30" s="15" t="s">
        <v>136</v>
      </c>
      <c r="BJ30" s="15" t="s">
        <v>136</v>
      </c>
      <c r="BK30" s="15" t="s">
        <v>136</v>
      </c>
      <c r="BL30" s="15" t="s">
        <v>136</v>
      </c>
      <c r="BM30" s="15" t="s">
        <v>136</v>
      </c>
      <c r="BN30" s="15" t="s">
        <v>136</v>
      </c>
      <c r="BO30" s="15" t="s">
        <v>136</v>
      </c>
      <c r="BP30" s="15" t="s">
        <v>136</v>
      </c>
      <c r="BQ30" s="15" t="s">
        <v>136</v>
      </c>
      <c r="BR30" s="15" t="s">
        <v>136</v>
      </c>
      <c r="BS30" s="15" t="s">
        <v>136</v>
      </c>
      <c r="BT30" s="15" t="s">
        <v>136</v>
      </c>
      <c r="BU30" s="15" t="s">
        <v>136</v>
      </c>
      <c r="BV30" s="15" t="s">
        <v>136</v>
      </c>
      <c r="BW30" s="15" t="s">
        <v>136</v>
      </c>
      <c r="BX30" s="15" t="s">
        <v>136</v>
      </c>
      <c r="BY30" s="15" t="s">
        <v>136</v>
      </c>
      <c r="BZ30" s="15" t="s">
        <v>136</v>
      </c>
      <c r="CA30" s="15" t="s">
        <v>136</v>
      </c>
      <c r="CB30" s="15" t="s">
        <v>136</v>
      </c>
      <c r="CC30" s="15" t="s">
        <v>136</v>
      </c>
      <c r="CD30" s="3" t="s">
        <v>2</v>
      </c>
      <c r="CJ30" s="76" t="s">
        <v>184</v>
      </c>
      <c r="CK30" s="75">
        <v>0.5</v>
      </c>
      <c r="CL30" s="75">
        <v>0.5</v>
      </c>
    </row>
    <row r="31" spans="1:90" x14ac:dyDescent="0.25">
      <c r="A31" s="13" t="s">
        <v>34</v>
      </c>
      <c r="B31" t="s">
        <v>2</v>
      </c>
      <c r="C31" s="22"/>
      <c r="D31" s="23"/>
      <c r="E31" s="23"/>
      <c r="F31" s="23"/>
      <c r="G31" s="23"/>
      <c r="H31" s="23"/>
      <c r="I31" s="23"/>
      <c r="J31" s="23"/>
      <c r="K31" s="23" t="s">
        <v>2</v>
      </c>
      <c r="L31" s="72" t="s">
        <v>327</v>
      </c>
      <c r="M31" s="301" t="s">
        <v>174</v>
      </c>
      <c r="N31" s="220"/>
      <c r="O31" s="340"/>
      <c r="P31" s="50" t="s">
        <v>2</v>
      </c>
      <c r="Q31" s="50" t="s">
        <v>2</v>
      </c>
      <c r="R31" s="50" t="s">
        <v>2</v>
      </c>
      <c r="S31" s="50" t="s">
        <v>2</v>
      </c>
      <c r="T31" s="50" t="s">
        <v>2</v>
      </c>
      <c r="U31" s="50" t="s">
        <v>2</v>
      </c>
      <c r="V31" s="50" t="s">
        <v>2</v>
      </c>
      <c r="W31" s="50" t="s">
        <v>2</v>
      </c>
      <c r="X31" s="50" t="s">
        <v>2</v>
      </c>
      <c r="Y31" s="50" t="s">
        <v>2</v>
      </c>
      <c r="Z31" s="15" t="s">
        <v>114</v>
      </c>
      <c r="AA31" s="15" t="s">
        <v>114</v>
      </c>
      <c r="AB31" s="15" t="s">
        <v>114</v>
      </c>
      <c r="AC31" s="15" t="s">
        <v>114</v>
      </c>
      <c r="AD31" s="15" t="s">
        <v>114</v>
      </c>
      <c r="AE31" s="15" t="s">
        <v>114</v>
      </c>
      <c r="AF31" s="15" t="s">
        <v>114</v>
      </c>
      <c r="AG31" s="15" t="s">
        <v>114</v>
      </c>
      <c r="AH31" s="50" t="s">
        <v>2</v>
      </c>
      <c r="AI31" s="15" t="s">
        <v>114</v>
      </c>
      <c r="AJ31" s="15" t="s">
        <v>114</v>
      </c>
      <c r="AK31" s="15" t="s">
        <v>114</v>
      </c>
      <c r="AL31" s="50" t="s">
        <v>2</v>
      </c>
      <c r="AM31" s="15" t="s">
        <v>114</v>
      </c>
      <c r="AN31" s="15" t="s">
        <v>114</v>
      </c>
      <c r="AO31" s="15" t="s">
        <v>114</v>
      </c>
      <c r="AP31" s="15" t="s">
        <v>114</v>
      </c>
      <c r="AQ31" s="15" t="s">
        <v>114</v>
      </c>
      <c r="AR31" s="15" t="s">
        <v>114</v>
      </c>
      <c r="AS31" s="50" t="s">
        <v>2</v>
      </c>
      <c r="AT31" s="15" t="s">
        <v>114</v>
      </c>
      <c r="AU31" s="15" t="s">
        <v>114</v>
      </c>
      <c r="AV31" s="15" t="s">
        <v>114</v>
      </c>
      <c r="AW31" s="15" t="s">
        <v>114</v>
      </c>
      <c r="AX31" s="15" t="s">
        <v>114</v>
      </c>
      <c r="AY31" s="15" t="s">
        <v>114</v>
      </c>
      <c r="AZ31" s="15" t="s">
        <v>114</v>
      </c>
      <c r="BA31" s="15" t="s">
        <v>114</v>
      </c>
      <c r="BB31" s="15" t="s">
        <v>114</v>
      </c>
      <c r="BC31" s="15" t="s">
        <v>114</v>
      </c>
      <c r="BD31" s="15" t="s">
        <v>114</v>
      </c>
      <c r="BE31" s="15" t="s">
        <v>114</v>
      </c>
      <c r="BF31" s="15" t="s">
        <v>114</v>
      </c>
      <c r="BG31" s="15" t="s">
        <v>114</v>
      </c>
      <c r="BH31" s="15" t="s">
        <v>114</v>
      </c>
      <c r="BI31" s="15" t="s">
        <v>114</v>
      </c>
      <c r="BJ31" s="15" t="s">
        <v>114</v>
      </c>
      <c r="BK31" s="15" t="s">
        <v>114</v>
      </c>
      <c r="BL31" s="15" t="s">
        <v>114</v>
      </c>
      <c r="BM31" s="15" t="s">
        <v>114</v>
      </c>
      <c r="BN31" s="15" t="s">
        <v>114</v>
      </c>
      <c r="BO31" s="15" t="s">
        <v>114</v>
      </c>
      <c r="BP31" s="15" t="s">
        <v>114</v>
      </c>
      <c r="BQ31" s="15" t="s">
        <v>114</v>
      </c>
      <c r="BR31" s="15" t="s">
        <v>114</v>
      </c>
      <c r="BS31" s="15" t="s">
        <v>114</v>
      </c>
      <c r="BT31" s="15" t="s">
        <v>114</v>
      </c>
      <c r="BU31" s="15" t="s">
        <v>114</v>
      </c>
      <c r="BV31" s="15" t="s">
        <v>114</v>
      </c>
      <c r="BW31" s="15" t="s">
        <v>114</v>
      </c>
      <c r="BX31" s="15" t="s">
        <v>114</v>
      </c>
      <c r="BY31" s="15" t="s">
        <v>114</v>
      </c>
      <c r="BZ31" s="15" t="s">
        <v>114</v>
      </c>
      <c r="CA31" s="15" t="s">
        <v>114</v>
      </c>
      <c r="CB31" s="15" t="s">
        <v>114</v>
      </c>
      <c r="CC31" s="15" t="s">
        <v>114</v>
      </c>
      <c r="CD31" s="3" t="s">
        <v>2</v>
      </c>
    </row>
    <row r="32" spans="1:90" x14ac:dyDescent="0.25">
      <c r="A32" s="13" t="s">
        <v>35</v>
      </c>
      <c r="B32" t="s">
        <v>2</v>
      </c>
      <c r="C32" s="22"/>
      <c r="D32" s="23"/>
      <c r="E32" s="23"/>
      <c r="F32" s="23"/>
      <c r="G32" s="23"/>
      <c r="H32" s="23"/>
      <c r="I32" s="23"/>
      <c r="J32" s="23"/>
      <c r="K32" s="23" t="s">
        <v>2</v>
      </c>
      <c r="L32" s="72" t="s">
        <v>327</v>
      </c>
      <c r="M32" s="301" t="s">
        <v>174</v>
      </c>
      <c r="N32" s="220"/>
      <c r="O32" s="340"/>
      <c r="P32" s="50" t="s">
        <v>2</v>
      </c>
      <c r="Q32" s="50" t="s">
        <v>2</v>
      </c>
      <c r="R32" s="50" t="s">
        <v>2</v>
      </c>
      <c r="S32" s="50" t="s">
        <v>2</v>
      </c>
      <c r="T32" s="50" t="s">
        <v>2</v>
      </c>
      <c r="U32" s="50" t="s">
        <v>2</v>
      </c>
      <c r="V32" s="50" t="s">
        <v>2</v>
      </c>
      <c r="W32" s="50" t="s">
        <v>2</v>
      </c>
      <c r="X32" s="50" t="s">
        <v>2</v>
      </c>
      <c r="Y32" s="50" t="s">
        <v>2</v>
      </c>
      <c r="Z32" s="15" t="s">
        <v>137</v>
      </c>
      <c r="AA32" s="15" t="s">
        <v>137</v>
      </c>
      <c r="AB32" s="15" t="s">
        <v>137</v>
      </c>
      <c r="AC32" s="15" t="s">
        <v>137</v>
      </c>
      <c r="AD32" s="15" t="s">
        <v>137</v>
      </c>
      <c r="AE32" s="15" t="s">
        <v>137</v>
      </c>
      <c r="AF32" s="15" t="s">
        <v>137</v>
      </c>
      <c r="AG32" s="15" t="s">
        <v>137</v>
      </c>
      <c r="AH32" s="50" t="s">
        <v>2</v>
      </c>
      <c r="AI32" s="15" t="s">
        <v>137</v>
      </c>
      <c r="AJ32" s="15" t="s">
        <v>137</v>
      </c>
      <c r="AK32" s="15" t="s">
        <v>137</v>
      </c>
      <c r="AL32" s="50" t="s">
        <v>2</v>
      </c>
      <c r="AM32" s="15" t="s">
        <v>137</v>
      </c>
      <c r="AN32" s="15" t="s">
        <v>137</v>
      </c>
      <c r="AO32" s="15" t="s">
        <v>137</v>
      </c>
      <c r="AP32" s="15" t="s">
        <v>137</v>
      </c>
      <c r="AQ32" s="15" t="s">
        <v>137</v>
      </c>
      <c r="AR32" s="15" t="s">
        <v>137</v>
      </c>
      <c r="AS32" s="50" t="s">
        <v>2</v>
      </c>
      <c r="AT32" s="15" t="s">
        <v>137</v>
      </c>
      <c r="AU32" s="15" t="s">
        <v>137</v>
      </c>
      <c r="AV32" s="15" t="s">
        <v>137</v>
      </c>
      <c r="AW32" s="15" t="s">
        <v>137</v>
      </c>
      <c r="AX32" s="15" t="s">
        <v>137</v>
      </c>
      <c r="AY32" s="15" t="s">
        <v>137</v>
      </c>
      <c r="AZ32" s="15" t="s">
        <v>137</v>
      </c>
      <c r="BA32" s="15" t="s">
        <v>137</v>
      </c>
      <c r="BB32" s="15" t="s">
        <v>137</v>
      </c>
      <c r="BC32" s="15" t="s">
        <v>137</v>
      </c>
      <c r="BD32" s="15" t="s">
        <v>137</v>
      </c>
      <c r="BE32" s="15" t="s">
        <v>137</v>
      </c>
      <c r="BF32" s="15" t="s">
        <v>137</v>
      </c>
      <c r="BG32" s="15" t="s">
        <v>137</v>
      </c>
      <c r="BH32" s="15" t="s">
        <v>137</v>
      </c>
      <c r="BI32" s="15" t="s">
        <v>137</v>
      </c>
      <c r="BJ32" s="15" t="s">
        <v>137</v>
      </c>
      <c r="BK32" s="15" t="s">
        <v>137</v>
      </c>
      <c r="BL32" s="15" t="s">
        <v>137</v>
      </c>
      <c r="BM32" s="15" t="s">
        <v>137</v>
      </c>
      <c r="BN32" s="15" t="s">
        <v>137</v>
      </c>
      <c r="BO32" s="15" t="s">
        <v>137</v>
      </c>
      <c r="BP32" s="15" t="s">
        <v>137</v>
      </c>
      <c r="BQ32" s="15" t="s">
        <v>137</v>
      </c>
      <c r="BR32" s="15" t="s">
        <v>137</v>
      </c>
      <c r="BS32" s="15" t="s">
        <v>137</v>
      </c>
      <c r="BT32" s="15" t="s">
        <v>137</v>
      </c>
      <c r="BU32" s="15" t="s">
        <v>137</v>
      </c>
      <c r="BV32" s="15" t="s">
        <v>137</v>
      </c>
      <c r="BW32" s="15" t="s">
        <v>137</v>
      </c>
      <c r="BX32" s="15" t="s">
        <v>137</v>
      </c>
      <c r="BY32" s="15" t="s">
        <v>137</v>
      </c>
      <c r="BZ32" s="50" t="s">
        <v>2</v>
      </c>
      <c r="CA32" s="50" t="s">
        <v>2</v>
      </c>
      <c r="CB32" s="15" t="s">
        <v>137</v>
      </c>
      <c r="CC32" s="15" t="s">
        <v>137</v>
      </c>
      <c r="CD32" s="3" t="s">
        <v>2</v>
      </c>
      <c r="CJ32" s="55" t="s">
        <v>213</v>
      </c>
      <c r="CK32" s="75">
        <v>0.06</v>
      </c>
      <c r="CL32" s="75">
        <v>0.06</v>
      </c>
    </row>
    <row r="33" spans="1:87" x14ac:dyDescent="0.25">
      <c r="A33" s="13" t="s">
        <v>36</v>
      </c>
      <c r="B33" t="s">
        <v>2</v>
      </c>
      <c r="C33" s="22"/>
      <c r="D33" s="23"/>
      <c r="E33" s="23"/>
      <c r="F33" s="23"/>
      <c r="G33" s="23"/>
      <c r="H33" s="23"/>
      <c r="I33" s="23"/>
      <c r="J33" s="23"/>
      <c r="K33" s="23" t="s">
        <v>2</v>
      </c>
      <c r="L33" s="72" t="s">
        <v>327</v>
      </c>
      <c r="M33" s="301" t="s">
        <v>174</v>
      </c>
      <c r="N33" s="220"/>
      <c r="O33" s="340"/>
      <c r="P33" s="50" t="s">
        <v>2</v>
      </c>
      <c r="Q33" s="50" t="s">
        <v>2</v>
      </c>
      <c r="R33" s="50" t="s">
        <v>2</v>
      </c>
      <c r="S33" s="50" t="s">
        <v>2</v>
      </c>
      <c r="T33" s="50" t="s">
        <v>2</v>
      </c>
      <c r="U33" s="50" t="s">
        <v>2</v>
      </c>
      <c r="V33" s="50" t="s">
        <v>2</v>
      </c>
      <c r="W33" s="50" t="s">
        <v>2</v>
      </c>
      <c r="X33" s="50" t="s">
        <v>2</v>
      </c>
      <c r="Y33" s="50" t="s">
        <v>2</v>
      </c>
      <c r="Z33" s="16" t="s">
        <v>177</v>
      </c>
      <c r="AA33" s="16" t="s">
        <v>177</v>
      </c>
      <c r="AB33" s="16" t="s">
        <v>177</v>
      </c>
      <c r="AC33" s="16" t="s">
        <v>177</v>
      </c>
      <c r="AD33" s="16" t="s">
        <v>177</v>
      </c>
      <c r="AE33" s="16" t="s">
        <v>177</v>
      </c>
      <c r="AF33" s="16" t="s">
        <v>177</v>
      </c>
      <c r="AG33" s="16" t="s">
        <v>177</v>
      </c>
      <c r="AH33" s="50" t="s">
        <v>2</v>
      </c>
      <c r="AI33" s="16" t="s">
        <v>177</v>
      </c>
      <c r="AJ33" s="16" t="s">
        <v>177</v>
      </c>
      <c r="AK33" s="16" t="s">
        <v>177</v>
      </c>
      <c r="AL33" s="50" t="s">
        <v>2</v>
      </c>
      <c r="AM33" s="16" t="s">
        <v>177</v>
      </c>
      <c r="AN33" s="16" t="s">
        <v>177</v>
      </c>
      <c r="AO33" s="16" t="s">
        <v>177</v>
      </c>
      <c r="AP33" s="16" t="s">
        <v>177</v>
      </c>
      <c r="AQ33" s="16" t="s">
        <v>177</v>
      </c>
      <c r="AR33" s="16" t="s">
        <v>177</v>
      </c>
      <c r="AS33" s="50" t="s">
        <v>2</v>
      </c>
      <c r="AT33" s="16" t="s">
        <v>177</v>
      </c>
      <c r="AU33" s="16" t="s">
        <v>177</v>
      </c>
      <c r="AV33" s="16" t="s">
        <v>177</v>
      </c>
      <c r="AW33" s="16" t="s">
        <v>177</v>
      </c>
      <c r="AX33" s="16" t="s">
        <v>177</v>
      </c>
      <c r="AY33" s="16" t="s">
        <v>177</v>
      </c>
      <c r="AZ33" s="16" t="s">
        <v>177</v>
      </c>
      <c r="BA33" s="16" t="s">
        <v>177</v>
      </c>
      <c r="BB33" s="16" t="s">
        <v>177</v>
      </c>
      <c r="BC33" s="16" t="s">
        <v>177</v>
      </c>
      <c r="BD33" s="16" t="s">
        <v>177</v>
      </c>
      <c r="BE33" s="16" t="s">
        <v>177</v>
      </c>
      <c r="BF33" s="16" t="s">
        <v>177</v>
      </c>
      <c r="BG33" s="16" t="s">
        <v>177</v>
      </c>
      <c r="BH33" s="16" t="s">
        <v>177</v>
      </c>
      <c r="BI33" s="16" t="s">
        <v>177</v>
      </c>
      <c r="BJ33" s="16" t="s">
        <v>177</v>
      </c>
      <c r="BK33" s="16" t="s">
        <v>177</v>
      </c>
      <c r="BL33" s="16" t="s">
        <v>177</v>
      </c>
      <c r="BM33" s="16" t="s">
        <v>177</v>
      </c>
      <c r="BN33" s="16" t="s">
        <v>177</v>
      </c>
      <c r="BO33" s="16" t="s">
        <v>177</v>
      </c>
      <c r="BP33" s="16" t="s">
        <v>177</v>
      </c>
      <c r="BQ33" s="16" t="s">
        <v>177</v>
      </c>
      <c r="BR33" s="16" t="s">
        <v>177</v>
      </c>
      <c r="BS33" s="16" t="s">
        <v>177</v>
      </c>
      <c r="BT33" s="16" t="s">
        <v>177</v>
      </c>
      <c r="BU33" s="16" t="s">
        <v>177</v>
      </c>
      <c r="BV33" s="16" t="s">
        <v>177</v>
      </c>
      <c r="BW33" s="16" t="s">
        <v>177</v>
      </c>
      <c r="BX33" s="16" t="s">
        <v>177</v>
      </c>
      <c r="BY33" s="16" t="s">
        <v>177</v>
      </c>
      <c r="BZ33" s="50" t="s">
        <v>2</v>
      </c>
      <c r="CA33" s="50" t="s">
        <v>2</v>
      </c>
      <c r="CB33" s="16" t="s">
        <v>177</v>
      </c>
      <c r="CC33" s="16" t="s">
        <v>177</v>
      </c>
      <c r="CD33" s="3" t="s">
        <v>2</v>
      </c>
    </row>
    <row r="34" spans="1:87" x14ac:dyDescent="0.25">
      <c r="A34" s="13" t="s">
        <v>37</v>
      </c>
      <c r="B34" t="s">
        <v>2</v>
      </c>
      <c r="C34" s="22"/>
      <c r="D34" s="23"/>
      <c r="E34" s="23"/>
      <c r="F34" s="23"/>
      <c r="G34" s="23"/>
      <c r="H34" s="23"/>
      <c r="I34" s="23"/>
      <c r="J34" s="23"/>
      <c r="K34" s="23" t="s">
        <v>2</v>
      </c>
      <c r="L34" s="72" t="s">
        <v>174</v>
      </c>
      <c r="M34" s="301" t="s">
        <v>174</v>
      </c>
      <c r="N34" s="220"/>
      <c r="O34" s="340"/>
      <c r="P34" s="50" t="s">
        <v>2</v>
      </c>
      <c r="Q34" s="50" t="s">
        <v>2</v>
      </c>
      <c r="R34" s="50" t="s">
        <v>2</v>
      </c>
      <c r="S34" s="50" t="s">
        <v>2</v>
      </c>
      <c r="T34" s="50" t="s">
        <v>2</v>
      </c>
      <c r="U34" s="50" t="s">
        <v>2</v>
      </c>
      <c r="V34" s="50" t="s">
        <v>2</v>
      </c>
      <c r="W34" s="50" t="s">
        <v>2</v>
      </c>
      <c r="X34" s="50" t="s">
        <v>2</v>
      </c>
      <c r="Y34" s="50" t="s">
        <v>2</v>
      </c>
      <c r="Z34" s="15" t="s">
        <v>84</v>
      </c>
      <c r="AA34" s="15" t="s">
        <v>84</v>
      </c>
      <c r="AB34" s="15" t="s">
        <v>84</v>
      </c>
      <c r="AC34" s="15" t="s">
        <v>84</v>
      </c>
      <c r="AD34" s="15" t="s">
        <v>84</v>
      </c>
      <c r="AE34" s="15" t="s">
        <v>84</v>
      </c>
      <c r="AF34" s="15" t="s">
        <v>84</v>
      </c>
      <c r="AG34" s="15" t="s">
        <v>84</v>
      </c>
      <c r="AH34" s="50" t="s">
        <v>2</v>
      </c>
      <c r="AI34" s="15" t="s">
        <v>84</v>
      </c>
      <c r="AJ34" s="15" t="s">
        <v>84</v>
      </c>
      <c r="AK34" s="15" t="s">
        <v>84</v>
      </c>
      <c r="AL34" s="50" t="s">
        <v>2</v>
      </c>
      <c r="AM34" s="15" t="s">
        <v>84</v>
      </c>
      <c r="AN34" s="15" t="s">
        <v>84</v>
      </c>
      <c r="AO34" s="15" t="s">
        <v>84</v>
      </c>
      <c r="AP34" s="15" t="s">
        <v>84</v>
      </c>
      <c r="AQ34" s="15" t="s">
        <v>84</v>
      </c>
      <c r="AR34" s="15" t="s">
        <v>84</v>
      </c>
      <c r="AS34" s="50" t="s">
        <v>2</v>
      </c>
      <c r="AT34" s="15" t="s">
        <v>84</v>
      </c>
      <c r="AU34" s="15" t="s">
        <v>84</v>
      </c>
      <c r="AV34" s="15" t="s">
        <v>84</v>
      </c>
      <c r="AW34" s="15" t="s">
        <v>84</v>
      </c>
      <c r="AX34" s="15" t="s">
        <v>84</v>
      </c>
      <c r="AY34" s="15" t="s">
        <v>84</v>
      </c>
      <c r="AZ34" s="15" t="s">
        <v>84</v>
      </c>
      <c r="BA34" s="15" t="s">
        <v>84</v>
      </c>
      <c r="BB34" s="15" t="s">
        <v>84</v>
      </c>
      <c r="BC34" s="15" t="s">
        <v>84</v>
      </c>
      <c r="BD34" s="15" t="s">
        <v>84</v>
      </c>
      <c r="BE34" s="15" t="s">
        <v>84</v>
      </c>
      <c r="BF34" s="15" t="s">
        <v>84</v>
      </c>
      <c r="BG34" s="15" t="s">
        <v>84</v>
      </c>
      <c r="BH34" s="15" t="s">
        <v>84</v>
      </c>
      <c r="BI34" s="15" t="s">
        <v>84</v>
      </c>
      <c r="BJ34" s="15" t="s">
        <v>84</v>
      </c>
      <c r="BK34" s="15" t="s">
        <v>84</v>
      </c>
      <c r="BL34" s="15" t="s">
        <v>84</v>
      </c>
      <c r="BM34" s="15" t="s">
        <v>84</v>
      </c>
      <c r="BN34" s="15" t="s">
        <v>84</v>
      </c>
      <c r="BO34" s="15" t="s">
        <v>84</v>
      </c>
      <c r="BP34" s="15" t="s">
        <v>84</v>
      </c>
      <c r="BQ34" s="15" t="s">
        <v>84</v>
      </c>
      <c r="BR34" s="15" t="s">
        <v>84</v>
      </c>
      <c r="BS34" s="15" t="s">
        <v>84</v>
      </c>
      <c r="BT34" s="15" t="s">
        <v>84</v>
      </c>
      <c r="BU34" s="15" t="s">
        <v>84</v>
      </c>
      <c r="BV34" s="15" t="s">
        <v>84</v>
      </c>
      <c r="BW34" s="15" t="s">
        <v>84</v>
      </c>
      <c r="BX34" s="15" t="s">
        <v>84</v>
      </c>
      <c r="BY34" s="15" t="s">
        <v>84</v>
      </c>
      <c r="BZ34" s="50" t="s">
        <v>2</v>
      </c>
      <c r="CA34" s="50" t="s">
        <v>2</v>
      </c>
      <c r="CB34" s="15" t="s">
        <v>84</v>
      </c>
      <c r="CC34" s="15" t="s">
        <v>84</v>
      </c>
      <c r="CD34" s="3" t="s">
        <v>2</v>
      </c>
    </row>
    <row r="35" spans="1:87" x14ac:dyDescent="0.25">
      <c r="A35" s="13" t="s">
        <v>38</v>
      </c>
      <c r="B35" t="s">
        <v>2</v>
      </c>
      <c r="C35" s="22"/>
      <c r="D35" s="23"/>
      <c r="E35" s="23"/>
      <c r="F35" s="23"/>
      <c r="G35" s="23"/>
      <c r="H35" s="23"/>
      <c r="I35" s="23"/>
      <c r="J35" s="23"/>
      <c r="K35" s="23" t="s">
        <v>2</v>
      </c>
      <c r="L35" s="72" t="s">
        <v>327</v>
      </c>
      <c r="M35" s="310" t="s">
        <v>165</v>
      </c>
      <c r="N35" s="220"/>
      <c r="O35" s="340"/>
      <c r="P35" s="50"/>
      <c r="Q35" s="50"/>
      <c r="R35" s="50"/>
      <c r="S35" s="50"/>
      <c r="T35" s="50"/>
      <c r="U35" s="50"/>
      <c r="V35" s="50"/>
      <c r="W35" s="50"/>
      <c r="X35" s="50"/>
      <c r="Y35" s="50"/>
      <c r="Z35" s="16" t="s">
        <v>85</v>
      </c>
      <c r="AA35" s="16" t="s">
        <v>85</v>
      </c>
      <c r="AB35" s="16" t="s">
        <v>85</v>
      </c>
      <c r="AC35" s="16" t="s">
        <v>85</v>
      </c>
      <c r="AD35" s="16" t="s">
        <v>85</v>
      </c>
      <c r="AE35" s="16" t="s">
        <v>85</v>
      </c>
      <c r="AF35" s="16" t="s">
        <v>85</v>
      </c>
      <c r="AG35" s="16" t="s">
        <v>85</v>
      </c>
      <c r="AH35" s="50" t="s">
        <v>2</v>
      </c>
      <c r="AI35" s="16" t="s">
        <v>85</v>
      </c>
      <c r="AJ35" s="50" t="s">
        <v>2</v>
      </c>
      <c r="AK35" s="50" t="s">
        <v>2</v>
      </c>
      <c r="AL35" s="50" t="s">
        <v>2</v>
      </c>
      <c r="AM35" s="16" t="s">
        <v>85</v>
      </c>
      <c r="AN35" s="16" t="s">
        <v>85</v>
      </c>
      <c r="AO35" s="16" t="s">
        <v>85</v>
      </c>
      <c r="AP35" s="16" t="s">
        <v>85</v>
      </c>
      <c r="AQ35" s="16" t="s">
        <v>85</v>
      </c>
      <c r="AR35" s="16" t="s">
        <v>85</v>
      </c>
      <c r="AS35" s="50" t="s">
        <v>2</v>
      </c>
      <c r="AT35" s="16" t="s">
        <v>85</v>
      </c>
      <c r="AU35" s="16" t="s">
        <v>85</v>
      </c>
      <c r="AV35" s="16" t="s">
        <v>85</v>
      </c>
      <c r="AW35" s="16" t="s">
        <v>85</v>
      </c>
      <c r="AX35" s="16" t="s">
        <v>85</v>
      </c>
      <c r="AY35" s="16" t="s">
        <v>85</v>
      </c>
      <c r="AZ35" s="16" t="s">
        <v>85</v>
      </c>
      <c r="BA35" s="16" t="s">
        <v>85</v>
      </c>
      <c r="BB35" s="16" t="s">
        <v>85</v>
      </c>
      <c r="BC35" s="16" t="s">
        <v>85</v>
      </c>
      <c r="BD35" s="50" t="s">
        <v>2</v>
      </c>
      <c r="BE35" s="50" t="s">
        <v>2</v>
      </c>
      <c r="BF35" s="16" t="s">
        <v>85</v>
      </c>
      <c r="BG35" s="16" t="s">
        <v>85</v>
      </c>
      <c r="BH35" s="50" t="s">
        <v>2</v>
      </c>
      <c r="BI35" s="50" t="s">
        <v>2</v>
      </c>
      <c r="BJ35" s="50" t="s">
        <v>2</v>
      </c>
      <c r="BK35" s="50" t="s">
        <v>2</v>
      </c>
      <c r="BL35" s="50" t="s">
        <v>2</v>
      </c>
      <c r="BM35" s="50" t="s">
        <v>2</v>
      </c>
      <c r="BN35" s="50" t="s">
        <v>2</v>
      </c>
      <c r="BO35" s="50" t="s">
        <v>2</v>
      </c>
      <c r="BP35" s="50" t="s">
        <v>2</v>
      </c>
      <c r="BQ35" s="50" t="s">
        <v>2</v>
      </c>
      <c r="BR35" s="16" t="s">
        <v>85</v>
      </c>
      <c r="BS35" s="16" t="s">
        <v>85</v>
      </c>
      <c r="BT35" s="50" t="s">
        <v>2</v>
      </c>
      <c r="BU35" s="50" t="s">
        <v>2</v>
      </c>
      <c r="BV35" s="16" t="s">
        <v>85</v>
      </c>
      <c r="BW35" s="16" t="s">
        <v>85</v>
      </c>
      <c r="BX35" s="50" t="s">
        <v>2</v>
      </c>
      <c r="BY35" s="50" t="s">
        <v>2</v>
      </c>
      <c r="BZ35" s="50" t="s">
        <v>2</v>
      </c>
      <c r="CA35" s="50" t="s">
        <v>2</v>
      </c>
      <c r="CB35" s="50" t="s">
        <v>2</v>
      </c>
      <c r="CC35" s="50" t="s">
        <v>2</v>
      </c>
      <c r="CD35" s="3" t="s">
        <v>2</v>
      </c>
    </row>
    <row r="36" spans="1:87" ht="37.5" customHeight="1" x14ac:dyDescent="0.25">
      <c r="A36" s="13" t="s">
        <v>39</v>
      </c>
      <c r="B36" t="s">
        <v>2</v>
      </c>
      <c r="C36" s="22"/>
      <c r="D36" s="23"/>
      <c r="E36" s="23"/>
      <c r="F36" s="23"/>
      <c r="G36" s="23"/>
      <c r="H36" s="23"/>
      <c r="I36" s="23"/>
      <c r="J36" s="23"/>
      <c r="K36" s="23" t="s">
        <v>2</v>
      </c>
      <c r="L36" s="72" t="s">
        <v>174</v>
      </c>
      <c r="M36" s="301" t="s">
        <v>174</v>
      </c>
      <c r="N36" s="220"/>
      <c r="O36" s="341"/>
      <c r="P36" s="18" t="s">
        <v>2</v>
      </c>
      <c r="Q36" s="18" t="s">
        <v>2</v>
      </c>
      <c r="R36" s="18" t="s">
        <v>2</v>
      </c>
      <c r="S36" s="18" t="s">
        <v>2</v>
      </c>
      <c r="T36" s="18" t="s">
        <v>2</v>
      </c>
      <c r="U36" s="18" t="s">
        <v>2</v>
      </c>
      <c r="V36" s="18" t="s">
        <v>2</v>
      </c>
      <c r="W36" s="18" t="s">
        <v>2</v>
      </c>
      <c r="X36" s="18" t="s">
        <v>2</v>
      </c>
      <c r="Y36" s="18" t="s">
        <v>2</v>
      </c>
      <c r="Z36" s="58" t="s">
        <v>86</v>
      </c>
      <c r="AA36" s="58" t="s">
        <v>86</v>
      </c>
      <c r="AB36" s="58" t="s">
        <v>86</v>
      </c>
      <c r="AC36" s="58" t="s">
        <v>86</v>
      </c>
      <c r="AD36" s="58" t="s">
        <v>86</v>
      </c>
      <c r="AE36" s="58" t="s">
        <v>86</v>
      </c>
      <c r="AF36" s="58" t="s">
        <v>86</v>
      </c>
      <c r="AG36" s="58" t="s">
        <v>86</v>
      </c>
      <c r="AH36" s="18" t="s">
        <v>2</v>
      </c>
      <c r="AI36" s="58" t="s">
        <v>86</v>
      </c>
      <c r="AJ36" s="18" t="s">
        <v>2</v>
      </c>
      <c r="AK36" s="18" t="s">
        <v>2</v>
      </c>
      <c r="AL36" s="18" t="s">
        <v>2</v>
      </c>
      <c r="AM36" s="58" t="s">
        <v>86</v>
      </c>
      <c r="AN36" s="58" t="s">
        <v>86</v>
      </c>
      <c r="AO36" s="58" t="s">
        <v>86</v>
      </c>
      <c r="AP36" s="58" t="s">
        <v>86</v>
      </c>
      <c r="AQ36" s="58" t="s">
        <v>86</v>
      </c>
      <c r="AR36" s="58" t="s">
        <v>86</v>
      </c>
      <c r="AS36" s="18" t="s">
        <v>2</v>
      </c>
      <c r="AT36" s="58" t="s">
        <v>86</v>
      </c>
      <c r="AU36" s="58" t="s">
        <v>86</v>
      </c>
      <c r="AV36" s="58" t="s">
        <v>86</v>
      </c>
      <c r="AW36" s="58" t="s">
        <v>86</v>
      </c>
      <c r="AX36" s="58" t="s">
        <v>86</v>
      </c>
      <c r="AY36" s="58" t="s">
        <v>86</v>
      </c>
      <c r="AZ36" s="58" t="s">
        <v>86</v>
      </c>
      <c r="BA36" s="58" t="s">
        <v>86</v>
      </c>
      <c r="BB36" s="58" t="s">
        <v>86</v>
      </c>
      <c r="BC36" s="58" t="s">
        <v>86</v>
      </c>
      <c r="BD36" s="18" t="s">
        <v>2</v>
      </c>
      <c r="BE36" s="18" t="s">
        <v>2</v>
      </c>
      <c r="BF36" s="58" t="s">
        <v>86</v>
      </c>
      <c r="BG36" s="58" t="s">
        <v>86</v>
      </c>
      <c r="BH36" s="18" t="s">
        <v>2</v>
      </c>
      <c r="BI36" s="18" t="s">
        <v>2</v>
      </c>
      <c r="BJ36" s="18" t="s">
        <v>2</v>
      </c>
      <c r="BK36" s="18" t="s">
        <v>2</v>
      </c>
      <c r="BL36" s="18" t="s">
        <v>2</v>
      </c>
      <c r="BM36" s="18" t="s">
        <v>2</v>
      </c>
      <c r="BN36" s="18" t="s">
        <v>2</v>
      </c>
      <c r="BO36" s="18" t="s">
        <v>2</v>
      </c>
      <c r="BP36" s="18" t="s">
        <v>2</v>
      </c>
      <c r="BQ36" s="18" t="s">
        <v>2</v>
      </c>
      <c r="BR36" s="58" t="s">
        <v>86</v>
      </c>
      <c r="BS36" s="58" t="s">
        <v>86</v>
      </c>
      <c r="BT36" s="18" t="s">
        <v>2</v>
      </c>
      <c r="BU36" s="18" t="s">
        <v>2</v>
      </c>
      <c r="BV36" s="58" t="s">
        <v>86</v>
      </c>
      <c r="BW36" s="58" t="s">
        <v>86</v>
      </c>
      <c r="BX36" s="18" t="s">
        <v>2</v>
      </c>
      <c r="BY36" s="18" t="s">
        <v>2</v>
      </c>
      <c r="BZ36" s="18" t="s">
        <v>2</v>
      </c>
      <c r="CA36" s="18" t="s">
        <v>2</v>
      </c>
      <c r="CB36" s="18" t="s">
        <v>2</v>
      </c>
      <c r="CC36" s="18" t="s">
        <v>2</v>
      </c>
      <c r="CD36" s="3" t="s">
        <v>2</v>
      </c>
    </row>
    <row r="37" spans="1:87" ht="15" customHeight="1" x14ac:dyDescent="0.25">
      <c r="A37" s="13" t="s">
        <v>40</v>
      </c>
      <c r="B37" t="s">
        <v>2</v>
      </c>
      <c r="C37" s="22"/>
      <c r="D37" s="23"/>
      <c r="E37" s="23"/>
      <c r="F37" s="23"/>
      <c r="G37" s="23"/>
      <c r="H37" s="23"/>
      <c r="I37" s="23"/>
      <c r="J37" s="23"/>
      <c r="K37" s="23" t="s">
        <v>2</v>
      </c>
      <c r="L37" s="72" t="s">
        <v>327</v>
      </c>
      <c r="M37" s="305" t="s">
        <v>174</v>
      </c>
      <c r="N37" s="220"/>
      <c r="CD37" s="3" t="s">
        <v>2</v>
      </c>
    </row>
    <row r="38" spans="1:87" x14ac:dyDescent="0.25">
      <c r="A38" s="13" t="s">
        <v>41</v>
      </c>
      <c r="B38" t="s">
        <v>2</v>
      </c>
      <c r="C38" s="22"/>
      <c r="D38" s="23"/>
      <c r="E38" s="23"/>
      <c r="F38" s="23"/>
      <c r="G38" s="23"/>
      <c r="H38" s="23"/>
      <c r="I38" s="23"/>
      <c r="J38" s="23"/>
      <c r="K38" s="23" t="s">
        <v>2</v>
      </c>
      <c r="L38" s="72" t="s">
        <v>327</v>
      </c>
      <c r="M38" s="310" t="s">
        <v>165</v>
      </c>
      <c r="N38" s="220"/>
      <c r="O38" s="339" t="s">
        <v>88</v>
      </c>
      <c r="P38" s="34" t="str">
        <f>$P$3</f>
        <v xml:space="preserve">  RFA 2023-102</v>
      </c>
      <c r="Q38" s="34" t="str">
        <f>$Q$3</f>
        <v xml:space="preserve">  RFA 2023-102SF</v>
      </c>
      <c r="R38" s="34" t="str">
        <f>$R$3</f>
        <v xml:space="preserve">  RFA 2023-103</v>
      </c>
      <c r="S38" s="34" t="str">
        <f>$S$3</f>
        <v xml:space="preserve">  RFA 2023-103SF</v>
      </c>
      <c r="T38" s="34" t="str">
        <f>$T$3</f>
        <v xml:space="preserve">  RFA 2023-104</v>
      </c>
      <c r="U38" s="34" t="str">
        <f>$U$3</f>
        <v xml:space="preserve">  RFA 2023-104SF</v>
      </c>
      <c r="V38" s="34" t="str">
        <f>$V$3</f>
        <v xml:space="preserve">  RFA 2023-105</v>
      </c>
      <c r="W38" s="34" t="str">
        <f>$W$3</f>
        <v xml:space="preserve">  RFA 2023-106</v>
      </c>
      <c r="X38" s="34" t="str">
        <f>$X$3</f>
        <v xml:space="preserve">  RFA 2023-106SF</v>
      </c>
      <c r="Y38" s="34" t="str">
        <f>$Y$3</f>
        <v xml:space="preserve">  RFA 2023-108</v>
      </c>
      <c r="Z38" s="223" t="str">
        <f>$Z$3</f>
        <v xml:space="preserve">  RFA 2023-201</v>
      </c>
      <c r="AA38" s="223" t="str">
        <f>$AA$3</f>
        <v xml:space="preserve">  RFA 2023-202</v>
      </c>
      <c r="AB38" s="223" t="str">
        <f>$AB$3</f>
        <v xml:space="preserve">  RFA 2023-202SF</v>
      </c>
      <c r="AC38" s="223" t="str">
        <f>$AC$3</f>
        <v xml:space="preserve">  RFA 2023-203SF</v>
      </c>
      <c r="AD38" s="223" t="s">
        <v>277</v>
      </c>
      <c r="AE38" s="223" t="s">
        <v>278</v>
      </c>
      <c r="AF38" s="223" t="str">
        <f>$AF$3</f>
        <v xml:space="preserve">  RFA 2023-205</v>
      </c>
      <c r="AG38" s="223" t="str">
        <f>$AG$3</f>
        <v xml:space="preserve">  RFA 2023-205SF</v>
      </c>
      <c r="AH38" s="303" t="str">
        <f>$AH$3</f>
        <v xml:space="preserve">  RFA 2023-211</v>
      </c>
      <c r="AI38" s="223" t="str">
        <f>$AI$3</f>
        <v xml:space="preserve">  RFA 2023-212</v>
      </c>
      <c r="AJ38" s="223" t="str">
        <f>$AJ$3</f>
        <v xml:space="preserve">  RFA 2023-213</v>
      </c>
      <c r="AK38" s="223" t="str">
        <f>AK$3</f>
        <v xml:space="preserve">  RFA 2023-213SF</v>
      </c>
      <c r="AL38" s="303" t="str">
        <f>$AL$3</f>
        <v xml:space="preserve">  RFA 2023-304</v>
      </c>
      <c r="AM38" s="223" t="str">
        <f>$AM$3</f>
        <v xml:space="preserve">  RFA 2024-102</v>
      </c>
      <c r="AN38" s="223" t="str">
        <f>$AN$3</f>
        <v xml:space="preserve">  RFA 2024-102SF</v>
      </c>
      <c r="AO38" s="223" t="str">
        <f>$AO$3</f>
        <v xml:space="preserve">  RFA 2024-103</v>
      </c>
      <c r="AP38" s="223" t="str">
        <f>$AP$3</f>
        <v xml:space="preserve">  RFA 2024-103SF</v>
      </c>
      <c r="AQ38" s="223" t="str">
        <f>$AQ$3</f>
        <v xml:space="preserve">  RFA 2024-104</v>
      </c>
      <c r="AR38" s="223" t="str">
        <f>$AR$3</f>
        <v xml:space="preserve">  RFA 2024-104SF</v>
      </c>
      <c r="AS38" s="223" t="str">
        <f>$AS$3</f>
        <v xml:space="preserve">  RFA 2024-105</v>
      </c>
      <c r="AT38" s="223" t="str">
        <f t="shared" ref="AT38:BC38" si="16">AT3</f>
        <v xml:space="preserve">  RFA 2024-106</v>
      </c>
      <c r="AU38" s="223" t="str">
        <f t="shared" si="16"/>
        <v xml:space="preserve">  RFA 2024-106SF</v>
      </c>
      <c r="AV38" s="223" t="str">
        <f t="shared" si="16"/>
        <v xml:space="preserve">  RFA 2024-201</v>
      </c>
      <c r="AW38" s="223" t="str">
        <f t="shared" si="16"/>
        <v xml:space="preserve">  RFA 2024-202</v>
      </c>
      <c r="AX38" s="223" t="str">
        <f t="shared" si="16"/>
        <v xml:space="preserve">  RFA 2024-202SF</v>
      </c>
      <c r="AY38" s="223" t="str">
        <f t="shared" si="16"/>
        <v xml:space="preserve">  RFA 2024-203</v>
      </c>
      <c r="AZ38" s="223" t="str">
        <f t="shared" si="16"/>
        <v xml:space="preserve">  RFA 2024-204</v>
      </c>
      <c r="BA38" s="223" t="str">
        <f t="shared" si="16"/>
        <v xml:space="preserve">  RFA 2024-204SF</v>
      </c>
      <c r="BB38" s="223" t="str">
        <f t="shared" si="16"/>
        <v xml:space="preserve">  RFA 2024-205</v>
      </c>
      <c r="BC38" s="223" t="str">
        <f t="shared" si="16"/>
        <v xml:space="preserve">  RFA 2024-205SF</v>
      </c>
      <c r="BD38" s="223" t="str">
        <f>$BD$3</f>
        <v xml:space="preserve">  RFA 2024-206</v>
      </c>
      <c r="BE38" s="223" t="str">
        <f t="shared" ref="BE38:CC38" si="17">BE3</f>
        <v xml:space="preserve">  RFA 2024-206SF</v>
      </c>
      <c r="BF38" s="223" t="str">
        <f>$BF$3</f>
        <v xml:space="preserve">  RFA 2024-213</v>
      </c>
      <c r="BG38" s="223" t="str">
        <f>$BG$3</f>
        <v xml:space="preserve">  RFA 2024-213SF</v>
      </c>
      <c r="BH38" s="223" t="str">
        <f t="shared" si="17"/>
        <v xml:space="preserve">  RFA 2024-214</v>
      </c>
      <c r="BI38" s="223" t="str">
        <f t="shared" si="17"/>
        <v xml:space="preserve">  RFA 2024-214SF</v>
      </c>
      <c r="BJ38" s="223" t="str">
        <f t="shared" si="17"/>
        <v xml:space="preserve">  RFA 2024-215</v>
      </c>
      <c r="BK38" s="223" t="str">
        <f t="shared" si="17"/>
        <v xml:space="preserve">  RFA 2024-215SF</v>
      </c>
      <c r="BL38" s="223" t="str">
        <f t="shared" si="17"/>
        <v xml:space="preserve">  RFA 2024-216</v>
      </c>
      <c r="BM38" s="223" t="str">
        <f t="shared" si="17"/>
        <v xml:space="preserve">  RFA 2024-216SF</v>
      </c>
      <c r="BN38" s="223" t="str">
        <f t="shared" si="17"/>
        <v xml:space="preserve">  RFA 2024-305</v>
      </c>
      <c r="BO38" s="223" t="str">
        <f t="shared" si="17"/>
        <v xml:space="preserve">  RFA 2024-305SF</v>
      </c>
      <c r="BP38" s="223" t="str">
        <f t="shared" si="17"/>
        <v xml:space="preserve">  RFA 2024-306</v>
      </c>
      <c r="BQ38" s="223" t="str">
        <f t="shared" ref="BQ38:BW38" si="18">BQ3</f>
        <v xml:space="preserve">  RFA 2024-306SF</v>
      </c>
      <c r="BR38" s="223" t="str">
        <f t="shared" si="17"/>
        <v xml:space="preserve">  RFA 2025-102</v>
      </c>
      <c r="BS38" s="223" t="str">
        <f t="shared" si="18"/>
        <v xml:space="preserve">  RFA 2025-102SF</v>
      </c>
      <c r="BT38" s="223" t="str">
        <f t="shared" si="17"/>
        <v xml:space="preserve">  RFA 2025-103</v>
      </c>
      <c r="BU38" s="223" t="str">
        <f t="shared" si="18"/>
        <v xml:space="preserve">  RFA 2025-103SF</v>
      </c>
      <c r="BV38" s="353" t="str">
        <f t="shared" si="17"/>
        <v xml:space="preserve">  RFA 2025-104</v>
      </c>
      <c r="BW38" s="353" t="str">
        <f t="shared" si="18"/>
        <v xml:space="preserve">  RFA 2025-104SF</v>
      </c>
      <c r="BX38" s="223" t="str">
        <f t="shared" si="17"/>
        <v xml:space="preserve">  RFA 2025-106</v>
      </c>
      <c r="BY38" s="223" t="str">
        <f t="shared" si="17"/>
        <v xml:space="preserve">  RFA 2025-106SF</v>
      </c>
      <c r="BZ38" s="223" t="str">
        <f t="shared" ref="BZ38:CA38" si="19">BZ3</f>
        <v xml:space="preserve">  RFA 2025-206</v>
      </c>
      <c r="CA38" s="223" t="str">
        <f t="shared" si="19"/>
        <v xml:space="preserve">  RFA 2025-206SF</v>
      </c>
      <c r="CB38" s="223" t="str">
        <f t="shared" si="17"/>
        <v xml:space="preserve">  RFA 2025-216</v>
      </c>
      <c r="CC38" s="223" t="str">
        <f t="shared" si="17"/>
        <v xml:space="preserve">  RFA 2025-216SF</v>
      </c>
      <c r="CF38" s="5"/>
      <c r="CG38" s="5"/>
      <c r="CH38" s="5"/>
      <c r="CI38" s="5"/>
    </row>
    <row r="39" spans="1:87" x14ac:dyDescent="0.25">
      <c r="A39" s="13" t="s">
        <v>42</v>
      </c>
      <c r="B39" t="s">
        <v>2</v>
      </c>
      <c r="C39" s="22"/>
      <c r="D39" s="23"/>
      <c r="E39" s="23"/>
      <c r="F39" s="23"/>
      <c r="G39" s="23"/>
      <c r="H39" s="23"/>
      <c r="I39" s="23"/>
      <c r="J39" s="23"/>
      <c r="K39" s="23" t="s">
        <v>2</v>
      </c>
      <c r="L39" s="72" t="s">
        <v>174</v>
      </c>
      <c r="M39" s="219" t="s">
        <v>2</v>
      </c>
      <c r="N39" s="220"/>
      <c r="O39" s="340"/>
      <c r="P39" s="50" t="s">
        <v>2</v>
      </c>
      <c r="Q39" s="50" t="s">
        <v>2</v>
      </c>
      <c r="R39" s="50" t="s">
        <v>2</v>
      </c>
      <c r="S39" s="50" t="s">
        <v>2</v>
      </c>
      <c r="T39" s="50" t="s">
        <v>2</v>
      </c>
      <c r="U39" s="50" t="s">
        <v>2</v>
      </c>
      <c r="V39" s="50" t="s">
        <v>2</v>
      </c>
      <c r="W39" s="50" t="s">
        <v>2</v>
      </c>
      <c r="X39" s="50" t="s">
        <v>2</v>
      </c>
      <c r="Y39" s="50" t="s">
        <v>2</v>
      </c>
      <c r="Z39" s="54">
        <v>220000</v>
      </c>
      <c r="AA39" s="54">
        <v>220000</v>
      </c>
      <c r="AB39" s="54">
        <v>240000</v>
      </c>
      <c r="AC39" s="54">
        <v>240000</v>
      </c>
      <c r="AD39" s="54">
        <v>220000</v>
      </c>
      <c r="AE39" s="54">
        <v>240000</v>
      </c>
      <c r="AF39" s="54">
        <v>220000</v>
      </c>
      <c r="AG39" s="54">
        <v>240000</v>
      </c>
      <c r="AH39" s="17" t="s">
        <v>2</v>
      </c>
      <c r="AI39" s="54">
        <v>220000</v>
      </c>
      <c r="AJ39" s="54">
        <v>220000</v>
      </c>
      <c r="AK39" s="54">
        <v>240000</v>
      </c>
      <c r="AL39" s="50" t="s">
        <v>2</v>
      </c>
      <c r="AM39" s="54">
        <v>220000</v>
      </c>
      <c r="AN39" s="54">
        <v>240000</v>
      </c>
      <c r="AO39" s="54">
        <v>220000</v>
      </c>
      <c r="AP39" s="54">
        <v>240000</v>
      </c>
      <c r="AQ39" s="54">
        <v>220000</v>
      </c>
      <c r="AR39" s="54">
        <v>240000</v>
      </c>
      <c r="AS39" s="50" t="s">
        <v>2</v>
      </c>
      <c r="AT39" s="54">
        <v>220000</v>
      </c>
      <c r="AU39" s="54">
        <v>240000</v>
      </c>
      <c r="AV39" s="54">
        <v>233000</v>
      </c>
      <c r="AW39" s="54">
        <v>233000</v>
      </c>
      <c r="AX39" s="54">
        <v>258000</v>
      </c>
      <c r="AY39" s="54">
        <v>258000</v>
      </c>
      <c r="AZ39" s="54">
        <v>233000</v>
      </c>
      <c r="BA39" s="54">
        <v>258000</v>
      </c>
      <c r="BB39" s="54">
        <v>233000</v>
      </c>
      <c r="BC39" s="54">
        <v>258000</v>
      </c>
      <c r="BD39" s="54">
        <v>220000</v>
      </c>
      <c r="BE39" s="54">
        <v>240000</v>
      </c>
      <c r="BF39" s="54">
        <v>233000</v>
      </c>
      <c r="BG39" s="54">
        <v>258000</v>
      </c>
      <c r="BH39" s="54">
        <v>220000</v>
      </c>
      <c r="BI39" s="54">
        <v>240000</v>
      </c>
      <c r="BJ39" s="54">
        <v>233000</v>
      </c>
      <c r="BK39" s="54">
        <v>258000</v>
      </c>
      <c r="BL39" s="54">
        <v>233000</v>
      </c>
      <c r="BM39" s="54">
        <v>258000</v>
      </c>
      <c r="BN39" s="54">
        <v>220000</v>
      </c>
      <c r="BO39" s="54">
        <v>240000</v>
      </c>
      <c r="BP39" s="54">
        <v>233000</v>
      </c>
      <c r="BQ39" s="54">
        <v>258000</v>
      </c>
      <c r="BR39" s="54">
        <v>233000</v>
      </c>
      <c r="BS39" s="54">
        <v>258000</v>
      </c>
      <c r="BT39" s="54">
        <v>233000</v>
      </c>
      <c r="BU39" s="54">
        <v>258000</v>
      </c>
      <c r="BV39" s="54">
        <v>233000</v>
      </c>
      <c r="BW39" s="54">
        <v>258000</v>
      </c>
      <c r="BX39" s="54">
        <v>233000</v>
      </c>
      <c r="BY39" s="54">
        <v>258000</v>
      </c>
      <c r="BZ39" s="54">
        <v>233000</v>
      </c>
      <c r="CA39" s="54">
        <v>258000</v>
      </c>
      <c r="CB39" s="54">
        <v>233000</v>
      </c>
      <c r="CC39" s="54">
        <v>258000</v>
      </c>
      <c r="CF39" s="5"/>
      <c r="CG39" s="5"/>
      <c r="CH39" s="5"/>
      <c r="CI39" s="5"/>
    </row>
    <row r="40" spans="1:87" x14ac:dyDescent="0.25">
      <c r="A40" s="13" t="s">
        <v>43</v>
      </c>
      <c r="B40" t="s">
        <v>2</v>
      </c>
      <c r="C40" s="22"/>
      <c r="D40" s="23"/>
      <c r="E40" s="23"/>
      <c r="F40" s="23"/>
      <c r="G40" s="23"/>
      <c r="H40" s="23"/>
      <c r="I40" s="23"/>
      <c r="J40" s="23"/>
      <c r="K40" s="23" t="s">
        <v>2</v>
      </c>
      <c r="L40" s="72" t="s">
        <v>327</v>
      </c>
      <c r="M40" s="219" t="s">
        <v>2</v>
      </c>
      <c r="N40" s="3"/>
      <c r="O40" s="340"/>
      <c r="P40" s="50" t="s">
        <v>2</v>
      </c>
      <c r="Q40" s="50" t="s">
        <v>2</v>
      </c>
      <c r="R40" s="50" t="s">
        <v>2</v>
      </c>
      <c r="S40" s="50" t="s">
        <v>2</v>
      </c>
      <c r="T40" s="50" t="s">
        <v>2</v>
      </c>
      <c r="U40" s="50" t="s">
        <v>2</v>
      </c>
      <c r="V40" s="50" t="s">
        <v>2</v>
      </c>
      <c r="W40" s="50" t="s">
        <v>2</v>
      </c>
      <c r="X40" s="50" t="s">
        <v>2</v>
      </c>
      <c r="Y40" s="50" t="s">
        <v>2</v>
      </c>
      <c r="Z40" s="54">
        <v>240000</v>
      </c>
      <c r="AA40" s="54">
        <v>240000</v>
      </c>
      <c r="AB40" s="54">
        <v>260000</v>
      </c>
      <c r="AC40" s="54">
        <v>260000</v>
      </c>
      <c r="AD40" s="54">
        <v>240000</v>
      </c>
      <c r="AE40" s="54">
        <v>260000</v>
      </c>
      <c r="AF40" s="54">
        <v>240000</v>
      </c>
      <c r="AG40" s="54">
        <v>260000</v>
      </c>
      <c r="AH40" s="50" t="s">
        <v>2</v>
      </c>
      <c r="AI40" s="54">
        <v>240000</v>
      </c>
      <c r="AJ40" s="54">
        <v>240000</v>
      </c>
      <c r="AK40" s="54">
        <v>260000</v>
      </c>
      <c r="AL40" s="50" t="s">
        <v>2</v>
      </c>
      <c r="AM40" s="54">
        <v>240000</v>
      </c>
      <c r="AN40" s="54">
        <v>260000</v>
      </c>
      <c r="AO40" s="54">
        <v>240000</v>
      </c>
      <c r="AP40" s="54">
        <v>260000</v>
      </c>
      <c r="AQ40" s="54">
        <v>240000</v>
      </c>
      <c r="AR40" s="54">
        <v>260000</v>
      </c>
      <c r="AS40" s="50" t="s">
        <v>2</v>
      </c>
      <c r="AT40" s="54">
        <v>240000</v>
      </c>
      <c r="AU40" s="54">
        <v>260000</v>
      </c>
      <c r="AV40" s="54">
        <v>258000</v>
      </c>
      <c r="AW40" s="54">
        <v>258000</v>
      </c>
      <c r="AX40" s="54">
        <v>283000</v>
      </c>
      <c r="AY40" s="54">
        <v>283000</v>
      </c>
      <c r="AZ40" s="54">
        <v>258000</v>
      </c>
      <c r="BA40" s="54">
        <v>283000</v>
      </c>
      <c r="BB40" s="54">
        <v>258000</v>
      </c>
      <c r="BC40" s="54">
        <v>283000</v>
      </c>
      <c r="BD40" s="54">
        <v>240000</v>
      </c>
      <c r="BE40" s="54">
        <v>260000</v>
      </c>
      <c r="BF40" s="54">
        <v>258000</v>
      </c>
      <c r="BG40" s="54">
        <v>283000</v>
      </c>
      <c r="BH40" s="54">
        <v>240000</v>
      </c>
      <c r="BI40" s="54">
        <v>260000</v>
      </c>
      <c r="BJ40" s="54">
        <v>258000</v>
      </c>
      <c r="BK40" s="54">
        <v>283000</v>
      </c>
      <c r="BL40" s="54">
        <v>258000</v>
      </c>
      <c r="BM40" s="54">
        <v>283000</v>
      </c>
      <c r="BN40" s="54">
        <v>240000</v>
      </c>
      <c r="BO40" s="54">
        <v>260000</v>
      </c>
      <c r="BP40" s="54">
        <v>258000</v>
      </c>
      <c r="BQ40" s="54">
        <v>283000</v>
      </c>
      <c r="BR40" s="54">
        <v>258000</v>
      </c>
      <c r="BS40" s="54">
        <v>283000</v>
      </c>
      <c r="BT40" s="54">
        <v>258000</v>
      </c>
      <c r="BU40" s="54">
        <v>283000</v>
      </c>
      <c r="BV40" s="54">
        <v>258000</v>
      </c>
      <c r="BW40" s="54">
        <v>283000</v>
      </c>
      <c r="BX40" s="54">
        <v>258000</v>
      </c>
      <c r="BY40" s="54">
        <v>283000</v>
      </c>
      <c r="BZ40" s="54">
        <v>258000</v>
      </c>
      <c r="CA40" s="54">
        <v>283000</v>
      </c>
      <c r="CB40" s="54">
        <v>258000</v>
      </c>
      <c r="CC40" s="54">
        <v>283000</v>
      </c>
      <c r="CD40" s="3" t="s">
        <v>2</v>
      </c>
    </row>
    <row r="41" spans="1:87" x14ac:dyDescent="0.25">
      <c r="A41" s="13" t="s">
        <v>44</v>
      </c>
      <c r="B41" t="s">
        <v>2</v>
      </c>
      <c r="C41" s="24"/>
      <c r="D41" s="25"/>
      <c r="E41" s="25"/>
      <c r="F41" s="25"/>
      <c r="G41" s="25"/>
      <c r="H41" s="25"/>
      <c r="I41" s="25"/>
      <c r="J41" s="25"/>
      <c r="K41" s="25" t="s">
        <v>2</v>
      </c>
      <c r="L41" s="25" t="s">
        <v>2</v>
      </c>
      <c r="M41" s="26" t="s">
        <v>2</v>
      </c>
      <c r="N41" s="3"/>
      <c r="O41" s="340"/>
      <c r="P41" s="50" t="s">
        <v>2</v>
      </c>
      <c r="Q41" s="50" t="s">
        <v>2</v>
      </c>
      <c r="R41" s="50" t="s">
        <v>2</v>
      </c>
      <c r="S41" s="50" t="s">
        <v>2</v>
      </c>
      <c r="T41" s="50" t="s">
        <v>2</v>
      </c>
      <c r="U41" s="50" t="s">
        <v>2</v>
      </c>
      <c r="V41" s="50" t="s">
        <v>2</v>
      </c>
      <c r="W41" s="50" t="s">
        <v>2</v>
      </c>
      <c r="X41" s="50" t="s">
        <v>2</v>
      </c>
      <c r="Y41" s="50" t="s">
        <v>2</v>
      </c>
      <c r="Z41" s="54">
        <v>240000</v>
      </c>
      <c r="AA41" s="54">
        <v>240000</v>
      </c>
      <c r="AB41" s="54">
        <v>260000</v>
      </c>
      <c r="AC41" s="54">
        <v>260000</v>
      </c>
      <c r="AD41" s="54">
        <v>240000</v>
      </c>
      <c r="AE41" s="54">
        <v>260000</v>
      </c>
      <c r="AF41" s="54">
        <v>240000</v>
      </c>
      <c r="AG41" s="54">
        <v>260000</v>
      </c>
      <c r="AH41" s="50" t="s">
        <v>2</v>
      </c>
      <c r="AI41" s="54">
        <v>240000</v>
      </c>
      <c r="AJ41" s="54">
        <v>240000</v>
      </c>
      <c r="AK41" s="54">
        <v>260000</v>
      </c>
      <c r="AL41" s="50" t="s">
        <v>2</v>
      </c>
      <c r="AM41" s="54">
        <v>240000</v>
      </c>
      <c r="AN41" s="54">
        <v>260000</v>
      </c>
      <c r="AO41" s="54">
        <v>240000</v>
      </c>
      <c r="AP41" s="54">
        <v>260000</v>
      </c>
      <c r="AQ41" s="54">
        <v>240000</v>
      </c>
      <c r="AR41" s="54">
        <v>260000</v>
      </c>
      <c r="AS41" s="50" t="s">
        <v>2</v>
      </c>
      <c r="AT41" s="54">
        <v>240000</v>
      </c>
      <c r="AU41" s="54">
        <v>260000</v>
      </c>
      <c r="AV41" s="54">
        <v>258000</v>
      </c>
      <c r="AW41" s="54">
        <v>258000</v>
      </c>
      <c r="AX41" s="54">
        <v>283000</v>
      </c>
      <c r="AY41" s="54">
        <v>283000</v>
      </c>
      <c r="AZ41" s="54">
        <v>258000</v>
      </c>
      <c r="BA41" s="54">
        <v>283000</v>
      </c>
      <c r="BB41" s="54">
        <v>258000</v>
      </c>
      <c r="BC41" s="54">
        <v>283000</v>
      </c>
      <c r="BD41" s="54">
        <v>240000</v>
      </c>
      <c r="BE41" s="54">
        <v>260000</v>
      </c>
      <c r="BF41" s="54">
        <v>258000</v>
      </c>
      <c r="BG41" s="54">
        <v>283000</v>
      </c>
      <c r="BH41" s="54">
        <v>240000</v>
      </c>
      <c r="BI41" s="54">
        <v>260000</v>
      </c>
      <c r="BJ41" s="54">
        <v>258000</v>
      </c>
      <c r="BK41" s="54">
        <v>283000</v>
      </c>
      <c r="BL41" s="54">
        <v>258000</v>
      </c>
      <c r="BM41" s="54">
        <v>283000</v>
      </c>
      <c r="BN41" s="54">
        <v>240000</v>
      </c>
      <c r="BO41" s="54">
        <v>260000</v>
      </c>
      <c r="BP41" s="54">
        <v>258000</v>
      </c>
      <c r="BQ41" s="54">
        <v>283000</v>
      </c>
      <c r="BR41" s="54">
        <v>258000</v>
      </c>
      <c r="BS41" s="54">
        <v>283000</v>
      </c>
      <c r="BT41" s="54">
        <v>258000</v>
      </c>
      <c r="BU41" s="54">
        <v>283000</v>
      </c>
      <c r="BV41" s="54">
        <v>258000</v>
      </c>
      <c r="BW41" s="54">
        <v>283000</v>
      </c>
      <c r="BX41" s="54">
        <v>258000</v>
      </c>
      <c r="BY41" s="54">
        <v>283000</v>
      </c>
      <c r="BZ41" s="50" t="s">
        <v>2</v>
      </c>
      <c r="CA41" s="50" t="s">
        <v>2</v>
      </c>
      <c r="CB41" s="54">
        <v>258000</v>
      </c>
      <c r="CC41" s="54">
        <v>283000</v>
      </c>
      <c r="CD41" s="3" t="s">
        <v>2</v>
      </c>
    </row>
    <row r="42" spans="1:87" x14ac:dyDescent="0.25">
      <c r="A42" s="13" t="s">
        <v>45</v>
      </c>
      <c r="B42" t="s">
        <v>2</v>
      </c>
      <c r="N42" s="3"/>
      <c r="O42" s="340"/>
      <c r="P42" s="50" t="s">
        <v>2</v>
      </c>
      <c r="Q42" s="50" t="s">
        <v>2</v>
      </c>
      <c r="R42" s="50" t="s">
        <v>2</v>
      </c>
      <c r="S42" s="50" t="s">
        <v>2</v>
      </c>
      <c r="T42" s="50" t="s">
        <v>2</v>
      </c>
      <c r="U42" s="50" t="s">
        <v>2</v>
      </c>
      <c r="V42" s="50" t="s">
        <v>2</v>
      </c>
      <c r="W42" s="50" t="s">
        <v>2</v>
      </c>
      <c r="X42" s="50" t="s">
        <v>2</v>
      </c>
      <c r="Y42" s="50" t="s">
        <v>2</v>
      </c>
      <c r="Z42" s="54">
        <v>270000</v>
      </c>
      <c r="AA42" s="54">
        <v>270000</v>
      </c>
      <c r="AB42" s="54">
        <v>290000</v>
      </c>
      <c r="AC42" s="54">
        <v>290000</v>
      </c>
      <c r="AD42" s="54">
        <v>270000</v>
      </c>
      <c r="AE42" s="54">
        <v>290000</v>
      </c>
      <c r="AF42" s="54">
        <v>270000</v>
      </c>
      <c r="AG42" s="54">
        <v>290000</v>
      </c>
      <c r="AH42" s="50" t="s">
        <v>2</v>
      </c>
      <c r="AI42" s="54">
        <v>270000</v>
      </c>
      <c r="AJ42" s="54">
        <v>270000</v>
      </c>
      <c r="AK42" s="54">
        <v>290000</v>
      </c>
      <c r="AL42" s="50" t="s">
        <v>2</v>
      </c>
      <c r="AM42" s="54">
        <v>270000</v>
      </c>
      <c r="AN42" s="54">
        <v>290000</v>
      </c>
      <c r="AO42" s="54">
        <v>270000</v>
      </c>
      <c r="AP42" s="54">
        <v>290000</v>
      </c>
      <c r="AQ42" s="54">
        <v>270000</v>
      </c>
      <c r="AR42" s="54">
        <v>290000</v>
      </c>
      <c r="AS42" s="50" t="s">
        <v>2</v>
      </c>
      <c r="AT42" s="54">
        <v>270000</v>
      </c>
      <c r="AU42" s="54">
        <v>290000</v>
      </c>
      <c r="AV42" s="54">
        <v>285000</v>
      </c>
      <c r="AW42" s="54">
        <v>285000</v>
      </c>
      <c r="AX42" s="54">
        <v>310000</v>
      </c>
      <c r="AY42" s="54">
        <v>310000</v>
      </c>
      <c r="AZ42" s="54">
        <v>285000</v>
      </c>
      <c r="BA42" s="54">
        <v>310000</v>
      </c>
      <c r="BB42" s="54">
        <v>285000</v>
      </c>
      <c r="BC42" s="54">
        <v>310000</v>
      </c>
      <c r="BD42" s="54">
        <v>270000</v>
      </c>
      <c r="BE42" s="54">
        <v>290000</v>
      </c>
      <c r="BF42" s="54">
        <v>285000</v>
      </c>
      <c r="BG42" s="54">
        <v>310000</v>
      </c>
      <c r="BH42" s="54">
        <v>270000</v>
      </c>
      <c r="BI42" s="54">
        <v>290000</v>
      </c>
      <c r="BJ42" s="54">
        <v>285000</v>
      </c>
      <c r="BK42" s="54">
        <v>310000</v>
      </c>
      <c r="BL42" s="54">
        <v>285000</v>
      </c>
      <c r="BM42" s="54">
        <v>310000</v>
      </c>
      <c r="BN42" s="54">
        <v>270000</v>
      </c>
      <c r="BO42" s="54">
        <v>290000</v>
      </c>
      <c r="BP42" s="54">
        <v>285000</v>
      </c>
      <c r="BQ42" s="54">
        <v>310000</v>
      </c>
      <c r="BR42" s="54">
        <v>285000</v>
      </c>
      <c r="BS42" s="54">
        <v>310000</v>
      </c>
      <c r="BT42" s="54">
        <v>285000</v>
      </c>
      <c r="BU42" s="54">
        <v>310000</v>
      </c>
      <c r="BV42" s="54">
        <v>285000</v>
      </c>
      <c r="BW42" s="54">
        <v>310000</v>
      </c>
      <c r="BX42" s="54">
        <v>285000</v>
      </c>
      <c r="BY42" s="54">
        <v>310000</v>
      </c>
      <c r="BZ42" s="50" t="s">
        <v>2</v>
      </c>
      <c r="CA42" s="50" t="s">
        <v>2</v>
      </c>
      <c r="CB42" s="54">
        <v>285000</v>
      </c>
      <c r="CC42" s="54">
        <v>310000</v>
      </c>
      <c r="CD42" s="3" t="s">
        <v>2</v>
      </c>
    </row>
    <row r="43" spans="1:87" x14ac:dyDescent="0.25">
      <c r="A43" s="13" t="s">
        <v>46</v>
      </c>
      <c r="B43" t="s">
        <v>2</v>
      </c>
      <c r="C43" s="336" t="s">
        <v>99</v>
      </c>
      <c r="D43" s="337"/>
      <c r="E43" s="337"/>
      <c r="F43" s="337"/>
      <c r="G43" s="337"/>
      <c r="H43" s="337"/>
      <c r="I43" s="337"/>
      <c r="J43" s="337"/>
      <c r="K43" s="337"/>
      <c r="L43" s="337"/>
      <c r="M43" s="338"/>
      <c r="N43" s="3"/>
      <c r="O43" s="340"/>
      <c r="P43" s="50" t="s">
        <v>2</v>
      </c>
      <c r="Q43" s="50" t="s">
        <v>2</v>
      </c>
      <c r="R43" s="50" t="s">
        <v>2</v>
      </c>
      <c r="S43" s="50" t="s">
        <v>2</v>
      </c>
      <c r="T43" s="50" t="s">
        <v>2</v>
      </c>
      <c r="U43" s="50" t="s">
        <v>2</v>
      </c>
      <c r="V43" s="50" t="s">
        <v>2</v>
      </c>
      <c r="W43" s="50" t="s">
        <v>2</v>
      </c>
      <c r="X43" s="50" t="s">
        <v>2</v>
      </c>
      <c r="Y43" s="50" t="s">
        <v>2</v>
      </c>
      <c r="Z43" s="54">
        <v>290000</v>
      </c>
      <c r="AA43" s="54">
        <v>290000</v>
      </c>
      <c r="AB43" s="54">
        <v>310000</v>
      </c>
      <c r="AC43" s="54">
        <v>310000</v>
      </c>
      <c r="AD43" s="54">
        <v>290000</v>
      </c>
      <c r="AE43" s="54">
        <v>310000</v>
      </c>
      <c r="AF43" s="54">
        <v>290000</v>
      </c>
      <c r="AG43" s="54">
        <v>310000</v>
      </c>
      <c r="AH43" s="50" t="s">
        <v>2</v>
      </c>
      <c r="AI43" s="54">
        <v>290000</v>
      </c>
      <c r="AJ43" s="54">
        <v>290000</v>
      </c>
      <c r="AK43" s="54">
        <v>310000</v>
      </c>
      <c r="AL43" s="50" t="s">
        <v>2</v>
      </c>
      <c r="AM43" s="54">
        <v>290000</v>
      </c>
      <c r="AN43" s="54">
        <v>310000</v>
      </c>
      <c r="AO43" s="54">
        <v>290000</v>
      </c>
      <c r="AP43" s="54">
        <v>310000</v>
      </c>
      <c r="AQ43" s="54">
        <v>290000</v>
      </c>
      <c r="AR43" s="54">
        <v>310000</v>
      </c>
      <c r="AS43" s="50" t="s">
        <v>2</v>
      </c>
      <c r="AT43" s="54">
        <v>290000</v>
      </c>
      <c r="AU43" s="54">
        <v>310000</v>
      </c>
      <c r="AV43" s="54">
        <v>310000</v>
      </c>
      <c r="AW43" s="54">
        <v>310000</v>
      </c>
      <c r="AX43" s="54">
        <v>335000</v>
      </c>
      <c r="AY43" s="54">
        <v>335000</v>
      </c>
      <c r="AZ43" s="54">
        <v>310000</v>
      </c>
      <c r="BA43" s="54">
        <v>335000</v>
      </c>
      <c r="BB43" s="54">
        <v>310000</v>
      </c>
      <c r="BC43" s="54">
        <v>335000</v>
      </c>
      <c r="BD43" s="54">
        <v>290000</v>
      </c>
      <c r="BE43" s="54">
        <v>310000</v>
      </c>
      <c r="BF43" s="54">
        <v>310000</v>
      </c>
      <c r="BG43" s="54">
        <v>335000</v>
      </c>
      <c r="BH43" s="54">
        <v>290000</v>
      </c>
      <c r="BI43" s="54">
        <v>310000</v>
      </c>
      <c r="BJ43" s="54">
        <v>310000</v>
      </c>
      <c r="BK43" s="54">
        <v>335000</v>
      </c>
      <c r="BL43" s="54">
        <v>310000</v>
      </c>
      <c r="BM43" s="54">
        <v>335000</v>
      </c>
      <c r="BN43" s="54">
        <v>290000</v>
      </c>
      <c r="BO43" s="54">
        <v>310000</v>
      </c>
      <c r="BP43" s="54">
        <v>310000</v>
      </c>
      <c r="BQ43" s="54">
        <v>335000</v>
      </c>
      <c r="BR43" s="54">
        <v>310000</v>
      </c>
      <c r="BS43" s="54">
        <v>335000</v>
      </c>
      <c r="BT43" s="54">
        <v>310000</v>
      </c>
      <c r="BU43" s="54">
        <v>335000</v>
      </c>
      <c r="BV43" s="54">
        <v>310000</v>
      </c>
      <c r="BW43" s="54">
        <v>335000</v>
      </c>
      <c r="BX43" s="54">
        <v>310000</v>
      </c>
      <c r="BY43" s="54">
        <v>335000</v>
      </c>
      <c r="BZ43" s="50" t="s">
        <v>2</v>
      </c>
      <c r="CA43" s="50" t="s">
        <v>2</v>
      </c>
      <c r="CB43" s="54">
        <v>310000</v>
      </c>
      <c r="CC43" s="54">
        <v>335000</v>
      </c>
      <c r="CD43" s="3" t="s">
        <v>2</v>
      </c>
    </row>
    <row r="44" spans="1:87" x14ac:dyDescent="0.25">
      <c r="A44" s="13" t="s">
        <v>47</v>
      </c>
      <c r="B44" t="s">
        <v>2</v>
      </c>
      <c r="C44" s="63" t="s">
        <v>2</v>
      </c>
      <c r="D44" s="19" t="s">
        <v>2</v>
      </c>
      <c r="E44" s="19" t="s">
        <v>2</v>
      </c>
      <c r="F44" s="19" t="s">
        <v>2</v>
      </c>
      <c r="G44" s="19" t="s">
        <v>2</v>
      </c>
      <c r="H44" s="19" t="s">
        <v>2</v>
      </c>
      <c r="I44" s="19" t="s">
        <v>2</v>
      </c>
      <c r="J44" s="19" t="s">
        <v>2</v>
      </c>
      <c r="K44" s="71">
        <v>45617</v>
      </c>
      <c r="L44" s="71">
        <v>45372</v>
      </c>
      <c r="M44" s="311">
        <v>45006</v>
      </c>
      <c r="N44" s="220"/>
      <c r="O44" s="340"/>
      <c r="P44" s="50"/>
      <c r="Q44" s="50"/>
      <c r="R44" s="50"/>
      <c r="S44" s="50"/>
      <c r="T44" s="50"/>
      <c r="U44" s="50"/>
      <c r="V44" s="50"/>
      <c r="W44" s="50"/>
      <c r="X44" s="50"/>
      <c r="Y44" s="50"/>
      <c r="Z44" s="54">
        <v>100000</v>
      </c>
      <c r="AA44" s="54">
        <v>100000</v>
      </c>
      <c r="AB44" s="54">
        <v>110000</v>
      </c>
      <c r="AC44" s="54">
        <v>110000</v>
      </c>
      <c r="AD44" s="54">
        <v>100000</v>
      </c>
      <c r="AE44" s="54">
        <v>110000</v>
      </c>
      <c r="AF44" s="54">
        <v>100000</v>
      </c>
      <c r="AG44" s="54">
        <v>110000</v>
      </c>
      <c r="AH44" s="50" t="s">
        <v>2</v>
      </c>
      <c r="AI44" s="54">
        <v>100000</v>
      </c>
      <c r="AJ44" s="50" t="s">
        <v>2</v>
      </c>
      <c r="AK44" s="50" t="s">
        <v>2</v>
      </c>
      <c r="AL44" s="50" t="s">
        <v>2</v>
      </c>
      <c r="AM44" s="54">
        <v>100000</v>
      </c>
      <c r="AN44" s="54">
        <v>110000</v>
      </c>
      <c r="AO44" s="54">
        <v>100000</v>
      </c>
      <c r="AP44" s="54">
        <v>110000</v>
      </c>
      <c r="AQ44" s="54">
        <v>100000</v>
      </c>
      <c r="AR44" s="54">
        <v>110000</v>
      </c>
      <c r="AS44" s="50" t="s">
        <v>2</v>
      </c>
      <c r="AT44" s="54">
        <v>100000</v>
      </c>
      <c r="AU44" s="54">
        <v>110000</v>
      </c>
      <c r="AV44" s="54">
        <v>106000</v>
      </c>
      <c r="AW44" s="54">
        <v>106000</v>
      </c>
      <c r="AX44" s="54">
        <v>121000</v>
      </c>
      <c r="AY44" s="54">
        <v>121000</v>
      </c>
      <c r="AZ44" s="54">
        <v>106000</v>
      </c>
      <c r="BA44" s="54">
        <v>121000</v>
      </c>
      <c r="BB44" s="54">
        <v>106000</v>
      </c>
      <c r="BC44" s="54">
        <v>121000</v>
      </c>
      <c r="BD44" s="50" t="s">
        <v>2</v>
      </c>
      <c r="BE44" s="50" t="s">
        <v>2</v>
      </c>
      <c r="BF44" s="54">
        <v>106000</v>
      </c>
      <c r="BG44" s="54">
        <v>121000</v>
      </c>
      <c r="BH44" s="50" t="s">
        <v>2</v>
      </c>
      <c r="BI44" s="50" t="s">
        <v>2</v>
      </c>
      <c r="BJ44" s="50" t="s">
        <v>2</v>
      </c>
      <c r="BK44" s="50" t="s">
        <v>2</v>
      </c>
      <c r="BL44" s="50" t="s">
        <v>2</v>
      </c>
      <c r="BM44" s="50" t="s">
        <v>2</v>
      </c>
      <c r="BN44" s="50" t="s">
        <v>2</v>
      </c>
      <c r="BO44" s="50" t="s">
        <v>2</v>
      </c>
      <c r="BP44" s="50" t="s">
        <v>2</v>
      </c>
      <c r="BQ44" s="50" t="s">
        <v>2</v>
      </c>
      <c r="BR44" s="54">
        <v>106000</v>
      </c>
      <c r="BS44" s="54">
        <v>121000</v>
      </c>
      <c r="BT44" s="50" t="s">
        <v>2</v>
      </c>
      <c r="BU44" s="50" t="s">
        <v>2</v>
      </c>
      <c r="BV44" s="54">
        <v>106000</v>
      </c>
      <c r="BW44" s="54">
        <v>121000</v>
      </c>
      <c r="BX44" s="50" t="s">
        <v>2</v>
      </c>
      <c r="BY44" s="50" t="s">
        <v>2</v>
      </c>
      <c r="BZ44" s="50" t="s">
        <v>2</v>
      </c>
      <c r="CA44" s="50" t="s">
        <v>2</v>
      </c>
      <c r="CB44" s="50" t="s">
        <v>2</v>
      </c>
      <c r="CC44" s="50" t="s">
        <v>2</v>
      </c>
      <c r="CD44" s="3" t="s">
        <v>2</v>
      </c>
    </row>
    <row r="45" spans="1:87" x14ac:dyDescent="0.25">
      <c r="A45" s="13" t="s">
        <v>48</v>
      </c>
      <c r="B45" t="s">
        <v>2</v>
      </c>
      <c r="C45" s="63" t="s">
        <v>2</v>
      </c>
      <c r="D45" s="19" t="s">
        <v>2</v>
      </c>
      <c r="E45" s="19" t="s">
        <v>2</v>
      </c>
      <c r="F45" s="19" t="s">
        <v>2</v>
      </c>
      <c r="G45" s="19" t="s">
        <v>2</v>
      </c>
      <c r="H45" s="19" t="s">
        <v>2</v>
      </c>
      <c r="I45" s="19" t="s">
        <v>2</v>
      </c>
      <c r="J45" s="19" t="s">
        <v>2</v>
      </c>
      <c r="K45" s="71">
        <v>45678</v>
      </c>
      <c r="L45" s="71">
        <v>45335</v>
      </c>
      <c r="M45" s="311">
        <v>44952</v>
      </c>
      <c r="N45" s="220"/>
      <c r="O45" s="341"/>
      <c r="P45" s="18" t="s">
        <v>2</v>
      </c>
      <c r="Q45" s="18" t="s">
        <v>2</v>
      </c>
      <c r="R45" s="18" t="s">
        <v>2</v>
      </c>
      <c r="S45" s="18" t="s">
        <v>2</v>
      </c>
      <c r="T45" s="18" t="s">
        <v>2</v>
      </c>
      <c r="U45" s="18" t="s">
        <v>2</v>
      </c>
      <c r="V45" s="18" t="s">
        <v>2</v>
      </c>
      <c r="W45" s="18" t="s">
        <v>2</v>
      </c>
      <c r="X45" s="18" t="s">
        <v>2</v>
      </c>
      <c r="Y45" s="18" t="s">
        <v>2</v>
      </c>
      <c r="Z45" s="77">
        <v>130000</v>
      </c>
      <c r="AA45" s="77">
        <v>130000</v>
      </c>
      <c r="AB45" s="77">
        <v>140000</v>
      </c>
      <c r="AC45" s="77">
        <v>140000</v>
      </c>
      <c r="AD45" s="77">
        <v>130000</v>
      </c>
      <c r="AE45" s="77">
        <v>140000</v>
      </c>
      <c r="AF45" s="77">
        <v>130000</v>
      </c>
      <c r="AG45" s="77">
        <v>140000</v>
      </c>
      <c r="AH45" s="18" t="s">
        <v>2</v>
      </c>
      <c r="AI45" s="77">
        <v>130000</v>
      </c>
      <c r="AJ45" s="18" t="s">
        <v>2</v>
      </c>
      <c r="AK45" s="18" t="s">
        <v>2</v>
      </c>
      <c r="AL45" s="18" t="s">
        <v>2</v>
      </c>
      <c r="AM45" s="77">
        <v>130000</v>
      </c>
      <c r="AN45" s="77">
        <v>140000</v>
      </c>
      <c r="AO45" s="77">
        <v>130000</v>
      </c>
      <c r="AP45" s="77">
        <v>140000</v>
      </c>
      <c r="AQ45" s="77">
        <v>130000</v>
      </c>
      <c r="AR45" s="77">
        <v>140000</v>
      </c>
      <c r="AS45" s="18" t="s">
        <v>2</v>
      </c>
      <c r="AT45" s="77">
        <v>130000</v>
      </c>
      <c r="AU45" s="77">
        <v>140000</v>
      </c>
      <c r="AV45" s="77">
        <v>146000</v>
      </c>
      <c r="AW45" s="77">
        <v>146000</v>
      </c>
      <c r="AX45" s="77">
        <v>161000</v>
      </c>
      <c r="AY45" s="77">
        <v>161000</v>
      </c>
      <c r="AZ45" s="77">
        <v>146000</v>
      </c>
      <c r="BA45" s="77">
        <v>161000</v>
      </c>
      <c r="BB45" s="77">
        <v>146000</v>
      </c>
      <c r="BC45" s="77">
        <v>161000</v>
      </c>
      <c r="BD45" s="18" t="s">
        <v>2</v>
      </c>
      <c r="BE45" s="18" t="s">
        <v>2</v>
      </c>
      <c r="BF45" s="77">
        <v>146000</v>
      </c>
      <c r="BG45" s="77">
        <v>161000</v>
      </c>
      <c r="BH45" s="18" t="s">
        <v>2</v>
      </c>
      <c r="BI45" s="18" t="s">
        <v>2</v>
      </c>
      <c r="BJ45" s="18" t="s">
        <v>2</v>
      </c>
      <c r="BK45" s="18" t="s">
        <v>2</v>
      </c>
      <c r="BL45" s="18" t="s">
        <v>2</v>
      </c>
      <c r="BM45" s="18" t="s">
        <v>2</v>
      </c>
      <c r="BN45" s="18" t="s">
        <v>2</v>
      </c>
      <c r="BO45" s="18" t="s">
        <v>2</v>
      </c>
      <c r="BP45" s="18" t="s">
        <v>2</v>
      </c>
      <c r="BQ45" s="18" t="s">
        <v>2</v>
      </c>
      <c r="BR45" s="77">
        <v>146000</v>
      </c>
      <c r="BS45" s="77">
        <v>161000</v>
      </c>
      <c r="BT45" s="18" t="s">
        <v>2</v>
      </c>
      <c r="BU45" s="18" t="s">
        <v>2</v>
      </c>
      <c r="BV45" s="77">
        <v>146000</v>
      </c>
      <c r="BW45" s="77">
        <v>161000</v>
      </c>
      <c r="BX45" s="18" t="s">
        <v>2</v>
      </c>
      <c r="BY45" s="18" t="s">
        <v>2</v>
      </c>
      <c r="BZ45" s="18" t="s">
        <v>2</v>
      </c>
      <c r="CA45" s="18" t="s">
        <v>2</v>
      </c>
      <c r="CB45" s="18" t="s">
        <v>2</v>
      </c>
      <c r="CC45" s="18" t="s">
        <v>2</v>
      </c>
      <c r="CD45" s="3" t="s">
        <v>2</v>
      </c>
    </row>
    <row r="46" spans="1:87" x14ac:dyDescent="0.25">
      <c r="A46" s="13" t="s">
        <v>49</v>
      </c>
      <c r="B46" t="s">
        <v>2</v>
      </c>
      <c r="C46" s="63" t="s">
        <v>2</v>
      </c>
      <c r="D46" s="19" t="s">
        <v>2</v>
      </c>
      <c r="E46" s="19" t="s">
        <v>2</v>
      </c>
      <c r="F46" s="19" t="s">
        <v>2</v>
      </c>
      <c r="G46" s="19" t="s">
        <v>2</v>
      </c>
      <c r="H46" s="19" t="s">
        <v>2</v>
      </c>
      <c r="I46" s="19" t="s">
        <v>2</v>
      </c>
      <c r="J46" s="19" t="s">
        <v>2</v>
      </c>
      <c r="K46" s="71">
        <v>45783</v>
      </c>
      <c r="L46" s="71">
        <v>45428</v>
      </c>
      <c r="M46" s="311">
        <v>45007</v>
      </c>
      <c r="N46" s="220"/>
      <c r="CD46" s="3" t="s">
        <v>2</v>
      </c>
    </row>
    <row r="47" spans="1:87" ht="15" customHeight="1" x14ac:dyDescent="0.25">
      <c r="A47" s="13" t="s">
        <v>50</v>
      </c>
      <c r="B47" t="s">
        <v>2</v>
      </c>
      <c r="C47" s="63" t="s">
        <v>2</v>
      </c>
      <c r="D47" s="19" t="s">
        <v>2</v>
      </c>
      <c r="E47" s="19" t="s">
        <v>2</v>
      </c>
      <c r="F47" s="19" t="s">
        <v>2</v>
      </c>
      <c r="G47" s="19" t="s">
        <v>2</v>
      </c>
      <c r="H47" s="19" t="s">
        <v>2</v>
      </c>
      <c r="I47" s="19" t="s">
        <v>2</v>
      </c>
      <c r="J47" s="19" t="s">
        <v>2</v>
      </c>
      <c r="K47" s="71">
        <v>45692</v>
      </c>
      <c r="L47" s="71">
        <v>45427</v>
      </c>
      <c r="M47" s="311">
        <v>45034</v>
      </c>
      <c r="N47" s="220"/>
      <c r="O47" s="339" t="s">
        <v>213</v>
      </c>
      <c r="P47" s="34" t="str">
        <f>$P$3</f>
        <v xml:space="preserve">  RFA 2023-102</v>
      </c>
      <c r="Q47" s="34" t="str">
        <f>$Q$3</f>
        <v xml:space="preserve">  RFA 2023-102SF</v>
      </c>
      <c r="R47" s="34" t="str">
        <f>$R$3</f>
        <v xml:space="preserve">  RFA 2023-103</v>
      </c>
      <c r="S47" s="34" t="str">
        <f>$S$3</f>
        <v xml:space="preserve">  RFA 2023-103SF</v>
      </c>
      <c r="T47" s="34" t="str">
        <f>$T$3</f>
        <v xml:space="preserve">  RFA 2023-104</v>
      </c>
      <c r="U47" s="34" t="str">
        <f>$U$3</f>
        <v xml:space="preserve">  RFA 2023-104SF</v>
      </c>
      <c r="V47" s="34" t="str">
        <f>$V$3</f>
        <v xml:space="preserve">  RFA 2023-105</v>
      </c>
      <c r="W47" s="34" t="str">
        <f>$W$3</f>
        <v xml:space="preserve">  RFA 2023-106</v>
      </c>
      <c r="X47" s="34" t="str">
        <f>$X$3</f>
        <v xml:space="preserve">  RFA 2023-106SF</v>
      </c>
      <c r="Y47" s="34" t="str">
        <f>$Y$3</f>
        <v xml:space="preserve">  RFA 2023-108</v>
      </c>
      <c r="Z47" s="223" t="str">
        <f>$Z$3</f>
        <v xml:space="preserve">  RFA 2023-201</v>
      </c>
      <c r="AA47" s="223" t="str">
        <f>$AA$3</f>
        <v xml:space="preserve">  RFA 2023-202</v>
      </c>
      <c r="AB47" s="223" t="str">
        <f>$AB$3</f>
        <v xml:space="preserve">  RFA 2023-202SF</v>
      </c>
      <c r="AC47" s="223" t="str">
        <f>$AC$3</f>
        <v xml:space="preserve">  RFA 2023-203SF</v>
      </c>
      <c r="AD47" s="223" t="s">
        <v>277</v>
      </c>
      <c r="AE47" s="223" t="s">
        <v>278</v>
      </c>
      <c r="AF47" s="223" t="str">
        <f>$AF$3</f>
        <v xml:space="preserve">  RFA 2023-205</v>
      </c>
      <c r="AG47" s="223" t="str">
        <f>$AG$3</f>
        <v xml:space="preserve">  RFA 2023-205SF</v>
      </c>
      <c r="AH47" s="303" t="str">
        <f>$AH$3</f>
        <v xml:space="preserve">  RFA 2023-211</v>
      </c>
      <c r="AI47" s="223" t="str">
        <f>$AI$3</f>
        <v xml:space="preserve">  RFA 2023-212</v>
      </c>
      <c r="AJ47" s="223" t="str">
        <f>$AJ$3</f>
        <v xml:space="preserve">  RFA 2023-213</v>
      </c>
      <c r="AK47" s="223" t="str">
        <f>AK$3</f>
        <v xml:space="preserve">  RFA 2023-213SF</v>
      </c>
      <c r="AL47" s="303" t="str">
        <f>$AL$3</f>
        <v xml:space="preserve">  RFA 2023-304</v>
      </c>
      <c r="AM47" s="223" t="str">
        <f>$AM$3</f>
        <v xml:space="preserve">  RFA 2024-102</v>
      </c>
      <c r="AN47" s="223" t="str">
        <f>$AN$3</f>
        <v xml:space="preserve">  RFA 2024-102SF</v>
      </c>
      <c r="AO47" s="223" t="str">
        <f>$AO$3</f>
        <v xml:space="preserve">  RFA 2024-103</v>
      </c>
      <c r="AP47" s="223" t="str">
        <f>$AP$3</f>
        <v xml:space="preserve">  RFA 2024-103SF</v>
      </c>
      <c r="AQ47" s="223" t="str">
        <f>$AQ$3</f>
        <v xml:space="preserve">  RFA 2024-104</v>
      </c>
      <c r="AR47" s="223" t="str">
        <f>$AR$3</f>
        <v xml:space="preserve">  RFA 2024-104SF</v>
      </c>
      <c r="AS47" s="223" t="str">
        <f>$AS$3</f>
        <v xml:space="preserve">  RFA 2024-105</v>
      </c>
      <c r="AT47" s="223" t="str">
        <f t="shared" ref="AT47:BC47" si="20">AT3</f>
        <v xml:space="preserve">  RFA 2024-106</v>
      </c>
      <c r="AU47" s="223" t="str">
        <f t="shared" si="20"/>
        <v xml:space="preserve">  RFA 2024-106SF</v>
      </c>
      <c r="AV47" s="223" t="str">
        <f t="shared" si="20"/>
        <v xml:space="preserve">  RFA 2024-201</v>
      </c>
      <c r="AW47" s="223" t="str">
        <f t="shared" si="20"/>
        <v xml:space="preserve">  RFA 2024-202</v>
      </c>
      <c r="AX47" s="223" t="str">
        <f t="shared" si="20"/>
        <v xml:space="preserve">  RFA 2024-202SF</v>
      </c>
      <c r="AY47" s="223" t="str">
        <f t="shared" si="20"/>
        <v xml:space="preserve">  RFA 2024-203</v>
      </c>
      <c r="AZ47" s="223" t="str">
        <f t="shared" si="20"/>
        <v xml:space="preserve">  RFA 2024-204</v>
      </c>
      <c r="BA47" s="223" t="str">
        <f t="shared" si="20"/>
        <v xml:space="preserve">  RFA 2024-204SF</v>
      </c>
      <c r="BB47" s="223" t="str">
        <f t="shared" si="20"/>
        <v xml:space="preserve">  RFA 2024-205</v>
      </c>
      <c r="BC47" s="223" t="str">
        <f t="shared" si="20"/>
        <v xml:space="preserve">  RFA 2024-205SF</v>
      </c>
      <c r="BD47" s="223" t="str">
        <f>$BD$3</f>
        <v xml:space="preserve">  RFA 2024-206</v>
      </c>
      <c r="BE47" s="223" t="str">
        <f t="shared" ref="BE47:CC47" si="21">BE3</f>
        <v xml:space="preserve">  RFA 2024-206SF</v>
      </c>
      <c r="BF47" s="223" t="str">
        <f>$BF$3</f>
        <v xml:space="preserve">  RFA 2024-213</v>
      </c>
      <c r="BG47" s="223" t="str">
        <f>$BG$3</f>
        <v xml:space="preserve">  RFA 2024-213SF</v>
      </c>
      <c r="BH47" s="223" t="str">
        <f t="shared" si="21"/>
        <v xml:space="preserve">  RFA 2024-214</v>
      </c>
      <c r="BI47" s="223" t="str">
        <f t="shared" si="21"/>
        <v xml:space="preserve">  RFA 2024-214SF</v>
      </c>
      <c r="BJ47" s="223" t="str">
        <f t="shared" si="21"/>
        <v xml:space="preserve">  RFA 2024-215</v>
      </c>
      <c r="BK47" s="223" t="str">
        <f t="shared" si="21"/>
        <v xml:space="preserve">  RFA 2024-215SF</v>
      </c>
      <c r="BL47" s="223" t="str">
        <f t="shared" si="21"/>
        <v xml:space="preserve">  RFA 2024-216</v>
      </c>
      <c r="BM47" s="223" t="str">
        <f t="shared" si="21"/>
        <v xml:space="preserve">  RFA 2024-216SF</v>
      </c>
      <c r="BN47" s="223" t="str">
        <f t="shared" si="21"/>
        <v xml:space="preserve">  RFA 2024-305</v>
      </c>
      <c r="BO47" s="223" t="str">
        <f t="shared" si="21"/>
        <v xml:space="preserve">  RFA 2024-305SF</v>
      </c>
      <c r="BP47" s="223" t="str">
        <f t="shared" si="21"/>
        <v xml:space="preserve">  RFA 2024-306</v>
      </c>
      <c r="BQ47" s="223" t="str">
        <f t="shared" ref="BQ47:BW47" si="22">BQ3</f>
        <v xml:space="preserve">  RFA 2024-306SF</v>
      </c>
      <c r="BR47" s="223" t="str">
        <f t="shared" si="21"/>
        <v xml:space="preserve">  RFA 2025-102</v>
      </c>
      <c r="BS47" s="223" t="str">
        <f t="shared" si="22"/>
        <v xml:space="preserve">  RFA 2025-102SF</v>
      </c>
      <c r="BT47" s="223" t="str">
        <f t="shared" si="21"/>
        <v xml:space="preserve">  RFA 2025-103</v>
      </c>
      <c r="BU47" s="223" t="str">
        <f t="shared" si="22"/>
        <v xml:space="preserve">  RFA 2025-103SF</v>
      </c>
      <c r="BV47" s="353" t="str">
        <f t="shared" si="21"/>
        <v xml:space="preserve">  RFA 2025-104</v>
      </c>
      <c r="BW47" s="353" t="str">
        <f t="shared" si="22"/>
        <v xml:space="preserve">  RFA 2025-104SF</v>
      </c>
      <c r="BX47" s="223" t="str">
        <f t="shared" si="21"/>
        <v xml:space="preserve">  RFA 2025-106</v>
      </c>
      <c r="BY47" s="223" t="str">
        <f t="shared" si="21"/>
        <v xml:space="preserve">  RFA 2025-106SF</v>
      </c>
      <c r="BZ47" s="223" t="str">
        <f t="shared" ref="BZ47:CA47" si="23">BZ3</f>
        <v xml:space="preserve">  RFA 2025-206</v>
      </c>
      <c r="CA47" s="223" t="str">
        <f t="shared" si="23"/>
        <v xml:space="preserve">  RFA 2025-206SF</v>
      </c>
      <c r="CB47" s="223" t="str">
        <f t="shared" si="21"/>
        <v xml:space="preserve">  RFA 2025-216</v>
      </c>
      <c r="CC47" s="223" t="str">
        <f t="shared" si="21"/>
        <v xml:space="preserve">  RFA 2025-216SF</v>
      </c>
      <c r="CD47" s="3" t="s">
        <v>2</v>
      </c>
    </row>
    <row r="48" spans="1:87" x14ac:dyDescent="0.25">
      <c r="A48" s="13" t="s">
        <v>51</v>
      </c>
      <c r="B48" t="s">
        <v>2</v>
      </c>
      <c r="C48" s="63" t="s">
        <v>2</v>
      </c>
      <c r="D48" s="19" t="s">
        <v>2</v>
      </c>
      <c r="E48" s="19" t="s">
        <v>2</v>
      </c>
      <c r="F48" s="19" t="s">
        <v>2</v>
      </c>
      <c r="G48" s="19" t="s">
        <v>2</v>
      </c>
      <c r="H48" s="19" t="s">
        <v>2</v>
      </c>
      <c r="I48" s="19" t="s">
        <v>2</v>
      </c>
      <c r="J48" s="19" t="s">
        <v>2</v>
      </c>
      <c r="K48" s="71">
        <v>45706</v>
      </c>
      <c r="L48" s="71">
        <v>45337</v>
      </c>
      <c r="M48" s="311">
        <v>44957</v>
      </c>
      <c r="N48" s="220"/>
      <c r="O48" s="340"/>
      <c r="P48" s="50" t="s">
        <v>2</v>
      </c>
      <c r="Q48" s="50" t="s">
        <v>2</v>
      </c>
      <c r="R48" s="50" t="s">
        <v>2</v>
      </c>
      <c r="S48" s="50" t="s">
        <v>2</v>
      </c>
      <c r="T48" s="50" t="s">
        <v>2</v>
      </c>
      <c r="U48" s="50" t="s">
        <v>2</v>
      </c>
      <c r="V48" s="50" t="s">
        <v>2</v>
      </c>
      <c r="W48" s="50" t="s">
        <v>2</v>
      </c>
      <c r="X48" s="50" t="s">
        <v>2</v>
      </c>
      <c r="Y48" s="50" t="s">
        <v>2</v>
      </c>
      <c r="Z48" s="163">
        <v>0.06</v>
      </c>
      <c r="AA48" s="163">
        <v>0.06</v>
      </c>
      <c r="AB48" s="163">
        <v>0.06</v>
      </c>
      <c r="AC48" s="163">
        <v>0.06</v>
      </c>
      <c r="AD48" s="163">
        <v>0.06</v>
      </c>
      <c r="AE48" s="163">
        <v>0.06</v>
      </c>
      <c r="AF48" s="163">
        <v>0.06</v>
      </c>
      <c r="AG48" s="163">
        <v>0.06</v>
      </c>
      <c r="AH48" s="17" t="s">
        <v>2</v>
      </c>
      <c r="AI48" s="163">
        <v>0.06</v>
      </c>
      <c r="AJ48" s="163">
        <v>0.06</v>
      </c>
      <c r="AK48" s="163">
        <v>0.06</v>
      </c>
      <c r="AL48" s="50" t="s">
        <v>2</v>
      </c>
      <c r="AM48" s="163">
        <v>0.06</v>
      </c>
      <c r="AN48" s="163">
        <v>0.06</v>
      </c>
      <c r="AO48" s="163">
        <v>0.06</v>
      </c>
      <c r="AP48" s="163">
        <v>0.06</v>
      </c>
      <c r="AQ48" s="163">
        <v>0.06</v>
      </c>
      <c r="AR48" s="163">
        <v>0.06</v>
      </c>
      <c r="AS48" s="50" t="s">
        <v>2</v>
      </c>
      <c r="AT48" s="163">
        <v>0.06</v>
      </c>
      <c r="AU48" s="163">
        <v>0.06</v>
      </c>
      <c r="AV48" s="163">
        <v>0.06</v>
      </c>
      <c r="AW48" s="163">
        <v>0.06</v>
      </c>
      <c r="AX48" s="163">
        <v>0.06</v>
      </c>
      <c r="AY48" s="163">
        <v>0.06</v>
      </c>
      <c r="AZ48" s="163">
        <v>0.06</v>
      </c>
      <c r="BA48" s="163">
        <v>0.06</v>
      </c>
      <c r="BB48" s="163">
        <v>0.06</v>
      </c>
      <c r="BC48" s="163">
        <v>0.06</v>
      </c>
      <c r="BD48" s="163">
        <v>0.06</v>
      </c>
      <c r="BE48" s="163">
        <v>0.06</v>
      </c>
      <c r="BF48" s="163">
        <v>0.06</v>
      </c>
      <c r="BG48" s="163">
        <v>0.06</v>
      </c>
      <c r="BH48" s="163">
        <v>0.06</v>
      </c>
      <c r="BI48" s="163">
        <v>0.06</v>
      </c>
      <c r="BJ48" s="163">
        <v>0.06</v>
      </c>
      <c r="BK48" s="163">
        <v>0.06</v>
      </c>
      <c r="BL48" s="163">
        <v>0.06</v>
      </c>
      <c r="BM48" s="163">
        <v>0.06</v>
      </c>
      <c r="BN48" s="163">
        <v>0.06</v>
      </c>
      <c r="BO48" s="163">
        <v>0.06</v>
      </c>
      <c r="BP48" s="163">
        <v>0.06</v>
      </c>
      <c r="BQ48" s="163">
        <v>0.06</v>
      </c>
      <c r="BR48" s="163">
        <v>0.06</v>
      </c>
      <c r="BS48" s="163">
        <v>0.06</v>
      </c>
      <c r="BT48" s="163">
        <v>0.06</v>
      </c>
      <c r="BU48" s="163">
        <v>0.06</v>
      </c>
      <c r="BV48" s="163">
        <v>0.06</v>
      </c>
      <c r="BW48" s="163">
        <v>0.06</v>
      </c>
      <c r="BX48" s="163">
        <v>0.06</v>
      </c>
      <c r="BY48" s="163">
        <v>0.06</v>
      </c>
      <c r="BZ48" s="163">
        <v>0.06</v>
      </c>
      <c r="CA48" s="163">
        <v>0.06</v>
      </c>
      <c r="CB48" s="163">
        <v>0.06</v>
      </c>
      <c r="CC48" s="163">
        <v>0.06</v>
      </c>
    </row>
    <row r="49" spans="1:81" x14ac:dyDescent="0.25">
      <c r="A49" s="13" t="s">
        <v>52</v>
      </c>
      <c r="B49" t="s">
        <v>2</v>
      </c>
      <c r="C49" s="63" t="s">
        <v>2</v>
      </c>
      <c r="D49" s="19" t="s">
        <v>2</v>
      </c>
      <c r="E49" s="19" t="s">
        <v>2</v>
      </c>
      <c r="F49" s="19" t="s">
        <v>2</v>
      </c>
      <c r="G49" s="19" t="s">
        <v>2</v>
      </c>
      <c r="H49" s="19" t="s">
        <v>2</v>
      </c>
      <c r="I49" s="19" t="s">
        <v>2</v>
      </c>
      <c r="J49" s="19" t="s">
        <v>2</v>
      </c>
      <c r="K49" s="71">
        <v>45748</v>
      </c>
      <c r="L49" s="71">
        <v>45482</v>
      </c>
      <c r="M49" s="311">
        <v>45027</v>
      </c>
      <c r="N49" s="220"/>
      <c r="O49" s="340"/>
      <c r="P49" s="50" t="s">
        <v>2</v>
      </c>
      <c r="Q49" s="50" t="s">
        <v>2</v>
      </c>
      <c r="R49" s="50" t="s">
        <v>2</v>
      </c>
      <c r="S49" s="50" t="s">
        <v>2</v>
      </c>
      <c r="T49" s="50" t="s">
        <v>2</v>
      </c>
      <c r="U49" s="50" t="s">
        <v>2</v>
      </c>
      <c r="V49" s="50" t="s">
        <v>2</v>
      </c>
      <c r="W49" s="50" t="s">
        <v>2</v>
      </c>
      <c r="X49" s="50" t="s">
        <v>2</v>
      </c>
      <c r="Y49" s="50" t="s">
        <v>2</v>
      </c>
      <c r="Z49" s="163">
        <v>0.06</v>
      </c>
      <c r="AA49" s="163">
        <v>0.06</v>
      </c>
      <c r="AB49" s="163">
        <v>0.06</v>
      </c>
      <c r="AC49" s="163">
        <v>0.06</v>
      </c>
      <c r="AD49" s="163">
        <v>0.06</v>
      </c>
      <c r="AE49" s="163">
        <v>0.06</v>
      </c>
      <c r="AF49" s="163">
        <v>0.06</v>
      </c>
      <c r="AG49" s="163">
        <v>0.06</v>
      </c>
      <c r="AH49" s="50" t="s">
        <v>2</v>
      </c>
      <c r="AI49" s="163">
        <v>0.06</v>
      </c>
      <c r="AJ49" s="163">
        <v>0.06</v>
      </c>
      <c r="AK49" s="163">
        <v>0.06</v>
      </c>
      <c r="AL49" s="50" t="s">
        <v>2</v>
      </c>
      <c r="AM49" s="163">
        <v>0.06</v>
      </c>
      <c r="AN49" s="163">
        <v>0.06</v>
      </c>
      <c r="AO49" s="163">
        <v>0.06</v>
      </c>
      <c r="AP49" s="163">
        <v>0.06</v>
      </c>
      <c r="AQ49" s="163">
        <v>0.06</v>
      </c>
      <c r="AR49" s="163">
        <v>0.06</v>
      </c>
      <c r="AS49" s="50" t="s">
        <v>2</v>
      </c>
      <c r="AT49" s="163">
        <v>0.06</v>
      </c>
      <c r="AU49" s="163">
        <v>0.06</v>
      </c>
      <c r="AV49" s="163">
        <v>0.06</v>
      </c>
      <c r="AW49" s="163">
        <v>0.06</v>
      </c>
      <c r="AX49" s="163">
        <v>0.06</v>
      </c>
      <c r="AY49" s="163">
        <v>0.06</v>
      </c>
      <c r="AZ49" s="163">
        <v>0.06</v>
      </c>
      <c r="BA49" s="163">
        <v>0.06</v>
      </c>
      <c r="BB49" s="163">
        <v>0.06</v>
      </c>
      <c r="BC49" s="163">
        <v>0.06</v>
      </c>
      <c r="BD49" s="163">
        <v>0.06</v>
      </c>
      <c r="BE49" s="163">
        <v>0.06</v>
      </c>
      <c r="BF49" s="163">
        <v>0.06</v>
      </c>
      <c r="BG49" s="163">
        <v>0.06</v>
      </c>
      <c r="BH49" s="163">
        <v>0.06</v>
      </c>
      <c r="BI49" s="163">
        <v>0.06</v>
      </c>
      <c r="BJ49" s="163">
        <v>0.06</v>
      </c>
      <c r="BK49" s="163">
        <v>0.06</v>
      </c>
      <c r="BL49" s="163">
        <v>0.06</v>
      </c>
      <c r="BM49" s="163">
        <v>0.06</v>
      </c>
      <c r="BN49" s="163">
        <v>0.06</v>
      </c>
      <c r="BO49" s="163">
        <v>0.06</v>
      </c>
      <c r="BP49" s="163">
        <v>0.06</v>
      </c>
      <c r="BQ49" s="163">
        <v>0.06</v>
      </c>
      <c r="BR49" s="163">
        <v>0.06</v>
      </c>
      <c r="BS49" s="163">
        <v>0.06</v>
      </c>
      <c r="BT49" s="163">
        <v>0.06</v>
      </c>
      <c r="BU49" s="163">
        <v>0.06</v>
      </c>
      <c r="BV49" s="163">
        <v>0.06</v>
      </c>
      <c r="BW49" s="163">
        <v>0.06</v>
      </c>
      <c r="BX49" s="163">
        <v>0.06</v>
      </c>
      <c r="BY49" s="163">
        <v>0.06</v>
      </c>
      <c r="BZ49" s="163">
        <v>0.06</v>
      </c>
      <c r="CA49" s="163">
        <v>0.06</v>
      </c>
      <c r="CB49" s="163">
        <v>0.06</v>
      </c>
      <c r="CC49" s="163">
        <v>0.06</v>
      </c>
    </row>
    <row r="50" spans="1:81" x14ac:dyDescent="0.25">
      <c r="A50" s="13" t="s">
        <v>53</v>
      </c>
      <c r="B50" t="s">
        <v>2</v>
      </c>
      <c r="C50" s="63" t="s">
        <v>2</v>
      </c>
      <c r="D50" s="19" t="s">
        <v>2</v>
      </c>
      <c r="E50" s="19" t="s">
        <v>2</v>
      </c>
      <c r="F50" s="19" t="s">
        <v>2</v>
      </c>
      <c r="G50" s="19" t="s">
        <v>2</v>
      </c>
      <c r="H50" s="19" t="s">
        <v>2</v>
      </c>
      <c r="I50" s="19" t="s">
        <v>2</v>
      </c>
      <c r="J50" s="19" t="s">
        <v>2</v>
      </c>
      <c r="K50" s="23" t="s">
        <v>2</v>
      </c>
      <c r="L50" s="71">
        <v>45491</v>
      </c>
      <c r="M50" s="69">
        <v>45181</v>
      </c>
      <c r="N50" s="220"/>
      <c r="O50" s="340"/>
      <c r="P50" s="50" t="s">
        <v>2</v>
      </c>
      <c r="Q50" s="50" t="s">
        <v>2</v>
      </c>
      <c r="R50" s="50" t="s">
        <v>2</v>
      </c>
      <c r="S50" s="50" t="s">
        <v>2</v>
      </c>
      <c r="T50" s="50" t="s">
        <v>2</v>
      </c>
      <c r="U50" s="50" t="s">
        <v>2</v>
      </c>
      <c r="V50" s="50" t="s">
        <v>2</v>
      </c>
      <c r="W50" s="50" t="s">
        <v>2</v>
      </c>
      <c r="X50" s="50" t="s">
        <v>2</v>
      </c>
      <c r="Y50" s="50" t="s">
        <v>2</v>
      </c>
      <c r="Z50" s="163">
        <v>0.06</v>
      </c>
      <c r="AA50" s="163">
        <v>0.06</v>
      </c>
      <c r="AB50" s="163">
        <v>0.06</v>
      </c>
      <c r="AC50" s="163">
        <v>0.06</v>
      </c>
      <c r="AD50" s="163">
        <v>0.06</v>
      </c>
      <c r="AE50" s="163">
        <v>0.06</v>
      </c>
      <c r="AF50" s="163">
        <v>0.06</v>
      </c>
      <c r="AG50" s="163">
        <v>0.06</v>
      </c>
      <c r="AH50" s="50" t="s">
        <v>2</v>
      </c>
      <c r="AI50" s="163">
        <v>0.06</v>
      </c>
      <c r="AJ50" s="163">
        <v>0.06</v>
      </c>
      <c r="AK50" s="163">
        <v>0.06</v>
      </c>
      <c r="AL50" s="50" t="s">
        <v>2</v>
      </c>
      <c r="AM50" s="163">
        <v>0.06</v>
      </c>
      <c r="AN50" s="163">
        <v>0.06</v>
      </c>
      <c r="AO50" s="163">
        <v>0.06</v>
      </c>
      <c r="AP50" s="163">
        <v>0.06</v>
      </c>
      <c r="AQ50" s="163">
        <v>0.06</v>
      </c>
      <c r="AR50" s="163">
        <v>0.06</v>
      </c>
      <c r="AS50" s="50" t="s">
        <v>2</v>
      </c>
      <c r="AT50" s="163">
        <v>0.06</v>
      </c>
      <c r="AU50" s="163">
        <v>0.06</v>
      </c>
      <c r="AV50" s="163">
        <v>0.06</v>
      </c>
      <c r="AW50" s="163">
        <v>0.06</v>
      </c>
      <c r="AX50" s="163">
        <v>0.06</v>
      </c>
      <c r="AY50" s="163">
        <v>0.06</v>
      </c>
      <c r="AZ50" s="163">
        <v>0.06</v>
      </c>
      <c r="BA50" s="163">
        <v>0.06</v>
      </c>
      <c r="BB50" s="163">
        <v>0.06</v>
      </c>
      <c r="BC50" s="163">
        <v>0.06</v>
      </c>
      <c r="BD50" s="163">
        <v>0.06</v>
      </c>
      <c r="BE50" s="163">
        <v>0.06</v>
      </c>
      <c r="BF50" s="163">
        <v>0.06</v>
      </c>
      <c r="BG50" s="163">
        <v>0.06</v>
      </c>
      <c r="BH50" s="163">
        <v>0.06</v>
      </c>
      <c r="BI50" s="163">
        <v>0.06</v>
      </c>
      <c r="BJ50" s="163">
        <v>0.06</v>
      </c>
      <c r="BK50" s="163">
        <v>0.06</v>
      </c>
      <c r="BL50" s="163">
        <v>0.06</v>
      </c>
      <c r="BM50" s="163">
        <v>0.06</v>
      </c>
      <c r="BN50" s="163">
        <v>0.06</v>
      </c>
      <c r="BO50" s="163">
        <v>0.06</v>
      </c>
      <c r="BP50" s="163">
        <v>0.06</v>
      </c>
      <c r="BQ50" s="163">
        <v>0.06</v>
      </c>
      <c r="BR50" s="163">
        <v>0.06</v>
      </c>
      <c r="BS50" s="163">
        <v>0.06</v>
      </c>
      <c r="BT50" s="163">
        <v>0.06</v>
      </c>
      <c r="BU50" s="163">
        <v>0.06</v>
      </c>
      <c r="BV50" s="163">
        <v>0.06</v>
      </c>
      <c r="BW50" s="163">
        <v>0.06</v>
      </c>
      <c r="BX50" s="163">
        <v>0.06</v>
      </c>
      <c r="BY50" s="163">
        <v>0.06</v>
      </c>
      <c r="BZ50" s="50" t="s">
        <v>2</v>
      </c>
      <c r="CA50" s="50" t="s">
        <v>2</v>
      </c>
      <c r="CB50" s="163">
        <v>0.06</v>
      </c>
      <c r="CC50" s="163">
        <v>0.06</v>
      </c>
    </row>
    <row r="51" spans="1:81" x14ac:dyDescent="0.25">
      <c r="A51" s="13" t="s">
        <v>54</v>
      </c>
      <c r="B51" t="s">
        <v>2</v>
      </c>
      <c r="C51" s="63" t="s">
        <v>2</v>
      </c>
      <c r="D51" s="19" t="s">
        <v>2</v>
      </c>
      <c r="E51" s="19" t="s">
        <v>2</v>
      </c>
      <c r="F51" s="19" t="s">
        <v>2</v>
      </c>
      <c r="G51" s="19" t="s">
        <v>2</v>
      </c>
      <c r="H51" s="19" t="s">
        <v>2</v>
      </c>
      <c r="I51" s="19" t="s">
        <v>2</v>
      </c>
      <c r="J51" s="19" t="s">
        <v>2</v>
      </c>
      <c r="K51" s="23" t="s">
        <v>2</v>
      </c>
      <c r="L51" s="71">
        <v>45484</v>
      </c>
      <c r="M51" s="69">
        <v>45182</v>
      </c>
      <c r="N51" s="220"/>
      <c r="O51" s="340"/>
      <c r="P51" s="50" t="s">
        <v>2</v>
      </c>
      <c r="Q51" s="50" t="s">
        <v>2</v>
      </c>
      <c r="R51" s="50" t="s">
        <v>2</v>
      </c>
      <c r="S51" s="50" t="s">
        <v>2</v>
      </c>
      <c r="T51" s="50" t="s">
        <v>2</v>
      </c>
      <c r="U51" s="50" t="s">
        <v>2</v>
      </c>
      <c r="V51" s="50" t="s">
        <v>2</v>
      </c>
      <c r="W51" s="50" t="s">
        <v>2</v>
      </c>
      <c r="X51" s="50" t="s">
        <v>2</v>
      </c>
      <c r="Y51" s="50" t="s">
        <v>2</v>
      </c>
      <c r="Z51" s="163">
        <v>0.06</v>
      </c>
      <c r="AA51" s="163">
        <v>0.06</v>
      </c>
      <c r="AB51" s="163">
        <v>0.06</v>
      </c>
      <c r="AC51" s="163">
        <v>0.06</v>
      </c>
      <c r="AD51" s="163">
        <v>0.06</v>
      </c>
      <c r="AE51" s="163">
        <v>0.06</v>
      </c>
      <c r="AF51" s="163">
        <v>0.06</v>
      </c>
      <c r="AG51" s="163">
        <v>0.06</v>
      </c>
      <c r="AH51" s="50" t="s">
        <v>2</v>
      </c>
      <c r="AI51" s="163">
        <v>0.06</v>
      </c>
      <c r="AJ51" s="163">
        <v>0.06</v>
      </c>
      <c r="AK51" s="163">
        <v>0.06</v>
      </c>
      <c r="AL51" s="50" t="s">
        <v>2</v>
      </c>
      <c r="AM51" s="163">
        <v>0.06</v>
      </c>
      <c r="AN51" s="163">
        <v>0.06</v>
      </c>
      <c r="AO51" s="163">
        <v>0.06</v>
      </c>
      <c r="AP51" s="163">
        <v>0.06</v>
      </c>
      <c r="AQ51" s="163">
        <v>0.06</v>
      </c>
      <c r="AR51" s="163">
        <v>0.06</v>
      </c>
      <c r="AS51" s="50" t="s">
        <v>2</v>
      </c>
      <c r="AT51" s="163">
        <v>0.06</v>
      </c>
      <c r="AU51" s="163">
        <v>0.06</v>
      </c>
      <c r="AV51" s="163">
        <v>0.06</v>
      </c>
      <c r="AW51" s="163">
        <v>0.06</v>
      </c>
      <c r="AX51" s="163">
        <v>0.06</v>
      </c>
      <c r="AY51" s="163">
        <v>0.06</v>
      </c>
      <c r="AZ51" s="163">
        <v>0.06</v>
      </c>
      <c r="BA51" s="163">
        <v>0.06</v>
      </c>
      <c r="BB51" s="163">
        <v>0.06</v>
      </c>
      <c r="BC51" s="163">
        <v>0.06</v>
      </c>
      <c r="BD51" s="163">
        <v>0.06</v>
      </c>
      <c r="BE51" s="163">
        <v>0.06</v>
      </c>
      <c r="BF51" s="163">
        <v>0.06</v>
      </c>
      <c r="BG51" s="163">
        <v>0.06</v>
      </c>
      <c r="BH51" s="163">
        <v>0.06</v>
      </c>
      <c r="BI51" s="163">
        <v>0.06</v>
      </c>
      <c r="BJ51" s="163">
        <v>0.06</v>
      </c>
      <c r="BK51" s="163">
        <v>0.06</v>
      </c>
      <c r="BL51" s="163">
        <v>0.06</v>
      </c>
      <c r="BM51" s="163">
        <v>0.06</v>
      </c>
      <c r="BN51" s="163">
        <v>0.06</v>
      </c>
      <c r="BO51" s="163">
        <v>0.06</v>
      </c>
      <c r="BP51" s="163">
        <v>0.06</v>
      </c>
      <c r="BQ51" s="163">
        <v>0.06</v>
      </c>
      <c r="BR51" s="163">
        <v>0.06</v>
      </c>
      <c r="BS51" s="163">
        <v>0.06</v>
      </c>
      <c r="BT51" s="163">
        <v>0.06</v>
      </c>
      <c r="BU51" s="163">
        <v>0.06</v>
      </c>
      <c r="BV51" s="163">
        <v>0.06</v>
      </c>
      <c r="BW51" s="163">
        <v>0.06</v>
      </c>
      <c r="BX51" s="163">
        <v>0.06</v>
      </c>
      <c r="BY51" s="163">
        <v>0.06</v>
      </c>
      <c r="BZ51" s="50" t="s">
        <v>2</v>
      </c>
      <c r="CA51" s="50" t="s">
        <v>2</v>
      </c>
      <c r="CB51" s="163">
        <v>0.06</v>
      </c>
      <c r="CC51" s="163">
        <v>0.06</v>
      </c>
    </row>
    <row r="52" spans="1:81" x14ac:dyDescent="0.25">
      <c r="A52" s="13" t="s">
        <v>55</v>
      </c>
      <c r="B52" t="s">
        <v>2</v>
      </c>
      <c r="C52" s="63" t="s">
        <v>2</v>
      </c>
      <c r="D52" s="19" t="s">
        <v>2</v>
      </c>
      <c r="E52" s="19" t="s">
        <v>2</v>
      </c>
      <c r="F52" s="19" t="s">
        <v>2</v>
      </c>
      <c r="G52" s="19" t="s">
        <v>2</v>
      </c>
      <c r="H52" s="19" t="s">
        <v>2</v>
      </c>
      <c r="I52" s="19" t="s">
        <v>2</v>
      </c>
      <c r="J52" s="19" t="s">
        <v>2</v>
      </c>
      <c r="K52" s="23" t="s">
        <v>2</v>
      </c>
      <c r="L52" s="71">
        <v>45636</v>
      </c>
      <c r="M52" s="69">
        <v>45183</v>
      </c>
      <c r="N52" s="220"/>
      <c r="O52" s="340"/>
      <c r="P52" s="50" t="s">
        <v>2</v>
      </c>
      <c r="Q52" s="50" t="s">
        <v>2</v>
      </c>
      <c r="R52" s="50" t="s">
        <v>2</v>
      </c>
      <c r="S52" s="50" t="s">
        <v>2</v>
      </c>
      <c r="T52" s="50" t="s">
        <v>2</v>
      </c>
      <c r="U52" s="50" t="s">
        <v>2</v>
      </c>
      <c r="V52" s="50" t="s">
        <v>2</v>
      </c>
      <c r="W52" s="50" t="s">
        <v>2</v>
      </c>
      <c r="X52" s="50" t="s">
        <v>2</v>
      </c>
      <c r="Y52" s="50" t="s">
        <v>2</v>
      </c>
      <c r="Z52" s="163">
        <v>0.06</v>
      </c>
      <c r="AA52" s="163">
        <v>0.06</v>
      </c>
      <c r="AB52" s="163">
        <v>0.06</v>
      </c>
      <c r="AC52" s="163">
        <v>0.06</v>
      </c>
      <c r="AD52" s="163">
        <v>0.06</v>
      </c>
      <c r="AE52" s="163">
        <v>0.06</v>
      </c>
      <c r="AF52" s="163">
        <v>0.06</v>
      </c>
      <c r="AG52" s="163">
        <v>0.06</v>
      </c>
      <c r="AH52" s="50" t="s">
        <v>2</v>
      </c>
      <c r="AI52" s="163">
        <v>0.06</v>
      </c>
      <c r="AJ52" s="163">
        <v>0.06</v>
      </c>
      <c r="AK52" s="163">
        <v>0.06</v>
      </c>
      <c r="AL52" s="50" t="s">
        <v>2</v>
      </c>
      <c r="AM52" s="163">
        <v>0.06</v>
      </c>
      <c r="AN52" s="163">
        <v>0.06</v>
      </c>
      <c r="AO52" s="163">
        <v>0.06</v>
      </c>
      <c r="AP52" s="163">
        <v>0.06</v>
      </c>
      <c r="AQ52" s="163">
        <v>0.06</v>
      </c>
      <c r="AR52" s="163">
        <v>0.06</v>
      </c>
      <c r="AS52" s="50" t="s">
        <v>2</v>
      </c>
      <c r="AT52" s="163">
        <v>0.06</v>
      </c>
      <c r="AU52" s="163">
        <v>0.06</v>
      </c>
      <c r="AV52" s="163">
        <v>0.06</v>
      </c>
      <c r="AW52" s="163">
        <v>0.06</v>
      </c>
      <c r="AX52" s="163">
        <v>0.06</v>
      </c>
      <c r="AY52" s="163">
        <v>0.06</v>
      </c>
      <c r="AZ52" s="163">
        <v>0.06</v>
      </c>
      <c r="BA52" s="163">
        <v>0.06</v>
      </c>
      <c r="BB52" s="163">
        <v>0.06</v>
      </c>
      <c r="BC52" s="163">
        <v>0.06</v>
      </c>
      <c r="BD52" s="163">
        <v>0.06</v>
      </c>
      <c r="BE52" s="163">
        <v>0.06</v>
      </c>
      <c r="BF52" s="163">
        <v>0.06</v>
      </c>
      <c r="BG52" s="163">
        <v>0.06</v>
      </c>
      <c r="BH52" s="163">
        <v>0.06</v>
      </c>
      <c r="BI52" s="163">
        <v>0.06</v>
      </c>
      <c r="BJ52" s="163">
        <v>0.06</v>
      </c>
      <c r="BK52" s="163">
        <v>0.06</v>
      </c>
      <c r="BL52" s="163">
        <v>0.06</v>
      </c>
      <c r="BM52" s="163">
        <v>0.06</v>
      </c>
      <c r="BN52" s="163">
        <v>0.06</v>
      </c>
      <c r="BO52" s="163">
        <v>0.06</v>
      </c>
      <c r="BP52" s="163">
        <v>0.06</v>
      </c>
      <c r="BQ52" s="163">
        <v>0.06</v>
      </c>
      <c r="BR52" s="163">
        <v>0.06</v>
      </c>
      <c r="BS52" s="163">
        <v>0.06</v>
      </c>
      <c r="BT52" s="163">
        <v>0.06</v>
      </c>
      <c r="BU52" s="163">
        <v>0.06</v>
      </c>
      <c r="BV52" s="163">
        <v>0.06</v>
      </c>
      <c r="BW52" s="163">
        <v>0.06</v>
      </c>
      <c r="BX52" s="163">
        <v>0.06</v>
      </c>
      <c r="BY52" s="163">
        <v>0.06</v>
      </c>
      <c r="BZ52" s="50" t="s">
        <v>2</v>
      </c>
      <c r="CA52" s="50" t="s">
        <v>2</v>
      </c>
      <c r="CB52" s="163">
        <v>0.06</v>
      </c>
      <c r="CC52" s="163">
        <v>0.06</v>
      </c>
    </row>
    <row r="53" spans="1:81" x14ac:dyDescent="0.25">
      <c r="A53" s="13" t="s">
        <v>56</v>
      </c>
      <c r="B53" t="s">
        <v>2</v>
      </c>
      <c r="C53" s="63" t="s">
        <v>2</v>
      </c>
      <c r="D53" s="19" t="s">
        <v>2</v>
      </c>
      <c r="E53" s="19" t="s">
        <v>2</v>
      </c>
      <c r="F53" s="19" t="s">
        <v>2</v>
      </c>
      <c r="G53" s="19" t="s">
        <v>2</v>
      </c>
      <c r="H53" s="19" t="s">
        <v>2</v>
      </c>
      <c r="I53" s="19" t="s">
        <v>2</v>
      </c>
      <c r="J53" s="19" t="s">
        <v>2</v>
      </c>
      <c r="K53" s="23" t="s">
        <v>2</v>
      </c>
      <c r="L53" s="71">
        <v>45547</v>
      </c>
      <c r="M53" s="221">
        <v>45274</v>
      </c>
      <c r="N53" s="220"/>
      <c r="O53" s="340"/>
      <c r="P53" s="50"/>
      <c r="Q53" s="50"/>
      <c r="R53" s="50"/>
      <c r="S53" s="50"/>
      <c r="T53" s="50"/>
      <c r="U53" s="50"/>
      <c r="V53" s="50"/>
      <c r="W53" s="50"/>
      <c r="X53" s="50"/>
      <c r="Y53" s="50"/>
      <c r="Z53" s="163">
        <v>0.06</v>
      </c>
      <c r="AA53" s="163">
        <v>0.06</v>
      </c>
      <c r="AB53" s="163">
        <v>0.06</v>
      </c>
      <c r="AC53" s="163">
        <v>0.06</v>
      </c>
      <c r="AD53" s="163">
        <v>0.06</v>
      </c>
      <c r="AE53" s="163">
        <v>0.06</v>
      </c>
      <c r="AF53" s="163">
        <v>0.06</v>
      </c>
      <c r="AG53" s="163">
        <v>0.06</v>
      </c>
      <c r="AH53" s="50" t="s">
        <v>2</v>
      </c>
      <c r="AI53" s="163">
        <v>0.06</v>
      </c>
      <c r="AJ53" s="50" t="s">
        <v>2</v>
      </c>
      <c r="AK53" s="50" t="s">
        <v>2</v>
      </c>
      <c r="AL53" s="50" t="s">
        <v>2</v>
      </c>
      <c r="AM53" s="163">
        <v>0.06</v>
      </c>
      <c r="AN53" s="163">
        <v>0.06</v>
      </c>
      <c r="AO53" s="163">
        <v>0.06</v>
      </c>
      <c r="AP53" s="163">
        <v>0.06</v>
      </c>
      <c r="AQ53" s="163">
        <v>0.06</v>
      </c>
      <c r="AR53" s="163">
        <v>0.06</v>
      </c>
      <c r="AS53" s="50" t="s">
        <v>2</v>
      </c>
      <c r="AT53" s="163">
        <v>0.06</v>
      </c>
      <c r="AU53" s="163">
        <v>0.06</v>
      </c>
      <c r="AV53" s="163">
        <v>0.06</v>
      </c>
      <c r="AW53" s="163">
        <v>0.06</v>
      </c>
      <c r="AX53" s="163">
        <v>0.06</v>
      </c>
      <c r="AY53" s="163">
        <v>0.06</v>
      </c>
      <c r="AZ53" s="163">
        <v>0.06</v>
      </c>
      <c r="BA53" s="163">
        <v>0.06</v>
      </c>
      <c r="BB53" s="163">
        <v>0.06</v>
      </c>
      <c r="BC53" s="163">
        <v>0.06</v>
      </c>
      <c r="BD53" s="50" t="s">
        <v>2</v>
      </c>
      <c r="BE53" s="50" t="s">
        <v>2</v>
      </c>
      <c r="BF53" s="163">
        <v>0.06</v>
      </c>
      <c r="BG53" s="163">
        <v>0.06</v>
      </c>
      <c r="BH53" s="50" t="s">
        <v>2</v>
      </c>
      <c r="BI53" s="50" t="s">
        <v>2</v>
      </c>
      <c r="BJ53" s="50" t="s">
        <v>2</v>
      </c>
      <c r="BK53" s="50" t="s">
        <v>2</v>
      </c>
      <c r="BL53" s="50" t="s">
        <v>2</v>
      </c>
      <c r="BM53" s="50" t="s">
        <v>2</v>
      </c>
      <c r="BN53" s="50" t="s">
        <v>2</v>
      </c>
      <c r="BO53" s="50" t="s">
        <v>2</v>
      </c>
      <c r="BP53" s="50" t="s">
        <v>2</v>
      </c>
      <c r="BQ53" s="50" t="s">
        <v>2</v>
      </c>
      <c r="BR53" s="163">
        <v>0.06</v>
      </c>
      <c r="BS53" s="163">
        <v>0.06</v>
      </c>
      <c r="BT53" s="50" t="s">
        <v>2</v>
      </c>
      <c r="BU53" s="50" t="s">
        <v>2</v>
      </c>
      <c r="BV53" s="163">
        <v>0.06</v>
      </c>
      <c r="BW53" s="163">
        <v>0.06</v>
      </c>
      <c r="BX53" s="50" t="s">
        <v>2</v>
      </c>
      <c r="BY53" s="50" t="s">
        <v>2</v>
      </c>
      <c r="BZ53" s="50" t="s">
        <v>2</v>
      </c>
      <c r="CA53" s="50" t="s">
        <v>2</v>
      </c>
      <c r="CB53" s="50" t="s">
        <v>2</v>
      </c>
      <c r="CC53" s="50" t="s">
        <v>2</v>
      </c>
    </row>
    <row r="54" spans="1:81" x14ac:dyDescent="0.25">
      <c r="A54" s="13" t="s">
        <v>57</v>
      </c>
      <c r="B54" t="s">
        <v>2</v>
      </c>
      <c r="C54" s="63" t="s">
        <v>2</v>
      </c>
      <c r="D54" s="19" t="s">
        <v>2</v>
      </c>
      <c r="E54" s="19" t="s">
        <v>2</v>
      </c>
      <c r="F54" s="19" t="s">
        <v>2</v>
      </c>
      <c r="G54" s="19" t="s">
        <v>2</v>
      </c>
      <c r="H54" s="19" t="s">
        <v>2</v>
      </c>
      <c r="I54" s="19" t="s">
        <v>2</v>
      </c>
      <c r="J54" s="19" t="s">
        <v>2</v>
      </c>
      <c r="K54" s="23" t="s">
        <v>2</v>
      </c>
      <c r="L54" s="71">
        <v>45336</v>
      </c>
      <c r="M54" s="69">
        <v>45141</v>
      </c>
      <c r="N54" s="220"/>
      <c r="O54" s="341"/>
      <c r="P54" s="18" t="s">
        <v>2</v>
      </c>
      <c r="Q54" s="18" t="s">
        <v>2</v>
      </c>
      <c r="R54" s="18" t="s">
        <v>2</v>
      </c>
      <c r="S54" s="18" t="s">
        <v>2</v>
      </c>
      <c r="T54" s="18" t="s">
        <v>2</v>
      </c>
      <c r="U54" s="18" t="s">
        <v>2</v>
      </c>
      <c r="V54" s="18" t="s">
        <v>2</v>
      </c>
      <c r="W54" s="18" t="s">
        <v>2</v>
      </c>
      <c r="X54" s="18" t="s">
        <v>2</v>
      </c>
      <c r="Y54" s="18" t="s">
        <v>2</v>
      </c>
      <c r="Z54" s="164">
        <v>0.06</v>
      </c>
      <c r="AA54" s="164">
        <v>0.06</v>
      </c>
      <c r="AB54" s="164">
        <v>0.06</v>
      </c>
      <c r="AC54" s="164">
        <v>0.06</v>
      </c>
      <c r="AD54" s="164">
        <v>0.06</v>
      </c>
      <c r="AE54" s="164">
        <v>0.06</v>
      </c>
      <c r="AF54" s="164">
        <v>0.06</v>
      </c>
      <c r="AG54" s="164">
        <v>0.06</v>
      </c>
      <c r="AH54" s="18" t="s">
        <v>2</v>
      </c>
      <c r="AI54" s="164">
        <v>0.06</v>
      </c>
      <c r="AJ54" s="18" t="s">
        <v>2</v>
      </c>
      <c r="AK54" s="18" t="s">
        <v>2</v>
      </c>
      <c r="AL54" s="18" t="s">
        <v>2</v>
      </c>
      <c r="AM54" s="164">
        <v>0.06</v>
      </c>
      <c r="AN54" s="164">
        <v>0.06</v>
      </c>
      <c r="AO54" s="164">
        <v>0.06</v>
      </c>
      <c r="AP54" s="164">
        <v>0.06</v>
      </c>
      <c r="AQ54" s="164">
        <v>0.06</v>
      </c>
      <c r="AR54" s="164">
        <v>0.06</v>
      </c>
      <c r="AS54" s="18" t="s">
        <v>2</v>
      </c>
      <c r="AT54" s="164">
        <v>0.06</v>
      </c>
      <c r="AU54" s="164">
        <v>0.06</v>
      </c>
      <c r="AV54" s="164">
        <v>0.06</v>
      </c>
      <c r="AW54" s="164">
        <v>0.06</v>
      </c>
      <c r="AX54" s="164">
        <v>0.06</v>
      </c>
      <c r="AY54" s="164">
        <v>0.06</v>
      </c>
      <c r="AZ54" s="164">
        <v>0.06</v>
      </c>
      <c r="BA54" s="164">
        <v>0.06</v>
      </c>
      <c r="BB54" s="164">
        <v>0.06</v>
      </c>
      <c r="BC54" s="164">
        <v>0.06</v>
      </c>
      <c r="BD54" s="18" t="s">
        <v>2</v>
      </c>
      <c r="BE54" s="18" t="s">
        <v>2</v>
      </c>
      <c r="BF54" s="164">
        <v>0.06</v>
      </c>
      <c r="BG54" s="164">
        <v>0.06</v>
      </c>
      <c r="BH54" s="18" t="s">
        <v>2</v>
      </c>
      <c r="BI54" s="18" t="s">
        <v>2</v>
      </c>
      <c r="BJ54" s="18" t="s">
        <v>2</v>
      </c>
      <c r="BK54" s="18" t="s">
        <v>2</v>
      </c>
      <c r="BL54" s="18" t="s">
        <v>2</v>
      </c>
      <c r="BM54" s="18" t="s">
        <v>2</v>
      </c>
      <c r="BN54" s="18" t="s">
        <v>2</v>
      </c>
      <c r="BO54" s="18" t="s">
        <v>2</v>
      </c>
      <c r="BP54" s="18" t="s">
        <v>2</v>
      </c>
      <c r="BQ54" s="18" t="s">
        <v>2</v>
      </c>
      <c r="BR54" s="164">
        <v>0.06</v>
      </c>
      <c r="BS54" s="164">
        <v>0.06</v>
      </c>
      <c r="BT54" s="18" t="s">
        <v>2</v>
      </c>
      <c r="BU54" s="18" t="s">
        <v>2</v>
      </c>
      <c r="BV54" s="164">
        <v>0.06</v>
      </c>
      <c r="BW54" s="164">
        <v>0.06</v>
      </c>
      <c r="BX54" s="18" t="s">
        <v>2</v>
      </c>
      <c r="BY54" s="18" t="s">
        <v>2</v>
      </c>
      <c r="BZ54" s="18" t="s">
        <v>2</v>
      </c>
      <c r="CA54" s="18" t="s">
        <v>2</v>
      </c>
      <c r="CB54" s="18" t="s">
        <v>2</v>
      </c>
      <c r="CC54" s="18" t="s">
        <v>2</v>
      </c>
    </row>
    <row r="55" spans="1:81" x14ac:dyDescent="0.25">
      <c r="A55" s="13" t="s">
        <v>58</v>
      </c>
      <c r="B55" t="s">
        <v>2</v>
      </c>
      <c r="C55" s="63" t="s">
        <v>2</v>
      </c>
      <c r="D55" s="19" t="s">
        <v>2</v>
      </c>
      <c r="E55" s="19" t="s">
        <v>2</v>
      </c>
      <c r="F55" s="19" t="s">
        <v>2</v>
      </c>
      <c r="G55" s="19" t="s">
        <v>2</v>
      </c>
      <c r="H55" s="19" t="s">
        <v>2</v>
      </c>
      <c r="I55" s="19" t="s">
        <v>2</v>
      </c>
      <c r="J55" s="19" t="s">
        <v>2</v>
      </c>
      <c r="K55" s="23" t="s">
        <v>2</v>
      </c>
      <c r="L55" s="71">
        <v>45646</v>
      </c>
      <c r="M55" s="311">
        <v>45063</v>
      </c>
      <c r="N55" s="220"/>
    </row>
    <row r="56" spans="1:81" x14ac:dyDescent="0.25">
      <c r="A56" s="13" t="s">
        <v>59</v>
      </c>
      <c r="B56" t="s">
        <v>2</v>
      </c>
      <c r="C56" s="63" t="s">
        <v>2</v>
      </c>
      <c r="D56" s="19" t="s">
        <v>2</v>
      </c>
      <c r="E56" s="19" t="s">
        <v>2</v>
      </c>
      <c r="F56" s="19" t="s">
        <v>2</v>
      </c>
      <c r="G56" s="19" t="s">
        <v>2</v>
      </c>
      <c r="H56" s="19" t="s">
        <v>2</v>
      </c>
      <c r="I56" s="19" t="s">
        <v>2</v>
      </c>
      <c r="J56" s="19" t="s">
        <v>2</v>
      </c>
      <c r="K56" s="23" t="s">
        <v>2</v>
      </c>
      <c r="L56" s="71">
        <v>45489</v>
      </c>
      <c r="M56" s="69">
        <v>45146</v>
      </c>
      <c r="N56" s="220"/>
    </row>
    <row r="57" spans="1:81" ht="15" customHeight="1" x14ac:dyDescent="0.25">
      <c r="A57" s="13" t="s">
        <v>60</v>
      </c>
      <c r="B57" t="s">
        <v>2</v>
      </c>
      <c r="C57" s="63" t="s">
        <v>2</v>
      </c>
      <c r="D57" s="19" t="s">
        <v>2</v>
      </c>
      <c r="E57" s="19" t="s">
        <v>2</v>
      </c>
      <c r="F57" s="19" t="s">
        <v>2</v>
      </c>
      <c r="G57" s="19" t="s">
        <v>2</v>
      </c>
      <c r="H57" s="19" t="s">
        <v>2</v>
      </c>
      <c r="I57" s="19" t="s">
        <v>2</v>
      </c>
      <c r="J57" s="19" t="s">
        <v>2</v>
      </c>
      <c r="K57" s="23" t="s">
        <v>2</v>
      </c>
      <c r="L57" s="71">
        <v>45539</v>
      </c>
      <c r="M57" s="221">
        <v>45280</v>
      </c>
      <c r="N57" s="220"/>
    </row>
    <row r="58" spans="1:81" x14ac:dyDescent="0.25">
      <c r="A58" s="13" t="s">
        <v>61</v>
      </c>
      <c r="B58" t="s">
        <v>2</v>
      </c>
      <c r="C58" s="63" t="s">
        <v>2</v>
      </c>
      <c r="D58" s="19" t="s">
        <v>2</v>
      </c>
      <c r="E58" s="19" t="s">
        <v>2</v>
      </c>
      <c r="F58" s="19" t="s">
        <v>2</v>
      </c>
      <c r="G58" s="19" t="s">
        <v>2</v>
      </c>
      <c r="H58" s="19" t="s">
        <v>2</v>
      </c>
      <c r="I58" s="19" t="s">
        <v>2</v>
      </c>
      <c r="J58" s="19" t="s">
        <v>2</v>
      </c>
      <c r="K58" s="23" t="s">
        <v>2</v>
      </c>
      <c r="L58" s="71">
        <v>45504</v>
      </c>
      <c r="M58" s="311">
        <v>45049</v>
      </c>
      <c r="N58" s="220"/>
    </row>
    <row r="59" spans="1:81" x14ac:dyDescent="0.25">
      <c r="A59" s="13" t="s">
        <v>62</v>
      </c>
      <c r="B59" t="s">
        <v>2</v>
      </c>
      <c r="C59" s="63" t="s">
        <v>2</v>
      </c>
      <c r="D59" s="19" t="s">
        <v>2</v>
      </c>
      <c r="E59" s="19" t="s">
        <v>2</v>
      </c>
      <c r="F59" s="19" t="s">
        <v>2</v>
      </c>
      <c r="G59" s="19" t="s">
        <v>2</v>
      </c>
      <c r="H59" s="19" t="s">
        <v>2</v>
      </c>
      <c r="I59" s="19" t="s">
        <v>2</v>
      </c>
      <c r="J59" s="19" t="s">
        <v>2</v>
      </c>
      <c r="K59" s="23" t="s">
        <v>2</v>
      </c>
      <c r="L59" s="71">
        <v>45433</v>
      </c>
      <c r="M59" s="219" t="s">
        <v>2</v>
      </c>
      <c r="N59" s="3"/>
    </row>
    <row r="60" spans="1:81" x14ac:dyDescent="0.25">
      <c r="A60" s="13" t="s">
        <v>63</v>
      </c>
      <c r="B60" t="s">
        <v>2</v>
      </c>
      <c r="C60" s="63" t="s">
        <v>2</v>
      </c>
      <c r="D60" s="19" t="s">
        <v>2</v>
      </c>
      <c r="E60" s="19" t="s">
        <v>2</v>
      </c>
      <c r="F60" s="19" t="s">
        <v>2</v>
      </c>
      <c r="G60" s="19" t="s">
        <v>2</v>
      </c>
      <c r="H60" s="19" t="s">
        <v>2</v>
      </c>
      <c r="I60" s="19" t="s">
        <v>2</v>
      </c>
      <c r="J60" s="19" t="s">
        <v>2</v>
      </c>
      <c r="K60" s="23" t="s">
        <v>2</v>
      </c>
      <c r="L60" s="71">
        <v>45540</v>
      </c>
      <c r="M60" s="219" t="s">
        <v>2</v>
      </c>
      <c r="N60" s="3"/>
    </row>
    <row r="61" spans="1:81" x14ac:dyDescent="0.25">
      <c r="A61" s="13" t="s">
        <v>64</v>
      </c>
      <c r="B61" t="s">
        <v>2</v>
      </c>
      <c r="C61" s="64" t="s">
        <v>2</v>
      </c>
      <c r="D61" s="20" t="s">
        <v>2</v>
      </c>
      <c r="E61" s="20" t="s">
        <v>2</v>
      </c>
      <c r="F61" s="20" t="s">
        <v>2</v>
      </c>
      <c r="G61" s="20" t="s">
        <v>2</v>
      </c>
      <c r="H61" s="20" t="s">
        <v>2</v>
      </c>
      <c r="I61" s="20" t="s">
        <v>2</v>
      </c>
      <c r="J61" s="20" t="s">
        <v>2</v>
      </c>
      <c r="K61" s="25" t="s">
        <v>2</v>
      </c>
      <c r="L61" s="20" t="s">
        <v>2</v>
      </c>
      <c r="M61" s="26" t="s">
        <v>2</v>
      </c>
      <c r="N61" s="3"/>
    </row>
    <row r="62" spans="1:81" x14ac:dyDescent="0.25">
      <c r="A62" s="13" t="s">
        <v>65</v>
      </c>
      <c r="B62" t="s">
        <v>2</v>
      </c>
      <c r="N62" s="3"/>
    </row>
    <row r="63" spans="1:81" x14ac:dyDescent="0.25">
      <c r="A63" s="13" t="s">
        <v>66</v>
      </c>
      <c r="B63" t="s">
        <v>2</v>
      </c>
      <c r="C63" s="333" t="s">
        <v>101</v>
      </c>
      <c r="D63" s="334"/>
      <c r="E63" s="334"/>
      <c r="F63" s="334"/>
      <c r="G63" s="334"/>
      <c r="H63" s="334"/>
      <c r="I63" s="334"/>
      <c r="J63" s="334"/>
      <c r="K63" s="334"/>
      <c r="L63" s="334"/>
      <c r="M63" s="335"/>
      <c r="N63" s="3"/>
    </row>
    <row r="64" spans="1:81" x14ac:dyDescent="0.25">
      <c r="A64" s="13" t="s">
        <v>67</v>
      </c>
      <c r="B64" t="s">
        <v>2</v>
      </c>
      <c r="C64" s="67" t="s">
        <v>2</v>
      </c>
      <c r="D64" s="65" t="s">
        <v>2</v>
      </c>
      <c r="E64" s="65" t="s">
        <v>2</v>
      </c>
      <c r="F64" s="65" t="s">
        <v>2</v>
      </c>
      <c r="G64" s="65" t="s">
        <v>2</v>
      </c>
      <c r="H64" s="65" t="s">
        <v>2</v>
      </c>
      <c r="I64" s="65" t="s">
        <v>2</v>
      </c>
      <c r="J64" s="65" t="s">
        <v>2</v>
      </c>
      <c r="K64" s="313" t="s">
        <v>167</v>
      </c>
      <c r="L64" s="313" t="s">
        <v>167</v>
      </c>
      <c r="M64" s="312" t="s">
        <v>167</v>
      </c>
      <c r="N64" s="220"/>
    </row>
    <row r="65" spans="1:82" x14ac:dyDescent="0.25">
      <c r="A65" s="13" t="s">
        <v>68</v>
      </c>
      <c r="B65" t="s">
        <v>2</v>
      </c>
      <c r="C65" s="67" t="s">
        <v>2</v>
      </c>
      <c r="D65" s="65" t="s">
        <v>2</v>
      </c>
      <c r="E65" s="65" t="s">
        <v>2</v>
      </c>
      <c r="F65" s="65" t="s">
        <v>2</v>
      </c>
      <c r="G65" s="65" t="s">
        <v>2</v>
      </c>
      <c r="H65" s="65" t="s">
        <v>2</v>
      </c>
      <c r="I65" s="65" t="s">
        <v>2</v>
      </c>
      <c r="J65" s="65" t="s">
        <v>2</v>
      </c>
      <c r="K65" s="313" t="s">
        <v>108</v>
      </c>
      <c r="L65" s="313" t="s">
        <v>108</v>
      </c>
      <c r="M65" s="312" t="s">
        <v>108</v>
      </c>
      <c r="N65" s="220"/>
    </row>
    <row r="66" spans="1:82" x14ac:dyDescent="0.25">
      <c r="A66" s="13" t="s">
        <v>69</v>
      </c>
      <c r="B66" t="s">
        <v>2</v>
      </c>
      <c r="C66" s="67" t="s">
        <v>2</v>
      </c>
      <c r="D66" s="65" t="s">
        <v>2</v>
      </c>
      <c r="E66" s="65" t="s">
        <v>2</v>
      </c>
      <c r="F66" s="65" t="s">
        <v>2</v>
      </c>
      <c r="G66" s="65" t="s">
        <v>2</v>
      </c>
      <c r="H66" s="65" t="s">
        <v>2</v>
      </c>
      <c r="I66" s="65" t="s">
        <v>2</v>
      </c>
      <c r="J66" s="65" t="s">
        <v>2</v>
      </c>
      <c r="K66" s="313" t="s">
        <v>328</v>
      </c>
      <c r="L66" s="313" t="s">
        <v>328</v>
      </c>
      <c r="M66" s="312" t="s">
        <v>168</v>
      </c>
      <c r="N66" s="220"/>
    </row>
    <row r="67" spans="1:82" ht="15" customHeight="1" x14ac:dyDescent="0.25">
      <c r="A67" s="13" t="s">
        <v>70</v>
      </c>
      <c r="B67" t="s">
        <v>2</v>
      </c>
      <c r="C67" s="67" t="s">
        <v>2</v>
      </c>
      <c r="D67" s="65" t="s">
        <v>2</v>
      </c>
      <c r="E67" s="65" t="s">
        <v>2</v>
      </c>
      <c r="F67" s="65" t="s">
        <v>2</v>
      </c>
      <c r="G67" s="65" t="s">
        <v>2</v>
      </c>
      <c r="H67" s="65" t="s">
        <v>2</v>
      </c>
      <c r="I67" s="65" t="s">
        <v>2</v>
      </c>
      <c r="J67" s="65" t="s">
        <v>2</v>
      </c>
      <c r="K67" s="313" t="s">
        <v>379</v>
      </c>
      <c r="L67" s="313" t="s">
        <v>329</v>
      </c>
      <c r="M67" s="312" t="s">
        <v>106</v>
      </c>
      <c r="N67" s="220"/>
    </row>
    <row r="68" spans="1:82" x14ac:dyDescent="0.25">
      <c r="A68" s="13" t="s">
        <v>71</v>
      </c>
      <c r="B68" t="s">
        <v>2</v>
      </c>
      <c r="C68" s="67" t="s">
        <v>2</v>
      </c>
      <c r="D68" s="65" t="s">
        <v>2</v>
      </c>
      <c r="E68" s="65" t="s">
        <v>2</v>
      </c>
      <c r="F68" s="65" t="s">
        <v>2</v>
      </c>
      <c r="G68" s="65" t="s">
        <v>2</v>
      </c>
      <c r="H68" s="65" t="s">
        <v>2</v>
      </c>
      <c r="I68" s="65" t="s">
        <v>2</v>
      </c>
      <c r="J68" s="65" t="s">
        <v>2</v>
      </c>
      <c r="K68" s="313" t="s">
        <v>372</v>
      </c>
      <c r="L68" s="313" t="s">
        <v>379</v>
      </c>
      <c r="M68" s="312" t="s">
        <v>107</v>
      </c>
      <c r="N68" s="220"/>
      <c r="CD68" s="29"/>
    </row>
    <row r="69" spans="1:82" x14ac:dyDescent="0.25">
      <c r="A69" s="13" t="s">
        <v>72</v>
      </c>
      <c r="B69" t="s">
        <v>2</v>
      </c>
      <c r="C69" s="67" t="s">
        <v>2</v>
      </c>
      <c r="D69" s="65" t="s">
        <v>2</v>
      </c>
      <c r="E69" s="65" t="s">
        <v>2</v>
      </c>
      <c r="F69" s="65" t="s">
        <v>2</v>
      </c>
      <c r="G69" s="65" t="s">
        <v>2</v>
      </c>
      <c r="H69" s="65" t="s">
        <v>2</v>
      </c>
      <c r="I69" s="65" t="s">
        <v>2</v>
      </c>
      <c r="J69" s="65" t="s">
        <v>2</v>
      </c>
      <c r="K69" s="313" t="s">
        <v>333</v>
      </c>
      <c r="L69" s="313" t="s">
        <v>103</v>
      </c>
      <c r="M69" s="312" t="s">
        <v>170</v>
      </c>
      <c r="N69" s="220"/>
    </row>
    <row r="70" spans="1:82" x14ac:dyDescent="0.25">
      <c r="A70" s="13" t="s">
        <v>73</v>
      </c>
      <c r="B70" t="s">
        <v>2</v>
      </c>
      <c r="C70" s="67" t="s">
        <v>2</v>
      </c>
      <c r="D70" s="65" t="s">
        <v>2</v>
      </c>
      <c r="E70" s="65" t="s">
        <v>2</v>
      </c>
      <c r="F70" s="65" t="s">
        <v>2</v>
      </c>
      <c r="G70" s="65" t="s">
        <v>2</v>
      </c>
      <c r="H70" s="65" t="s">
        <v>2</v>
      </c>
      <c r="I70" s="65" t="s">
        <v>2</v>
      </c>
      <c r="J70" s="65" t="s">
        <v>2</v>
      </c>
      <c r="K70" s="23" t="s">
        <v>2</v>
      </c>
      <c r="L70" s="313" t="s">
        <v>103</v>
      </c>
      <c r="M70" s="302" t="s">
        <v>103</v>
      </c>
      <c r="N70" s="220"/>
    </row>
    <row r="71" spans="1:82" x14ac:dyDescent="0.25">
      <c r="A71" s="13" t="s">
        <v>74</v>
      </c>
      <c r="B71" t="s">
        <v>2</v>
      </c>
      <c r="C71" s="67" t="s">
        <v>2</v>
      </c>
      <c r="D71" s="65" t="s">
        <v>2</v>
      </c>
      <c r="E71" s="65" t="s">
        <v>2</v>
      </c>
      <c r="F71" s="65" t="s">
        <v>2</v>
      </c>
      <c r="G71" s="65" t="s">
        <v>2</v>
      </c>
      <c r="H71" s="65" t="s">
        <v>2</v>
      </c>
      <c r="I71" s="65" t="s">
        <v>2</v>
      </c>
      <c r="J71" s="65" t="s">
        <v>2</v>
      </c>
      <c r="K71" s="23" t="s">
        <v>2</v>
      </c>
      <c r="L71" s="313" t="s">
        <v>104</v>
      </c>
      <c r="M71" s="302" t="s">
        <v>104</v>
      </c>
      <c r="N71" s="220"/>
    </row>
    <row r="72" spans="1:82" x14ac:dyDescent="0.25">
      <c r="A72" s="13" t="s">
        <v>75</v>
      </c>
      <c r="B72" t="s">
        <v>2</v>
      </c>
      <c r="C72" s="67" t="s">
        <v>2</v>
      </c>
      <c r="D72" s="65" t="s">
        <v>2</v>
      </c>
      <c r="E72" s="65" t="s">
        <v>2</v>
      </c>
      <c r="F72" s="65" t="s">
        <v>2</v>
      </c>
      <c r="G72" s="65" t="s">
        <v>2</v>
      </c>
      <c r="H72" s="65" t="s">
        <v>2</v>
      </c>
      <c r="I72" s="65" t="s">
        <v>2</v>
      </c>
      <c r="J72" s="65" t="s">
        <v>2</v>
      </c>
      <c r="K72" s="23" t="s">
        <v>2</v>
      </c>
      <c r="L72" s="313" t="s">
        <v>173</v>
      </c>
      <c r="M72" s="302" t="s">
        <v>105</v>
      </c>
      <c r="N72" s="220"/>
    </row>
    <row r="73" spans="1:82" x14ac:dyDescent="0.25">
      <c r="A73" s="13" t="s">
        <v>76</v>
      </c>
      <c r="B73" t="s">
        <v>2</v>
      </c>
      <c r="C73" s="67" t="s">
        <v>2</v>
      </c>
      <c r="D73" s="65" t="s">
        <v>2</v>
      </c>
      <c r="E73" s="65" t="s">
        <v>2</v>
      </c>
      <c r="F73" s="65" t="s">
        <v>2</v>
      </c>
      <c r="G73" s="65" t="s">
        <v>2</v>
      </c>
      <c r="H73" s="65" t="s">
        <v>2</v>
      </c>
      <c r="I73" s="65" t="s">
        <v>2</v>
      </c>
      <c r="J73" s="65" t="s">
        <v>2</v>
      </c>
      <c r="K73" s="23" t="s">
        <v>2</v>
      </c>
      <c r="L73" s="313" t="s">
        <v>276</v>
      </c>
      <c r="M73" s="302" t="s">
        <v>173</v>
      </c>
      <c r="N73" s="220"/>
    </row>
    <row r="74" spans="1:82" x14ac:dyDescent="0.25">
      <c r="A74" s="13" t="s">
        <v>77</v>
      </c>
      <c r="B74" t="s">
        <v>2</v>
      </c>
      <c r="C74" s="67" t="s">
        <v>2</v>
      </c>
      <c r="D74" s="65" t="s">
        <v>2</v>
      </c>
      <c r="E74" s="65" t="s">
        <v>2</v>
      </c>
      <c r="F74" s="65" t="s">
        <v>2</v>
      </c>
      <c r="G74" s="65" t="s">
        <v>2</v>
      </c>
      <c r="H74" s="65" t="s">
        <v>2</v>
      </c>
      <c r="I74" s="65" t="s">
        <v>2</v>
      </c>
      <c r="J74" s="65" t="s">
        <v>2</v>
      </c>
      <c r="K74" s="23" t="s">
        <v>2</v>
      </c>
      <c r="L74" s="313" t="s">
        <v>330</v>
      </c>
      <c r="M74" s="302" t="s">
        <v>276</v>
      </c>
      <c r="N74" s="220"/>
    </row>
    <row r="75" spans="1:82" x14ac:dyDescent="0.25">
      <c r="A75" s="13" t="s">
        <v>78</v>
      </c>
      <c r="B75" t="s">
        <v>2</v>
      </c>
      <c r="C75" s="67" t="s">
        <v>2</v>
      </c>
      <c r="D75" s="65" t="s">
        <v>2</v>
      </c>
      <c r="E75" s="65" t="s">
        <v>2</v>
      </c>
      <c r="F75" s="65" t="s">
        <v>2</v>
      </c>
      <c r="G75" s="65" t="s">
        <v>2</v>
      </c>
      <c r="H75" s="65" t="s">
        <v>2</v>
      </c>
      <c r="I75" s="65" t="s">
        <v>2</v>
      </c>
      <c r="J75" s="65" t="s">
        <v>2</v>
      </c>
      <c r="K75" s="23" t="s">
        <v>2</v>
      </c>
      <c r="L75" s="313" t="s">
        <v>368</v>
      </c>
      <c r="M75" s="312" t="s">
        <v>176</v>
      </c>
      <c r="N75" s="220"/>
    </row>
    <row r="76" spans="1:82" x14ac:dyDescent="0.25">
      <c r="A76" s="13" t="s">
        <v>79</v>
      </c>
      <c r="B76" t="s">
        <v>2</v>
      </c>
      <c r="C76" s="67" t="s">
        <v>2</v>
      </c>
      <c r="D76" s="65" t="s">
        <v>2</v>
      </c>
      <c r="E76" s="65" t="s">
        <v>2</v>
      </c>
      <c r="F76" s="65" t="s">
        <v>2</v>
      </c>
      <c r="G76" s="65" t="s">
        <v>2</v>
      </c>
      <c r="H76" s="65" t="s">
        <v>2</v>
      </c>
      <c r="I76" s="65" t="s">
        <v>2</v>
      </c>
      <c r="J76" s="65" t="s">
        <v>2</v>
      </c>
      <c r="K76" s="23" t="s">
        <v>2</v>
      </c>
      <c r="L76" s="313" t="s">
        <v>331</v>
      </c>
      <c r="M76" s="302" t="s">
        <v>274</v>
      </c>
      <c r="N76" s="220"/>
    </row>
    <row r="77" spans="1:82" ht="15" customHeight="1" x14ac:dyDescent="0.25">
      <c r="A77" s="13" t="s">
        <v>80</v>
      </c>
      <c r="B77" t="s">
        <v>2</v>
      </c>
      <c r="C77" s="67" t="s">
        <v>2</v>
      </c>
      <c r="D77" s="65" t="s">
        <v>2</v>
      </c>
      <c r="E77" s="65" t="s">
        <v>2</v>
      </c>
      <c r="F77" s="65" t="s">
        <v>2</v>
      </c>
      <c r="G77" s="65" t="s">
        <v>2</v>
      </c>
      <c r="H77" s="65" t="s">
        <v>2</v>
      </c>
      <c r="I77" s="65" t="s">
        <v>2</v>
      </c>
      <c r="J77" s="65" t="s">
        <v>2</v>
      </c>
      <c r="K77" s="23" t="s">
        <v>2</v>
      </c>
      <c r="L77" s="313" t="s">
        <v>332</v>
      </c>
      <c r="M77" s="302" t="s">
        <v>275</v>
      </c>
      <c r="N77" s="220"/>
    </row>
    <row r="78" spans="1:82" x14ac:dyDescent="0.25">
      <c r="A78" s="14" t="s">
        <v>81</v>
      </c>
      <c r="B78" t="s">
        <v>2</v>
      </c>
      <c r="C78" s="67" t="s">
        <v>2</v>
      </c>
      <c r="D78" s="65" t="s">
        <v>2</v>
      </c>
      <c r="E78" s="65" t="s">
        <v>2</v>
      </c>
      <c r="F78" s="65" t="s">
        <v>2</v>
      </c>
      <c r="G78" s="65" t="s">
        <v>2</v>
      </c>
      <c r="H78" s="65" t="s">
        <v>2</v>
      </c>
      <c r="I78" s="65" t="s">
        <v>2</v>
      </c>
      <c r="J78" s="65" t="s">
        <v>2</v>
      </c>
      <c r="K78" s="23" t="s">
        <v>2</v>
      </c>
      <c r="L78" s="313" t="s">
        <v>333</v>
      </c>
      <c r="M78" s="312" t="s">
        <v>172</v>
      </c>
      <c r="N78" s="220"/>
    </row>
    <row r="79" spans="1:82" x14ac:dyDescent="0.25">
      <c r="B79" t="s">
        <v>2</v>
      </c>
      <c r="C79" s="67" t="s">
        <v>2</v>
      </c>
      <c r="D79" s="65" t="s">
        <v>2</v>
      </c>
      <c r="E79" s="65" t="s">
        <v>2</v>
      </c>
      <c r="F79" s="65" t="s">
        <v>2</v>
      </c>
      <c r="G79" s="65" t="s">
        <v>2</v>
      </c>
      <c r="H79" s="65" t="s">
        <v>2</v>
      </c>
      <c r="I79" s="65" t="s">
        <v>2</v>
      </c>
      <c r="J79" s="65" t="s">
        <v>2</v>
      </c>
      <c r="K79" s="23" t="s">
        <v>2</v>
      </c>
      <c r="L79" s="313" t="s">
        <v>334</v>
      </c>
      <c r="M79" s="219" t="s">
        <v>2</v>
      </c>
      <c r="N79" s="3"/>
    </row>
    <row r="80" spans="1:82" x14ac:dyDescent="0.25">
      <c r="A80" s="11" t="s">
        <v>92</v>
      </c>
      <c r="B80" t="s">
        <v>2</v>
      </c>
      <c r="C80" s="67" t="s">
        <v>2</v>
      </c>
      <c r="D80" s="65" t="s">
        <v>2</v>
      </c>
      <c r="E80" s="65" t="s">
        <v>2</v>
      </c>
      <c r="F80" s="65" t="s">
        <v>2</v>
      </c>
      <c r="G80" s="65" t="s">
        <v>2</v>
      </c>
      <c r="H80" s="65" t="s">
        <v>2</v>
      </c>
      <c r="I80" s="65" t="s">
        <v>2</v>
      </c>
      <c r="J80" s="65" t="s">
        <v>2</v>
      </c>
      <c r="K80" s="23" t="s">
        <v>2</v>
      </c>
      <c r="L80" s="71" t="s">
        <v>366</v>
      </c>
      <c r="M80" s="219" t="s">
        <v>2</v>
      </c>
      <c r="N80" s="3"/>
    </row>
    <row r="81" spans="1:86" x14ac:dyDescent="0.25">
      <c r="A81" s="13" t="s">
        <v>82</v>
      </c>
      <c r="B81" t="s">
        <v>2</v>
      </c>
      <c r="C81" s="68" t="s">
        <v>2</v>
      </c>
      <c r="D81" s="66" t="s">
        <v>2</v>
      </c>
      <c r="E81" s="66" t="s">
        <v>2</v>
      </c>
      <c r="F81" s="66" t="s">
        <v>2</v>
      </c>
      <c r="G81" s="66" t="s">
        <v>2</v>
      </c>
      <c r="H81" s="66" t="s">
        <v>2</v>
      </c>
      <c r="I81" s="66" t="s">
        <v>2</v>
      </c>
      <c r="J81" s="66" t="s">
        <v>2</v>
      </c>
      <c r="K81" s="25" t="s">
        <v>2</v>
      </c>
      <c r="L81" s="25" t="s">
        <v>2</v>
      </c>
      <c r="M81" s="26" t="s">
        <v>2</v>
      </c>
      <c r="N81" s="3"/>
    </row>
    <row r="82" spans="1:86" x14ac:dyDescent="0.25">
      <c r="A82" s="14" t="s">
        <v>83</v>
      </c>
      <c r="B82" t="s">
        <v>2</v>
      </c>
      <c r="N82" s="3"/>
    </row>
    <row r="83" spans="1:86" x14ac:dyDescent="0.25">
      <c r="B83" t="s">
        <v>2</v>
      </c>
      <c r="C83" s="336" t="s">
        <v>166</v>
      </c>
      <c r="D83" s="337"/>
      <c r="E83" s="337"/>
      <c r="F83" s="337"/>
      <c r="G83" s="337"/>
      <c r="H83" s="337"/>
      <c r="I83" s="337"/>
      <c r="J83" s="337"/>
      <c r="K83" s="337"/>
      <c r="L83" s="337"/>
      <c r="M83" s="338"/>
      <c r="N83" s="3"/>
    </row>
    <row r="84" spans="1:86" x14ac:dyDescent="0.25">
      <c r="A84" s="57"/>
      <c r="C84" s="63"/>
      <c r="D84" s="19"/>
      <c r="E84" s="19"/>
      <c r="F84" s="19"/>
      <c r="G84" s="19"/>
      <c r="H84" s="19"/>
      <c r="I84" s="19"/>
      <c r="J84" s="19"/>
      <c r="K84" s="71">
        <v>45540</v>
      </c>
      <c r="L84" s="71">
        <v>45267</v>
      </c>
      <c r="M84" s="311">
        <v>44901</v>
      </c>
      <c r="N84" s="220"/>
    </row>
    <row r="85" spans="1:86" x14ac:dyDescent="0.25">
      <c r="C85" s="63"/>
      <c r="D85" s="19"/>
      <c r="E85" s="19"/>
      <c r="F85" s="19"/>
      <c r="G85" s="19"/>
      <c r="H85" s="19"/>
      <c r="I85" s="19"/>
      <c r="J85" s="19"/>
      <c r="K85" s="71">
        <v>45582</v>
      </c>
      <c r="L85" s="71">
        <v>45237</v>
      </c>
      <c r="M85" s="311">
        <v>44866</v>
      </c>
      <c r="N85" s="220"/>
    </row>
    <row r="86" spans="1:86" x14ac:dyDescent="0.25">
      <c r="C86" s="63"/>
      <c r="D86" s="19"/>
      <c r="E86" s="19"/>
      <c r="F86" s="19"/>
      <c r="G86" s="19"/>
      <c r="H86" s="19"/>
      <c r="I86" s="19"/>
      <c r="J86" s="19"/>
      <c r="K86" s="71">
        <v>45764</v>
      </c>
      <c r="L86" s="71">
        <v>45400</v>
      </c>
      <c r="M86" s="311">
        <v>44979</v>
      </c>
      <c r="N86" s="220"/>
    </row>
    <row r="87" spans="1:86" ht="15" customHeight="1" x14ac:dyDescent="0.25">
      <c r="C87" s="63"/>
      <c r="D87" s="19"/>
      <c r="E87" s="19"/>
      <c r="F87" s="19"/>
      <c r="G87" s="19"/>
      <c r="H87" s="19"/>
      <c r="I87" s="19"/>
      <c r="J87" s="19"/>
      <c r="K87" s="71">
        <v>45582</v>
      </c>
      <c r="L87" s="71">
        <v>45406</v>
      </c>
      <c r="M87" s="311">
        <v>45006</v>
      </c>
      <c r="N87" s="220"/>
    </row>
    <row r="88" spans="1:86" x14ac:dyDescent="0.25">
      <c r="C88" s="63"/>
      <c r="D88" s="19"/>
      <c r="E88" s="19"/>
      <c r="F88" s="19"/>
      <c r="G88" s="19"/>
      <c r="H88" s="19"/>
      <c r="I88" s="19"/>
      <c r="J88" s="19"/>
      <c r="K88" s="71">
        <v>45678</v>
      </c>
      <c r="L88" s="71">
        <v>45239</v>
      </c>
      <c r="M88" s="311">
        <v>44868</v>
      </c>
      <c r="N88" s="220"/>
    </row>
    <row r="89" spans="1:86" x14ac:dyDescent="0.25">
      <c r="C89" s="63"/>
      <c r="D89" s="19"/>
      <c r="E89" s="19"/>
      <c r="F89" s="19"/>
      <c r="G89" s="19"/>
      <c r="H89" s="19"/>
      <c r="I89" s="19"/>
      <c r="J89" s="19"/>
      <c r="K89" s="71">
        <v>45723</v>
      </c>
      <c r="L89" s="71">
        <v>45461</v>
      </c>
      <c r="M89" s="311">
        <v>45027</v>
      </c>
      <c r="N89" s="220"/>
    </row>
    <row r="90" spans="1:86" x14ac:dyDescent="0.25">
      <c r="B90" t="s">
        <v>2</v>
      </c>
      <c r="C90" s="63"/>
      <c r="D90" s="19"/>
      <c r="E90" s="19"/>
      <c r="F90" s="19"/>
      <c r="G90" s="19"/>
      <c r="H90" s="19"/>
      <c r="I90" s="19"/>
      <c r="J90" s="19"/>
      <c r="K90" s="23" t="s">
        <v>2</v>
      </c>
      <c r="L90" s="71">
        <v>45461</v>
      </c>
      <c r="M90" s="69">
        <v>45114</v>
      </c>
      <c r="N90" s="220"/>
    </row>
    <row r="91" spans="1:86" x14ac:dyDescent="0.25">
      <c r="C91" s="63"/>
      <c r="D91" s="19"/>
      <c r="E91" s="19"/>
      <c r="F91" s="19"/>
      <c r="G91" s="19"/>
      <c r="H91" s="19"/>
      <c r="I91" s="19"/>
      <c r="J91" s="19"/>
      <c r="K91" s="23" t="s">
        <v>2</v>
      </c>
      <c r="L91" s="71">
        <v>45461</v>
      </c>
      <c r="M91" s="69">
        <v>45114</v>
      </c>
      <c r="N91" s="220"/>
    </row>
    <row r="92" spans="1:86" x14ac:dyDescent="0.25">
      <c r="C92" s="63"/>
      <c r="D92" s="19"/>
      <c r="E92" s="19"/>
      <c r="F92" s="19"/>
      <c r="G92" s="19"/>
      <c r="H92" s="19"/>
      <c r="I92" s="19"/>
      <c r="J92" s="19"/>
      <c r="K92" s="23" t="s">
        <v>2</v>
      </c>
      <c r="L92" s="71">
        <v>45610</v>
      </c>
      <c r="M92" s="69">
        <v>45114</v>
      </c>
      <c r="N92" s="220"/>
    </row>
    <row r="93" spans="1:86" x14ac:dyDescent="0.25">
      <c r="C93" s="63"/>
      <c r="D93" s="19"/>
      <c r="E93" s="19"/>
      <c r="F93" s="19"/>
      <c r="G93" s="19"/>
      <c r="H93" s="19"/>
      <c r="I93" s="19"/>
      <c r="J93" s="19"/>
      <c r="K93" s="23" t="s">
        <v>2</v>
      </c>
      <c r="L93" s="71">
        <v>45524</v>
      </c>
      <c r="M93" s="221">
        <v>45251</v>
      </c>
      <c r="N93" s="220"/>
    </row>
    <row r="94" spans="1:86" x14ac:dyDescent="0.25">
      <c r="C94" s="63"/>
      <c r="D94" s="19"/>
      <c r="E94" s="19"/>
      <c r="F94" s="19"/>
      <c r="G94" s="19"/>
      <c r="H94" s="19"/>
      <c r="I94" s="19"/>
      <c r="J94" s="19"/>
      <c r="K94" s="23" t="s">
        <v>2</v>
      </c>
      <c r="L94" s="71">
        <v>45314</v>
      </c>
      <c r="M94" s="69">
        <v>45112</v>
      </c>
      <c r="N94" s="220"/>
      <c r="CH94" s="29"/>
    </row>
    <row r="95" spans="1:86" x14ac:dyDescent="0.25">
      <c r="C95" s="63"/>
      <c r="D95" s="19"/>
      <c r="E95" s="19"/>
      <c r="F95" s="19"/>
      <c r="G95" s="19"/>
      <c r="H95" s="19"/>
      <c r="I95" s="19"/>
      <c r="J95" s="19"/>
      <c r="K95" s="23" t="s">
        <v>2</v>
      </c>
      <c r="L95" s="71">
        <v>45616</v>
      </c>
      <c r="M95" s="311">
        <v>45047</v>
      </c>
      <c r="N95" s="220"/>
    </row>
    <row r="96" spans="1:86" x14ac:dyDescent="0.25">
      <c r="C96" s="63"/>
      <c r="D96" s="19"/>
      <c r="E96" s="19"/>
      <c r="F96" s="19"/>
      <c r="G96" s="19"/>
      <c r="H96" s="19"/>
      <c r="I96" s="19"/>
      <c r="J96" s="19"/>
      <c r="K96" s="23" t="s">
        <v>2</v>
      </c>
      <c r="L96" s="71">
        <v>45412</v>
      </c>
      <c r="M96" s="69">
        <v>45126</v>
      </c>
      <c r="N96" s="220"/>
    </row>
    <row r="97" spans="3:14" ht="15" customHeight="1" x14ac:dyDescent="0.25">
      <c r="C97" s="63"/>
      <c r="D97" s="19"/>
      <c r="E97" s="19"/>
      <c r="F97" s="19"/>
      <c r="G97" s="19"/>
      <c r="H97" s="19"/>
      <c r="I97" s="19"/>
      <c r="J97" s="19"/>
      <c r="K97" s="23" t="s">
        <v>2</v>
      </c>
      <c r="L97" s="71">
        <v>45504</v>
      </c>
      <c r="M97" s="69">
        <v>45250</v>
      </c>
      <c r="N97" s="220"/>
    </row>
    <row r="98" spans="3:14" x14ac:dyDescent="0.25">
      <c r="C98" s="63"/>
      <c r="D98" s="19"/>
      <c r="E98" s="19"/>
      <c r="F98" s="19"/>
      <c r="G98" s="19"/>
      <c r="H98" s="19"/>
      <c r="I98" s="19"/>
      <c r="J98" s="19"/>
      <c r="K98" s="23" t="s">
        <v>2</v>
      </c>
      <c r="L98" s="71">
        <v>45488</v>
      </c>
      <c r="M98" s="311">
        <v>45028</v>
      </c>
      <c r="N98" s="220"/>
    </row>
    <row r="99" spans="3:14" x14ac:dyDescent="0.25">
      <c r="C99" s="63"/>
      <c r="D99" s="19"/>
      <c r="E99" s="19"/>
      <c r="F99" s="19"/>
      <c r="G99" s="19"/>
      <c r="H99" s="19"/>
      <c r="I99" s="19"/>
      <c r="J99" s="19"/>
      <c r="K99" s="23" t="s">
        <v>2</v>
      </c>
      <c r="L99" s="71">
        <v>45406</v>
      </c>
      <c r="M99" s="219" t="s">
        <v>2</v>
      </c>
      <c r="N99" s="3"/>
    </row>
    <row r="100" spans="3:14" x14ac:dyDescent="0.25">
      <c r="C100" s="63"/>
      <c r="D100" s="19"/>
      <c r="E100" s="19"/>
      <c r="F100" s="19"/>
      <c r="G100" s="19"/>
      <c r="H100" s="19"/>
      <c r="I100" s="19"/>
      <c r="J100" s="19"/>
      <c r="K100" s="23" t="s">
        <v>2</v>
      </c>
      <c r="L100" s="71">
        <v>45505</v>
      </c>
      <c r="M100" s="219" t="s">
        <v>2</v>
      </c>
      <c r="N100" s="3"/>
    </row>
    <row r="101" spans="3:14" x14ac:dyDescent="0.25">
      <c r="C101" s="64"/>
      <c r="D101" s="20"/>
      <c r="E101" s="20"/>
      <c r="F101" s="20"/>
      <c r="G101" s="20"/>
      <c r="H101" s="20"/>
      <c r="I101" s="20"/>
      <c r="J101" s="20"/>
      <c r="K101" s="25" t="s">
        <v>2</v>
      </c>
      <c r="L101" s="20"/>
      <c r="M101" s="26" t="s">
        <v>2</v>
      </c>
      <c r="N101" s="3"/>
    </row>
    <row r="105" spans="3:14" x14ac:dyDescent="0.25">
      <c r="C105" s="31"/>
    </row>
    <row r="106" spans="3:14" x14ac:dyDescent="0.25">
      <c r="C106" s="32"/>
    </row>
    <row r="107" spans="3:14" ht="15" customHeight="1" x14ac:dyDescent="0.25">
      <c r="C107" s="32"/>
    </row>
    <row r="108" spans="3:14" x14ac:dyDescent="0.25">
      <c r="C108" s="32"/>
    </row>
    <row r="109" spans="3:14" x14ac:dyDescent="0.25">
      <c r="C109" s="32"/>
    </row>
    <row r="110" spans="3:14" x14ac:dyDescent="0.25">
      <c r="C110" s="32"/>
    </row>
    <row r="111" spans="3:14" x14ac:dyDescent="0.25">
      <c r="C111" s="32"/>
    </row>
    <row r="112" spans="3:14" x14ac:dyDescent="0.25">
      <c r="C112" s="32"/>
    </row>
    <row r="113" spans="2:43" x14ac:dyDescent="0.25">
      <c r="C113" s="32"/>
    </row>
    <row r="114" spans="2:43" x14ac:dyDescent="0.25">
      <c r="B114" s="30"/>
      <c r="C114" s="32"/>
      <c r="D114" s="30"/>
    </row>
    <row r="115" spans="2:43" x14ac:dyDescent="0.25">
      <c r="C115" s="32"/>
    </row>
    <row r="116" spans="2:43" x14ac:dyDescent="0.25">
      <c r="C116" s="32"/>
    </row>
    <row r="117" spans="2:43" ht="15" customHeight="1" x14ac:dyDescent="0.25">
      <c r="C117" s="32"/>
    </row>
    <row r="118" spans="2:43" x14ac:dyDescent="0.25">
      <c r="C118" s="32"/>
      <c r="AM118" s="29"/>
    </row>
    <row r="119" spans="2:43" x14ac:dyDescent="0.25">
      <c r="C119" s="32"/>
    </row>
    <row r="120" spans="2:43" x14ac:dyDescent="0.25">
      <c r="C120" s="21"/>
      <c r="AQ120" s="56"/>
    </row>
    <row r="121" spans="2:43" x14ac:dyDescent="0.25">
      <c r="C121" s="73"/>
    </row>
    <row r="122" spans="2:43" x14ac:dyDescent="0.25">
      <c r="C122" s="27"/>
    </row>
    <row r="123" spans="2:43" x14ac:dyDescent="0.25">
      <c r="C123" s="21"/>
    </row>
    <row r="124" spans="2:43" x14ac:dyDescent="0.25">
      <c r="C124" s="21"/>
    </row>
    <row r="125" spans="2:43" x14ac:dyDescent="0.25">
      <c r="C125" s="27"/>
    </row>
    <row r="126" spans="2:43" x14ac:dyDescent="0.25">
      <c r="C126" s="27"/>
    </row>
    <row r="127" spans="2:43" x14ac:dyDescent="0.25">
      <c r="C127" s="27"/>
    </row>
    <row r="139" spans="27:27" x14ac:dyDescent="0.25">
      <c r="AA139" s="57" t="s">
        <v>149</v>
      </c>
    </row>
    <row r="175" spans="2:2" x14ac:dyDescent="0.25">
      <c r="B175" s="30"/>
    </row>
    <row r="178" spans="2:2" x14ac:dyDescent="0.25">
      <c r="B178" s="30"/>
    </row>
  </sheetData>
  <sheetProtection algorithmName="SHA-512" hashValue="biG7dWAfq5Stm8/EL3iRmKIcFmLjKtTM88Zk9xjgHQ8WrEbZItVrRshWVOQByQJJkYtrzb0oMLD77a3L87vyNA==" saltValue="py0o0iVZH3VL4qYIE8D29g==" spinCount="100000" sheet="1" objects="1" scenarios="1"/>
  <mergeCells count="12">
    <mergeCell ref="C23:M23"/>
    <mergeCell ref="C63:M63"/>
    <mergeCell ref="C83:M83"/>
    <mergeCell ref="O47:O54"/>
    <mergeCell ref="C2:M2"/>
    <mergeCell ref="C43:M43"/>
    <mergeCell ref="O7:O9"/>
    <mergeCell ref="O3:O5"/>
    <mergeCell ref="O29:O36"/>
    <mergeCell ref="O38:O45"/>
    <mergeCell ref="O11:O18"/>
    <mergeCell ref="O20:O27"/>
  </mergeCells>
  <phoneticPr fontId="31" type="noConversion"/>
  <conditionalFormatting sqref="C106:C112 C116">
    <cfRule type="expression" dxfId="56" priority="311">
      <formula>OR(#REF!="Y",#REF!="Y")</formula>
    </cfRule>
  </conditionalFormatting>
  <conditionalFormatting sqref="C113:C115 C117:C119">
    <cfRule type="expression" dxfId="55" priority="309">
      <formula>OR(#REF!="Y",#REF!="Y")</formula>
    </cfRule>
  </conditionalFormatting>
  <conditionalFormatting sqref="C120:C121">
    <cfRule type="expression" dxfId="54" priority="324">
      <formula>OR(#REF!="Y",#REF!="Y")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EB9B-83D3-4ED0-A0DD-EE5F9190D8D3}">
  <sheetPr codeName="Sheet2">
    <pageSetUpPr fitToPage="1"/>
  </sheetPr>
  <dimension ref="A1:P99"/>
  <sheetViews>
    <sheetView zoomScaleNormal="100" zoomScaleSheetLayoutView="100" workbookViewId="0">
      <selection activeCell="D4" sqref="D4"/>
    </sheetView>
  </sheetViews>
  <sheetFormatPr defaultColWidth="9.140625" defaultRowHeight="12.75" outlineLevelRow="1" x14ac:dyDescent="0.2"/>
  <cols>
    <col min="1" max="1" width="12.7109375" style="97" customWidth="1"/>
    <col min="2" max="2" width="98.85546875" style="97" customWidth="1"/>
    <col min="3" max="3" width="1.140625" style="97" customWidth="1"/>
    <col min="4" max="4" width="27.7109375" style="97" customWidth="1"/>
    <col min="5" max="5" width="1.140625" style="97" customWidth="1"/>
    <col min="6" max="8" width="23.5703125" style="97" customWidth="1"/>
    <col min="9" max="11" width="14.42578125" style="97" customWidth="1"/>
    <col min="12" max="16384" width="9.140625" style="97"/>
  </cols>
  <sheetData>
    <row r="1" spans="1:14" ht="24.95" customHeight="1" x14ac:dyDescent="0.2">
      <c r="B1" s="348" t="s">
        <v>115</v>
      </c>
      <c r="C1" s="93"/>
      <c r="D1" s="94" t="s">
        <v>135</v>
      </c>
      <c r="E1" s="95"/>
      <c r="F1" s="96"/>
      <c r="G1" s="314"/>
      <c r="H1" s="314"/>
      <c r="I1" s="96"/>
    </row>
    <row r="2" spans="1:14" x14ac:dyDescent="0.2">
      <c r="B2" s="349"/>
      <c r="C2" s="93"/>
      <c r="D2" s="94" t="s">
        <v>128</v>
      </c>
      <c r="E2" s="98"/>
      <c r="F2" s="96"/>
      <c r="G2" s="96"/>
      <c r="H2" s="96"/>
      <c r="I2" s="96"/>
      <c r="J2" s="99"/>
    </row>
    <row r="3" spans="1:14" ht="24" customHeight="1" x14ac:dyDescent="0.2">
      <c r="B3" s="100"/>
      <c r="C3" s="93"/>
      <c r="E3" s="101"/>
      <c r="F3" s="96"/>
      <c r="G3" s="96"/>
      <c r="H3" s="96"/>
      <c r="I3" s="96"/>
      <c r="J3" s="99"/>
    </row>
    <row r="4" spans="1:14" x14ac:dyDescent="0.2">
      <c r="A4" s="101"/>
      <c r="B4" s="102" t="s">
        <v>116</v>
      </c>
      <c r="C4" s="103"/>
      <c r="D4" s="104" t="str">
        <f ca="1">IF(CELL("type",RFA!D5)="b","",RFA!D5)</f>
        <v/>
      </c>
      <c r="E4" s="105"/>
      <c r="F4" s="96"/>
      <c r="G4" s="96"/>
      <c r="H4" s="96"/>
      <c r="I4" s="254">
        <v>2</v>
      </c>
      <c r="J4" s="165" t="s">
        <v>121</v>
      </c>
      <c r="K4" s="165"/>
      <c r="L4" s="165"/>
      <c r="M4" s="165"/>
      <c r="N4" s="166"/>
    </row>
    <row r="5" spans="1:14" x14ac:dyDescent="0.2">
      <c r="A5" s="101"/>
      <c r="B5" s="102" t="s">
        <v>117</v>
      </c>
      <c r="C5" s="103"/>
      <c r="D5" s="104" t="str">
        <f ca="1">IF(CELL("type",RFA!D6)="b","",RFA!D6)</f>
        <v/>
      </c>
      <c r="E5" s="105"/>
      <c r="F5" s="96"/>
      <c r="G5" s="96"/>
      <c r="H5" s="96"/>
      <c r="I5" s="346">
        <v>0.05</v>
      </c>
      <c r="J5" s="342" t="s">
        <v>212</v>
      </c>
      <c r="K5" s="342"/>
      <c r="L5" s="342"/>
      <c r="M5" s="342"/>
      <c r="N5" s="343"/>
    </row>
    <row r="6" spans="1:14" x14ac:dyDescent="0.2">
      <c r="A6" s="101"/>
      <c r="B6" s="102" t="s">
        <v>118</v>
      </c>
      <c r="C6" s="103"/>
      <c r="D6" s="106" t="str">
        <f>IFERROR(VLOOKUP(1,RFA!C15:D32,2,FALSE),"")</f>
        <v/>
      </c>
      <c r="E6" s="107"/>
      <c r="F6" s="96"/>
      <c r="G6" s="96"/>
      <c r="H6" s="96"/>
      <c r="I6" s="347"/>
      <c r="J6" s="344"/>
      <c r="K6" s="344"/>
      <c r="L6" s="344"/>
      <c r="M6" s="344"/>
      <c r="N6" s="345"/>
    </row>
    <row r="7" spans="1:14" x14ac:dyDescent="0.2">
      <c r="A7" s="101"/>
      <c r="B7" s="102" t="s">
        <v>8</v>
      </c>
      <c r="C7" s="103"/>
      <c r="D7" s="108">
        <f>SUMIF(RFA!B51:B57,"NC",RFA!C51:C57)</f>
        <v>0</v>
      </c>
      <c r="E7" s="109"/>
      <c r="F7" s="110"/>
      <c r="G7" s="99"/>
      <c r="H7" s="99"/>
      <c r="I7" s="99"/>
      <c r="J7" s="99"/>
    </row>
    <row r="8" spans="1:14" x14ac:dyDescent="0.2">
      <c r="A8" s="101"/>
      <c r="B8" s="102" t="s">
        <v>9</v>
      </c>
      <c r="C8" s="103"/>
      <c r="D8" s="108">
        <f>SUMIF(RFA!B51:B57,"Rehab",RFA!C51:C57)</f>
        <v>0</v>
      </c>
      <c r="E8" s="109"/>
      <c r="F8" s="110"/>
      <c r="G8" s="111"/>
      <c r="H8" s="99"/>
      <c r="I8" s="99"/>
      <c r="J8" s="99"/>
    </row>
    <row r="9" spans="1:14" x14ac:dyDescent="0.2">
      <c r="A9" s="101"/>
      <c r="B9" s="112" t="s">
        <v>119</v>
      </c>
      <c r="C9" s="106"/>
      <c r="D9" s="240">
        <v>0.16</v>
      </c>
      <c r="E9" s="44"/>
      <c r="F9" s="113" t="s">
        <v>133</v>
      </c>
      <c r="I9" s="114"/>
    </row>
    <row r="10" spans="1:14" x14ac:dyDescent="0.2">
      <c r="A10" s="101"/>
      <c r="B10" s="112" t="s">
        <v>224</v>
      </c>
      <c r="C10" s="108"/>
      <c r="D10" s="42">
        <f>RFA!J58</f>
        <v>0</v>
      </c>
      <c r="E10" s="115"/>
      <c r="F10" s="116"/>
      <c r="I10" s="114"/>
    </row>
    <row r="11" spans="1:14" x14ac:dyDescent="0.2">
      <c r="A11" s="101"/>
      <c r="B11" s="112" t="s">
        <v>120</v>
      </c>
      <c r="C11" s="106"/>
      <c r="D11" s="117">
        <f>D7+D8</f>
        <v>0</v>
      </c>
      <c r="E11" s="118"/>
      <c r="F11" s="119"/>
    </row>
    <row r="12" spans="1:14" x14ac:dyDescent="0.2">
      <c r="A12" s="101"/>
      <c r="B12" s="102" t="s">
        <v>222</v>
      </c>
      <c r="C12" s="134"/>
      <c r="D12" s="167">
        <f>ROUND(D10*D11,I4)</f>
        <v>0</v>
      </c>
      <c r="E12" s="123"/>
      <c r="G12" s="124"/>
      <c r="H12" s="125"/>
    </row>
    <row r="13" spans="1:14" x14ac:dyDescent="0.2">
      <c r="A13" s="101"/>
      <c r="B13" s="120" t="s">
        <v>300</v>
      </c>
      <c r="C13" s="121"/>
      <c r="D13" s="122">
        <f>IF(G$90&gt;0,I91,ROUNDDOWN(D12*D9,0))</f>
        <v>0</v>
      </c>
      <c r="E13" s="123"/>
      <c r="F13" s="168" t="s">
        <v>228</v>
      </c>
      <c r="G13" s="168"/>
      <c r="H13" s="125"/>
    </row>
    <row r="14" spans="1:14" x14ac:dyDescent="0.2">
      <c r="A14" s="101"/>
      <c r="B14" s="102" t="s">
        <v>225</v>
      </c>
      <c r="C14" s="121"/>
      <c r="D14" s="241" t="s">
        <v>82</v>
      </c>
      <c r="E14" s="123"/>
      <c r="F14" s="113" t="s">
        <v>226</v>
      </c>
      <c r="G14" s="124"/>
      <c r="H14" s="125"/>
    </row>
    <row r="15" spans="1:14" x14ac:dyDescent="0.2">
      <c r="A15" s="101"/>
      <c r="B15" s="126" t="str">
        <f>IF(D14="Yes","Lesser of Appraised Value or Actual Purchase Price of the Entire Property","")</f>
        <v>Lesser of Appraised Value or Actual Purchase Price of the Entire Property</v>
      </c>
      <c r="C15" s="106"/>
      <c r="D15" s="242"/>
      <c r="E15" s="123"/>
      <c r="F15" s="113" t="str">
        <f>IF(D14="Yes","This is the total value/cost of the entire property with land and building; Only enter a value if the proposed development includes the acquisition of a building.","")</f>
        <v>This is the total value/cost of the entire property with land and building; Only enter a value if the proposed development includes the acquisition of a building.</v>
      </c>
      <c r="G15" s="125"/>
      <c r="H15" s="125"/>
    </row>
    <row r="16" spans="1:14" x14ac:dyDescent="0.2">
      <c r="A16" s="101"/>
      <c r="B16" s="126" t="str">
        <f>IF(D14="Yes","Lowest Land Cost Allocation of the Three Land Cost Allocation Methods","")</f>
        <v>Lowest Land Cost Allocation of the Three Land Cost Allocation Methods</v>
      </c>
      <c r="C16" s="106"/>
      <c r="D16" s="242"/>
      <c r="E16" s="123"/>
      <c r="F16" s="113" t="str">
        <f>IF(D14="Yes","This is the lowest of the 3 land cost allocation methods per Exhibit C.1.a.(2).(b).  Only enter a value if the proposed development includes the acquisition of a building.","")</f>
        <v>This is the lowest of the 3 land cost allocation methods per Exhibit C.1.a.(2).(b).  Only enter a value if the proposed development includes the acquisition of a building.</v>
      </c>
      <c r="G16" s="125"/>
      <c r="H16" s="125"/>
    </row>
    <row r="17" spans="1:16" x14ac:dyDescent="0.2">
      <c r="A17" s="101"/>
      <c r="B17" s="102" t="s">
        <v>223</v>
      </c>
      <c r="C17" s="126"/>
      <c r="D17" s="128">
        <f>MIN(D15-D16,(-D55-D56))</f>
        <v>0</v>
      </c>
      <c r="E17" s="123"/>
      <c r="F17" s="113" t="str">
        <f>IF(D15-D16=D17,"Difference from above two values.","Taken from value entered below in cells D"&amp;TEXT(ROW(D55),"0")&amp;" and D"&amp;TEXT(ROW(D56),"0"))</f>
        <v>Difference from above two values.</v>
      </c>
      <c r="H17" s="123"/>
      <c r="I17" s="101"/>
      <c r="J17" s="101"/>
      <c r="K17" s="101"/>
      <c r="L17" s="101"/>
      <c r="M17" s="101"/>
      <c r="N17" s="101"/>
      <c r="O17" s="101"/>
      <c r="P17" s="101"/>
    </row>
    <row r="18" spans="1:16" hidden="1" x14ac:dyDescent="0.2">
      <c r="A18" s="101"/>
      <c r="B18" s="102"/>
      <c r="C18" s="126"/>
      <c r="D18" s="210"/>
      <c r="E18" s="123"/>
      <c r="F18" s="113"/>
      <c r="H18" s="123"/>
      <c r="I18" s="101"/>
      <c r="J18" s="101"/>
      <c r="K18" s="101"/>
      <c r="L18" s="101"/>
      <c r="M18" s="101"/>
      <c r="N18" s="101"/>
      <c r="O18" s="101"/>
      <c r="P18" s="101"/>
    </row>
    <row r="19" spans="1:16" x14ac:dyDescent="0.2">
      <c r="A19" s="101"/>
      <c r="B19" s="120" t="s">
        <v>301</v>
      </c>
      <c r="C19" s="129"/>
      <c r="D19" s="130">
        <f>ROUNDDOWN(D17*D9,0)</f>
        <v>0</v>
      </c>
      <c r="E19" s="123"/>
      <c r="F19" s="168" t="s">
        <v>313</v>
      </c>
      <c r="G19" s="168"/>
      <c r="H19" s="125"/>
    </row>
    <row r="20" spans="1:16" x14ac:dyDescent="0.2">
      <c r="A20" s="101"/>
      <c r="B20" s="120" t="s">
        <v>211</v>
      </c>
      <c r="C20" s="129"/>
      <c r="D20" s="184">
        <f>D13+D19</f>
        <v>0</v>
      </c>
      <c r="E20" s="123"/>
      <c r="F20" s="168" t="s">
        <v>227</v>
      </c>
      <c r="G20" s="168"/>
      <c r="H20" s="123"/>
    </row>
    <row r="21" spans="1:16" x14ac:dyDescent="0.2">
      <c r="A21" s="101"/>
      <c r="B21" s="201" t="s">
        <v>290</v>
      </c>
      <c r="C21" s="202"/>
      <c r="D21" s="203">
        <f>D12+D20</f>
        <v>0</v>
      </c>
      <c r="E21" s="185"/>
      <c r="F21" s="186" t="s">
        <v>242</v>
      </c>
      <c r="G21" s="290"/>
      <c r="H21" s="290"/>
    </row>
    <row r="22" spans="1:16" hidden="1" x14ac:dyDescent="0.2">
      <c r="A22" s="101"/>
      <c r="B22" s="120"/>
      <c r="C22" s="183"/>
      <c r="D22" s="210"/>
      <c r="E22" s="123"/>
      <c r="F22" s="168"/>
      <c r="G22" s="125"/>
      <c r="H22" s="125"/>
    </row>
    <row r="23" spans="1:16" x14ac:dyDescent="0.2">
      <c r="A23" s="101"/>
      <c r="B23" s="120" t="s">
        <v>244</v>
      </c>
      <c r="C23" s="183"/>
      <c r="D23" s="184">
        <f>D64</f>
        <v>0</v>
      </c>
      <c r="E23" s="123"/>
      <c r="F23" s="113"/>
      <c r="G23" s="275"/>
      <c r="H23" s="123"/>
      <c r="J23" s="101"/>
    </row>
    <row r="24" spans="1:16" hidden="1" x14ac:dyDescent="0.2">
      <c r="A24" s="101"/>
      <c r="B24" s="120"/>
      <c r="C24" s="183"/>
      <c r="D24" s="210"/>
      <c r="E24" s="123"/>
      <c r="F24" s="113"/>
      <c r="G24" s="275"/>
      <c r="H24" s="123"/>
      <c r="J24" s="101"/>
    </row>
    <row r="25" spans="1:16" x14ac:dyDescent="0.2">
      <c r="A25" s="101"/>
      <c r="B25" s="112" t="s">
        <v>250</v>
      </c>
      <c r="C25" s="183"/>
      <c r="D25" s="242"/>
      <c r="E25" s="123"/>
      <c r="F25" s="168" t="s">
        <v>216</v>
      </c>
      <c r="G25" s="275"/>
      <c r="H25" s="123"/>
    </row>
    <row r="26" spans="1:16" x14ac:dyDescent="0.2">
      <c r="A26" s="101"/>
      <c r="B26" s="112" t="s">
        <v>123</v>
      </c>
      <c r="C26" s="183"/>
      <c r="D26" s="187">
        <f>IF(D23=0,0,D25/D23)</f>
        <v>0</v>
      </c>
      <c r="E26" s="123"/>
      <c r="F26" s="168" t="s">
        <v>216</v>
      </c>
      <c r="G26" s="274"/>
      <c r="H26" s="125"/>
    </row>
    <row r="27" spans="1:16" x14ac:dyDescent="0.2">
      <c r="A27" s="101"/>
      <c r="B27" s="112" t="str">
        <f>"Maximum Developer Fee Based on "&amp;TEXT(D9,"0%")&amp;" Fee Limit"</f>
        <v>Maximum Developer Fee Based on 16% Fee Limit</v>
      </c>
      <c r="C27" s="183"/>
      <c r="D27" s="226">
        <f>IF(D9&lt;&gt;21%,ROUNDDOWN(D23*D9,0),ROUNDDOWN(D23*16%,0)+ROUNDDOWN(D23*I5,0))</f>
        <v>0</v>
      </c>
      <c r="E27" s="123"/>
      <c r="F27" s="168" t="s">
        <v>216</v>
      </c>
      <c r="G27" s="275" t="str">
        <f>IF(D$53&lt;1,"","( Stated Development Costs of "&amp;TEXT(D23,"$#,##0.00")&amp;" x "&amp;TEXT(IF($D9&lt;&gt;21%,$D9,16%),"0%")&amp;", rounded down to nearest $1 )"&amp;IF($D9&lt;&gt;21%,""," + "&amp;TEXT(D23,"$#,##0.00")&amp;" x "&amp;TEXT($I5,"0%")&amp;", rounded down to nearest $1 )"))</f>
        <v/>
      </c>
      <c r="H27" s="123"/>
      <c r="J27" s="101"/>
      <c r="K27" s="101"/>
    </row>
    <row r="28" spans="1:16" x14ac:dyDescent="0.2">
      <c r="A28" s="101"/>
      <c r="B28" s="206" t="s">
        <v>251</v>
      </c>
      <c r="C28" s="183"/>
      <c r="D28" s="227">
        <f>IF(D27&gt;=D25,0,D27-D25)</f>
        <v>0</v>
      </c>
      <c r="E28" s="123"/>
      <c r="F28" s="168" t="s">
        <v>216</v>
      </c>
      <c r="G28" s="275" t="str">
        <f>IF(OR(D$53&lt;1,D$28=0),"","( Maximum % DF of "&amp;TEXT(D27,"$#,##0.00")&amp;", less initial stated DF of "&amp;TEXT(D25,"$#,##0.00")&amp;" )")</f>
        <v/>
      </c>
      <c r="H28" s="123"/>
      <c r="J28" s="101"/>
      <c r="K28" s="101"/>
    </row>
    <row r="29" spans="1:16" x14ac:dyDescent="0.2">
      <c r="A29" s="101"/>
      <c r="B29" s="112" t="str">
        <f>"Stated DF within "&amp;IF(D28=0,"Actual","Adjusted")&amp;" Stated Overall Total Development Costs, after % Fee in 1.b.(1)"</f>
        <v>Stated DF within Actual Stated Overall Total Development Costs, after % Fee in 1.b.(1)</v>
      </c>
      <c r="C29" s="183"/>
      <c r="D29" s="228">
        <f>D25+D28</f>
        <v>0</v>
      </c>
      <c r="E29" s="123"/>
      <c r="F29" s="168" t="s">
        <v>216</v>
      </c>
      <c r="G29" s="275" t="str">
        <f>IF(OR(D$53&lt;1,D$28=0),"","( Initial stated DF "&amp;TEXT(D25,"$#,##0.00")&amp;", less 1st Adjustment of "&amp;TEXT(-D28,"$#,##0.00")&amp;" )")</f>
        <v/>
      </c>
      <c r="H29" s="123"/>
      <c r="J29" s="101"/>
      <c r="K29" s="101"/>
    </row>
    <row r="30" spans="1:16" x14ac:dyDescent="0.2">
      <c r="A30" s="101"/>
      <c r="B30" s="206" t="s">
        <v>317</v>
      </c>
      <c r="C30" s="183"/>
      <c r="D30" s="227" t="str">
        <f>IF(D29&gt;D20,D20-D29,"NA  ")</f>
        <v xml:space="preserve">NA  </v>
      </c>
      <c r="E30" s="123"/>
      <c r="F30" s="168" t="s">
        <v>216</v>
      </c>
      <c r="G30" s="275" t="str">
        <f>IF(D29&gt;D20,"( The stated % Fee limit of "&amp;TEXT(D29,"$#,##0.00")&amp;", less the Total Maximum Developer Fee of "&amp;TEXT(D20,"$#,##0.00")&amp;" )","")</f>
        <v/>
      </c>
      <c r="H30" s="123"/>
      <c r="J30" s="101"/>
      <c r="K30" s="101"/>
    </row>
    <row r="31" spans="1:16" x14ac:dyDescent="0.2">
      <c r="A31" s="101"/>
      <c r="B31" s="112" t="s">
        <v>316</v>
      </c>
      <c r="C31" s="183"/>
      <c r="D31" s="226">
        <f>D29+N(D30)</f>
        <v>0</v>
      </c>
      <c r="E31" s="123"/>
      <c r="F31" s="168" t="s">
        <v>216</v>
      </c>
      <c r="G31" s="275" t="str">
        <f>IF(N(D30)=0,"( The previously stated DF )","( The previously stated DF of "&amp;TEXT(D29,"$#,##0.00")&amp;", less the excess fee of "&amp;TEXT(-N(D30),"$#,##0.00")&amp;" )")</f>
        <v>( The previously stated DF )</v>
      </c>
      <c r="H31" s="123"/>
      <c r="J31" s="101"/>
      <c r="K31" s="101"/>
    </row>
    <row r="32" spans="1:16" x14ac:dyDescent="0.2">
      <c r="A32" s="101"/>
      <c r="B32" s="112" t="s">
        <v>299</v>
      </c>
      <c r="C32" s="183"/>
      <c r="D32" s="279">
        <f>D66+D28+N(D30)</f>
        <v>0</v>
      </c>
      <c r="E32" s="123"/>
      <c r="F32" s="168" t="s">
        <v>217</v>
      </c>
      <c r="G32" s="276" t="str">
        <f>IF(D$23&lt;1,"","( "&amp;IF(D28+N(D30)=0,"Same as Initial Net Stated TDC, as provided on row "&amp;TEXT(ROW(D66),"0"),"Initial Net Stated TDC ["&amp;TEXT(D66,"$#,##0.00")&amp;"], less the 1st Adjustment"&amp;IF(N(D30)&lt;0,"s","")&amp;" of "&amp;TEXT(-D28,"$#,##0.00"))&amp;IF(N(D30)&lt;0," and "&amp;TEXT(-N(D30),"$#,##0.00"),"")&amp;" )")</f>
        <v/>
      </c>
      <c r="H32" s="123"/>
      <c r="J32" s="101"/>
      <c r="K32" s="101"/>
    </row>
    <row r="33" spans="1:12" x14ac:dyDescent="0.2">
      <c r="A33" s="101"/>
      <c r="B33" s="112" t="str">
        <f>IF(D28=0,"Actual","Adjusted")&amp;" Stated Overall Total Development Costs, after 1.b.(1)"</f>
        <v>Actual Stated Overall Total Development Costs, after 1.b.(1)</v>
      </c>
      <c r="C33" s="183"/>
      <c r="D33" s="226">
        <f>D53+D28+N(D30)</f>
        <v>0</v>
      </c>
      <c r="E33" s="123"/>
      <c r="F33" s="168" t="s">
        <v>216</v>
      </c>
      <c r="G33" s="275" t="str">
        <f>IF(OR($D$53&lt;1,D$28+N(D30)=0),"","( Initial TDC of "&amp;TEXT($D53,"$#,##0.00")&amp;", less the 1st Adjustment"&amp;IF(N(D30)&lt;0,"s","")&amp;" of "&amp;TEXT(-D28,"$#,##0.00")&amp;IF(N(D30)&lt;0," and "&amp;TEXT(-N(D30),"$#,##0.00"),"")&amp;" )")</f>
        <v/>
      </c>
      <c r="H33" s="123"/>
      <c r="J33" s="101"/>
      <c r="K33" s="101"/>
    </row>
    <row r="34" spans="1:12" x14ac:dyDescent="0.2">
      <c r="A34" s="101"/>
      <c r="B34" s="112"/>
      <c r="C34" s="183"/>
      <c r="D34" s="226"/>
      <c r="E34" s="123"/>
      <c r="F34" s="168"/>
      <c r="G34" s="295"/>
      <c r="H34" s="123"/>
      <c r="J34" s="101"/>
      <c r="K34" s="101"/>
    </row>
    <row r="35" spans="1:12" x14ac:dyDescent="0.2">
      <c r="A35" s="101"/>
      <c r="B35" s="120" t="s">
        <v>255</v>
      </c>
      <c r="C35" s="183"/>
      <c r="D35" s="205" t="str">
        <f>IF(D21&gt;=D40,"Yes","No")</f>
        <v>Yes</v>
      </c>
      <c r="E35" s="123"/>
      <c r="F35" s="168" t="s">
        <v>259</v>
      </c>
      <c r="G35" s="295"/>
      <c r="H35" s="123"/>
      <c r="J35" s="101"/>
      <c r="K35" s="101"/>
    </row>
    <row r="36" spans="1:12" hidden="1" x14ac:dyDescent="0.2">
      <c r="A36" s="101"/>
      <c r="B36" s="112"/>
      <c r="C36" s="183"/>
      <c r="D36" s="281"/>
      <c r="E36" s="123"/>
      <c r="F36" s="168"/>
      <c r="G36" s="295"/>
      <c r="H36" s="123"/>
      <c r="J36" s="101"/>
      <c r="K36" s="101"/>
    </row>
    <row r="37" spans="1:12" hidden="1" x14ac:dyDescent="0.2">
      <c r="A37" s="101"/>
      <c r="B37" s="112"/>
      <c r="C37" s="183"/>
      <c r="D37" s="281"/>
      <c r="E37" s="123"/>
      <c r="F37" s="168"/>
      <c r="G37" s="295"/>
      <c r="H37" s="123"/>
      <c r="J37" s="101"/>
      <c r="K37" s="101"/>
    </row>
    <row r="38" spans="1:12" hidden="1" x14ac:dyDescent="0.2">
      <c r="A38" s="101"/>
      <c r="B38" s="112"/>
      <c r="C38" s="183"/>
      <c r="D38" s="281"/>
      <c r="E38" s="123"/>
      <c r="F38" s="168"/>
      <c r="G38" s="295"/>
      <c r="H38" s="123"/>
      <c r="J38" s="101"/>
      <c r="K38" s="101"/>
    </row>
    <row r="39" spans="1:12" x14ac:dyDescent="0.2">
      <c r="A39" s="101"/>
      <c r="B39" s="112" t="s">
        <v>297</v>
      </c>
      <c r="C39" s="183"/>
      <c r="D39" s="226">
        <f>D33</f>
        <v>0</v>
      </c>
      <c r="E39" s="123"/>
      <c r="F39" s="168"/>
      <c r="G39" s="295" t="str">
        <f>IF(N(D39)=0,"","( The previously stated overall TDC )")</f>
        <v/>
      </c>
      <c r="H39" s="123"/>
      <c r="J39" s="101"/>
      <c r="K39" s="101"/>
    </row>
    <row r="40" spans="1:12" x14ac:dyDescent="0.2">
      <c r="A40" s="101"/>
      <c r="B40" s="120" t="s">
        <v>252</v>
      </c>
      <c r="C40" s="183"/>
      <c r="D40" s="204">
        <f>D66+D28+N(D30)</f>
        <v>0</v>
      </c>
      <c r="E40" s="123"/>
      <c r="F40" s="168" t="s">
        <v>217</v>
      </c>
      <c r="G40" s="295" t="str">
        <f>IF(N(D40)=0,"","( The previously stated Net TDC )")</f>
        <v/>
      </c>
      <c r="H40" s="123"/>
      <c r="J40" s="101"/>
      <c r="K40" s="101"/>
    </row>
    <row r="41" spans="1:12" s="101" customFormat="1" x14ac:dyDescent="0.2">
      <c r="B41" s="102" t="s">
        <v>291</v>
      </c>
      <c r="C41" s="183"/>
      <c r="D41" s="268" t="str">
        <f>IF(D$35="Yes","NA  ",IF(D40&gt;D21,(D40-D21),0))</f>
        <v xml:space="preserve">NA  </v>
      </c>
      <c r="E41" s="123"/>
      <c r="F41" s="168" t="s">
        <v>292</v>
      </c>
      <c r="G41" s="295" t="str">
        <f>IF(OR(D$35="Yes",D40&lt;=D21),"","( The previously stated Net TDC of "&amp;TEXT(D40,"$#,##0.00")&amp;", less the Development's Maximum TDC Component of "&amp;TEXT(D21,"$#,##0.00")&amp;" )")</f>
        <v/>
      </c>
      <c r="H41" s="123"/>
      <c r="I41" s="97"/>
    </row>
    <row r="42" spans="1:12" x14ac:dyDescent="0.2">
      <c r="A42" s="101"/>
      <c r="B42" s="112" t="s">
        <v>256</v>
      </c>
      <c r="C42" s="183"/>
      <c r="D42" s="269" t="str">
        <f>IF(D$35="Yes","NA  ",750000)</f>
        <v xml:space="preserve">NA  </v>
      </c>
      <c r="E42" s="123"/>
      <c r="F42" s="168" t="s">
        <v>293</v>
      </c>
      <c r="G42" s="295"/>
      <c r="H42" s="123"/>
      <c r="J42" s="101"/>
      <c r="K42" s="101"/>
      <c r="L42" s="101"/>
    </row>
    <row r="43" spans="1:12" x14ac:dyDescent="0.2">
      <c r="A43" s="101"/>
      <c r="B43" s="102" t="s">
        <v>215</v>
      </c>
      <c r="C43" s="183"/>
      <c r="D43" s="269" t="str">
        <f>IF(D$35="Yes","NA  ",ROUND(D20*0.25,I4))</f>
        <v xml:space="preserve">NA  </v>
      </c>
      <c r="E43" s="123"/>
      <c r="F43" s="168" t="s">
        <v>294</v>
      </c>
      <c r="G43" s="295" t="str">
        <f>IF(D$35="Yes","","( Total Maximum Developer Fee of "&amp;TEXT(D20,"$#,##0.00")&amp;" x 25%, rounded to nearest "&amp;CHOOSE(I4+1,"dollar","dime","penny")&amp;" )")</f>
        <v/>
      </c>
      <c r="H43" s="123"/>
      <c r="I43" s="101"/>
      <c r="J43" s="101"/>
      <c r="K43" s="101"/>
      <c r="L43" s="101"/>
    </row>
    <row r="44" spans="1:12" x14ac:dyDescent="0.2">
      <c r="A44" s="101"/>
      <c r="B44" s="206" t="s">
        <v>264</v>
      </c>
      <c r="C44" s="145"/>
      <c r="D44" s="227" t="str">
        <f>IF(D$35="Yes","NA  ",-IF(D40&gt;D21,(MIN(D41,D42,D43)),0))</f>
        <v xml:space="preserve">NA  </v>
      </c>
      <c r="E44" s="123"/>
      <c r="F44" s="168" t="s">
        <v>217</v>
      </c>
      <c r="G44" s="168" t="str">
        <f>IF(N(D44)=0,"","( The lesser of "&amp;TEXT(MIN(N(D41),N(D42),N(D43)),"$#,##0.00")&amp;", "&amp;TEXT(IF(AND(N(D41)&lt;=N(D42),N(D42)&lt;=N(D43)),N(D42),IF(AND(N(D42)&lt;=N(D41),N(D41)&lt;=N(D43)),N(D41),IF(AND(N(D43)&lt;N(D41),N(D43)&lt;N(D42)),IF(N(D42)&lt;N(D41),N(D42),N(D41)),N(D43)))),"$#,##0.00")&amp;" or "&amp;TEXT(MAX(N(D41),N(D42),N(D43)),"$#,##0.00")&amp;" )")</f>
        <v/>
      </c>
      <c r="H44" s="123"/>
      <c r="I44" s="101"/>
      <c r="J44" s="101"/>
      <c r="K44" s="101"/>
      <c r="L44" s="101"/>
    </row>
    <row r="45" spans="1:12" x14ac:dyDescent="0.2">
      <c r="A45" s="101"/>
      <c r="B45" s="102" t="s">
        <v>257</v>
      </c>
      <c r="C45" s="145"/>
      <c r="D45" s="229">
        <f>D20+N(D44)</f>
        <v>0</v>
      </c>
      <c r="E45" s="123"/>
      <c r="F45" s="168" t="s">
        <v>217</v>
      </c>
      <c r="G45" s="168" t="str">
        <f>"( The Maximum Developer Fee of "&amp;TEXT(D20,"$#,##0.00")&amp;IF(N(D44)=0," with no downward adjustment",", less the adjustment amount of "&amp;TEXT(-N(D44),"$#,##0.00"))&amp;" )"</f>
        <v>( The Maximum Developer Fee of $0.00 with no downward adjustment )</v>
      </c>
      <c r="H45" s="123"/>
      <c r="I45" s="123"/>
      <c r="J45" s="101"/>
      <c r="K45" s="101"/>
      <c r="L45" s="101"/>
    </row>
    <row r="46" spans="1:12" x14ac:dyDescent="0.2">
      <c r="A46" s="101"/>
      <c r="B46" s="102" t="s">
        <v>258</v>
      </c>
      <c r="C46" s="145"/>
      <c r="D46" s="230" t="str">
        <f>IF(D45&gt;=D31,"Yes","No")</f>
        <v>Yes</v>
      </c>
      <c r="E46" s="123"/>
      <c r="F46" s="168" t="s">
        <v>259</v>
      </c>
      <c r="G46" s="168"/>
      <c r="H46" s="123"/>
      <c r="I46" s="101"/>
      <c r="J46" s="101"/>
      <c r="K46" s="101"/>
      <c r="L46" s="101"/>
    </row>
    <row r="47" spans="1:12" x14ac:dyDescent="0.2">
      <c r="A47" s="101"/>
      <c r="B47" s="206" t="s">
        <v>260</v>
      </c>
      <c r="C47" s="145"/>
      <c r="D47" s="270" t="str">
        <f>IF(D46="Yes","NA  ",IF(D45-D31&lt;0,D45-D31,0))</f>
        <v xml:space="preserve">NA  </v>
      </c>
      <c r="E47" s="123"/>
      <c r="F47" s="168"/>
      <c r="G47" s="292" t="str">
        <f>IF(N(D47)=0,"","( The previously stated DF of "&amp;TEXT(N(D31),"$#,##0.00")&amp;", less the Maximum Developer Fee of "&amp;TEXT(N(D45),"$#,##0.00")&amp;" )")</f>
        <v/>
      </c>
      <c r="H47" s="123"/>
      <c r="I47" s="101"/>
      <c r="J47" s="101"/>
      <c r="K47" s="101"/>
      <c r="L47" s="101"/>
    </row>
    <row r="48" spans="1:12" x14ac:dyDescent="0.2">
      <c r="A48" s="101"/>
      <c r="B48" s="112" t="s">
        <v>261</v>
      </c>
      <c r="C48" s="145"/>
      <c r="D48" s="229">
        <f>D31+N(D47)</f>
        <v>0</v>
      </c>
      <c r="E48" s="123"/>
      <c r="F48" s="168"/>
      <c r="G48" s="168" t="str">
        <f>IF(N(D47)=0,"","( The previously stated DF of "&amp;TEXT(N(D31),"$#,##0.00")&amp;", less the adjustment amount of "&amp;TEXT(-N(D47),"$#,##0.00")&amp;" )")</f>
        <v/>
      </c>
      <c r="H48" s="123"/>
      <c r="I48" s="101"/>
      <c r="J48" s="101"/>
      <c r="K48" s="101"/>
      <c r="L48" s="101"/>
    </row>
    <row r="49" spans="1:12" x14ac:dyDescent="0.2">
      <c r="A49" s="101"/>
      <c r="B49" s="112" t="s">
        <v>262</v>
      </c>
      <c r="C49" s="145"/>
      <c r="D49" s="229">
        <f>D39+N(D47)</f>
        <v>0</v>
      </c>
      <c r="E49" s="123"/>
      <c r="F49" s="168"/>
      <c r="G49" s="168" t="str">
        <f>IF(N(D47)=0,"","( The previously stated stated overall TDC of "&amp;TEXT(N(D33),"$#,##0.00")&amp;", less the adjustment amount of "&amp;TEXT(-N(D47),"$#,##0.00")&amp;" )")</f>
        <v/>
      </c>
      <c r="H49" s="123"/>
      <c r="I49" s="101"/>
      <c r="J49" s="101"/>
      <c r="K49" s="101"/>
      <c r="L49" s="101"/>
    </row>
    <row r="50" spans="1:12" x14ac:dyDescent="0.2">
      <c r="A50" s="101"/>
      <c r="B50" s="102"/>
      <c r="C50" s="145"/>
      <c r="D50" s="229"/>
      <c r="E50" s="123"/>
      <c r="F50" s="168"/>
      <c r="G50" s="113"/>
      <c r="H50" s="123"/>
      <c r="I50" s="101"/>
      <c r="J50" s="101"/>
      <c r="K50" s="101"/>
      <c r="L50" s="101"/>
    </row>
    <row r="51" spans="1:12" s="181" customFormat="1" ht="13.5" thickBot="1" x14ac:dyDescent="0.25">
      <c r="A51" s="176"/>
      <c r="B51" s="112" t="s">
        <v>288</v>
      </c>
      <c r="C51" s="207"/>
      <c r="D51" s="231">
        <f>D40+N(D47)</f>
        <v>0</v>
      </c>
      <c r="E51" s="174"/>
      <c r="F51" s="175" t="s">
        <v>217</v>
      </c>
      <c r="G51" s="175"/>
      <c r="H51" s="175"/>
      <c r="I51" s="176"/>
      <c r="J51" s="176"/>
      <c r="K51" s="176"/>
      <c r="L51" s="176"/>
    </row>
    <row r="52" spans="1:12" s="181" customFormat="1" x14ac:dyDescent="0.2">
      <c r="A52" s="176"/>
      <c r="B52" s="177"/>
      <c r="C52" s="178"/>
      <c r="D52" s="237"/>
      <c r="E52" s="133"/>
      <c r="F52" s="179"/>
      <c r="G52" s="180"/>
      <c r="H52" s="271"/>
      <c r="I52" s="176"/>
      <c r="J52" s="176"/>
      <c r="K52" s="176"/>
      <c r="L52" s="176"/>
    </row>
    <row r="53" spans="1:12" x14ac:dyDescent="0.2">
      <c r="A53" s="101"/>
      <c r="B53" s="143" t="s">
        <v>241</v>
      </c>
      <c r="C53" s="106"/>
      <c r="D53" s="244">
        <v>0</v>
      </c>
      <c r="E53" s="43"/>
      <c r="F53" s="144"/>
      <c r="G53" s="271"/>
    </row>
    <row r="54" spans="1:12" x14ac:dyDescent="0.2">
      <c r="A54" s="101"/>
      <c r="B54" s="143" t="s">
        <v>229</v>
      </c>
      <c r="C54" s="106"/>
      <c r="D54" s="244">
        <v>0</v>
      </c>
      <c r="E54" s="43"/>
      <c r="F54" s="127" t="s">
        <v>122</v>
      </c>
      <c r="G54" s="271"/>
      <c r="I54" s="125"/>
    </row>
    <row r="55" spans="1:12" x14ac:dyDescent="0.2">
      <c r="A55" s="101"/>
      <c r="B55" s="143" t="s">
        <v>230</v>
      </c>
      <c r="C55" s="106"/>
      <c r="D55" s="244">
        <v>0</v>
      </c>
      <c r="E55" s="43"/>
      <c r="F55" s="127" t="s">
        <v>122</v>
      </c>
      <c r="G55" s="271"/>
      <c r="H55" s="212"/>
    </row>
    <row r="56" spans="1:12" x14ac:dyDescent="0.2">
      <c r="A56" s="101"/>
      <c r="B56" s="143" t="s">
        <v>243</v>
      </c>
      <c r="C56" s="106"/>
      <c r="D56" s="244">
        <v>0</v>
      </c>
      <c r="E56" s="43"/>
      <c r="F56" s="127" t="s">
        <v>122</v>
      </c>
      <c r="G56" s="271"/>
    </row>
    <row r="57" spans="1:12" x14ac:dyDescent="0.2">
      <c r="A57" s="101"/>
      <c r="B57" s="143" t="s">
        <v>231</v>
      </c>
      <c r="C57" s="106"/>
      <c r="D57" s="244">
        <v>0</v>
      </c>
      <c r="E57" s="43"/>
      <c r="F57" s="127" t="s">
        <v>122</v>
      </c>
      <c r="G57" s="271"/>
      <c r="H57" s="125"/>
    </row>
    <row r="58" spans="1:12" x14ac:dyDescent="0.2">
      <c r="A58" s="101"/>
      <c r="B58" s="143" t="s">
        <v>232</v>
      </c>
      <c r="C58" s="106"/>
      <c r="D58" s="244">
        <v>0</v>
      </c>
      <c r="E58" s="43"/>
      <c r="F58" s="127" t="s">
        <v>122</v>
      </c>
      <c r="G58" s="271"/>
      <c r="H58" s="125"/>
    </row>
    <row r="59" spans="1:12" x14ac:dyDescent="0.2">
      <c r="A59" s="101"/>
      <c r="B59" s="145" t="s">
        <v>233</v>
      </c>
      <c r="C59" s="106"/>
      <c r="D59" s="244">
        <v>0</v>
      </c>
      <c r="E59" s="43"/>
      <c r="F59" s="127" t="s">
        <v>122</v>
      </c>
      <c r="G59" s="271"/>
      <c r="H59" s="125"/>
    </row>
    <row r="60" spans="1:12" x14ac:dyDescent="0.2">
      <c r="A60" s="101"/>
      <c r="B60" s="143" t="s">
        <v>234</v>
      </c>
      <c r="C60" s="106"/>
      <c r="D60" s="244">
        <v>0</v>
      </c>
      <c r="E60" s="43"/>
      <c r="F60" s="127" t="s">
        <v>122</v>
      </c>
      <c r="G60" s="271"/>
      <c r="H60" s="125"/>
      <c r="I60" s="125"/>
    </row>
    <row r="61" spans="1:12" x14ac:dyDescent="0.2">
      <c r="A61" s="101"/>
      <c r="B61" s="143" t="s">
        <v>254</v>
      </c>
      <c r="C61" s="106"/>
      <c r="D61" s="244">
        <v>0</v>
      </c>
      <c r="E61" s="43"/>
      <c r="F61" s="127" t="s">
        <v>122</v>
      </c>
      <c r="G61" s="271"/>
    </row>
    <row r="62" spans="1:12" x14ac:dyDescent="0.2">
      <c r="A62" s="101"/>
      <c r="B62" s="112" t="s">
        <v>236</v>
      </c>
      <c r="C62" s="106"/>
      <c r="D62" s="245">
        <v>0</v>
      </c>
      <c r="E62" s="43"/>
      <c r="F62" s="127" t="s">
        <v>253</v>
      </c>
      <c r="G62" s="271"/>
    </row>
    <row r="63" spans="1:12" x14ac:dyDescent="0.2">
      <c r="A63" s="101"/>
      <c r="B63" s="238" t="s">
        <v>235</v>
      </c>
      <c r="C63" s="106"/>
      <c r="D63" s="243">
        <v>0</v>
      </c>
      <c r="E63" s="43"/>
      <c r="F63" s="127"/>
      <c r="G63" s="271"/>
    </row>
    <row r="64" spans="1:12" x14ac:dyDescent="0.2">
      <c r="A64" s="101"/>
      <c r="B64" s="106" t="s">
        <v>238</v>
      </c>
      <c r="C64" s="106"/>
      <c r="D64" s="132">
        <f>D53+D54+D57+IF(D63=1,D62,0)-D25</f>
        <v>0</v>
      </c>
      <c r="E64" s="43"/>
      <c r="G64" s="271"/>
    </row>
    <row r="65" spans="1:9" x14ac:dyDescent="0.2">
      <c r="A65" s="101"/>
      <c r="B65" s="107" t="str">
        <f>TEXT(D9,"0%")&amp;" of Stated Dev Costs Eligible to earn a DF"</f>
        <v>16% of Stated Dev Costs Eligible to earn a DF</v>
      </c>
      <c r="C65" s="112"/>
      <c r="D65" s="266">
        <f>D64*D9</f>
        <v>0</v>
      </c>
      <c r="E65" s="43"/>
      <c r="G65" s="271"/>
    </row>
    <row r="66" spans="1:9" x14ac:dyDescent="0.2">
      <c r="A66" s="101"/>
      <c r="B66" s="208" t="s">
        <v>298</v>
      </c>
      <c r="C66" s="209"/>
      <c r="D66" s="267">
        <f>D53+D54+MAX(D55,-D17)+SUM(D56:D62)</f>
        <v>0</v>
      </c>
      <c r="E66" s="123"/>
      <c r="G66" s="271"/>
    </row>
    <row r="67" spans="1:9" x14ac:dyDescent="0.2">
      <c r="A67" s="101"/>
      <c r="G67" s="125"/>
    </row>
    <row r="68" spans="1:9" x14ac:dyDescent="0.2">
      <c r="A68" s="101"/>
      <c r="G68" s="125"/>
    </row>
    <row r="69" spans="1:9" ht="15" x14ac:dyDescent="0.2">
      <c r="A69" s="101"/>
      <c r="B69" s="152" t="s">
        <v>218</v>
      </c>
      <c r="C69" s="153"/>
      <c r="D69" s="154">
        <f>D48</f>
        <v>0</v>
      </c>
      <c r="G69" s="125"/>
    </row>
    <row r="70" spans="1:9" ht="15" x14ac:dyDescent="0.2">
      <c r="A70" s="101"/>
      <c r="B70" s="152" t="s">
        <v>145</v>
      </c>
      <c r="C70" s="153"/>
      <c r="D70" s="154">
        <f>D53+D28+N(D47)</f>
        <v>0</v>
      </c>
      <c r="G70" s="125"/>
    </row>
    <row r="71" spans="1:9" x14ac:dyDescent="0.2">
      <c r="A71" s="101"/>
      <c r="G71" s="125"/>
    </row>
    <row r="72" spans="1:9" x14ac:dyDescent="0.2">
      <c r="A72" s="101"/>
      <c r="G72" s="125"/>
    </row>
    <row r="73" spans="1:9" x14ac:dyDescent="0.2">
      <c r="A73" s="101"/>
      <c r="B73" s="131" t="s">
        <v>124</v>
      </c>
      <c r="D73" s="170">
        <f>D28+N(D47)</f>
        <v>0</v>
      </c>
      <c r="F73" s="182"/>
      <c r="G73" s="125"/>
    </row>
    <row r="74" spans="1:9" x14ac:dyDescent="0.2">
      <c r="A74" s="101"/>
      <c r="B74" s="169" t="s">
        <v>125</v>
      </c>
      <c r="C74" s="139"/>
      <c r="D74" s="232">
        <f>IF(D73=0,0,D73/D25)</f>
        <v>0</v>
      </c>
      <c r="E74" s="123"/>
      <c r="G74" s="125"/>
    </row>
    <row r="75" spans="1:9" x14ac:dyDescent="0.2">
      <c r="A75" s="101"/>
      <c r="B75" s="142" t="s">
        <v>237</v>
      </c>
      <c r="D75" s="171" t="e">
        <f>D69/D70</f>
        <v>#DIV/0!</v>
      </c>
      <c r="E75" s="123"/>
      <c r="G75" s="146"/>
    </row>
    <row r="76" spans="1:9" x14ac:dyDescent="0.2">
      <c r="B76" s="142" t="s">
        <v>126</v>
      </c>
      <c r="D76" s="171">
        <f>IF(D64=0,0,D69/D64)</f>
        <v>0</v>
      </c>
      <c r="G76" s="113"/>
      <c r="H76" s="125"/>
    </row>
    <row r="77" spans="1:9" x14ac:dyDescent="0.2">
      <c r="F77" s="146"/>
      <c r="G77" s="113"/>
      <c r="H77" s="125"/>
    </row>
    <row r="78" spans="1:9" x14ac:dyDescent="0.2">
      <c r="A78" s="101"/>
      <c r="B78" s="112" t="str">
        <f>IF(D9=21%,"The maximum non-ODR DF (on Non-Acquisition Costs) portion of the 21% DF above that IS subject to DF adjustments","")</f>
        <v/>
      </c>
      <c r="C78" s="106"/>
      <c r="D78" s="132" t="str">
        <f>IFERROR(IF(D9=21%,ROUNDDOWN((D12*16%),0),""),"")</f>
        <v/>
      </c>
      <c r="E78" s="133"/>
      <c r="F78" s="196"/>
      <c r="G78" s="123"/>
      <c r="H78" s="123"/>
      <c r="I78" s="101"/>
    </row>
    <row r="79" spans="1:9" x14ac:dyDescent="0.2">
      <c r="A79" s="101"/>
      <c r="B79" s="112" t="str">
        <f>IF(D9=21%,"The maximum non-ODR DF (on Building Acquisition Costs) portion of the 21% DF above that IS subject to DF adjustments","")</f>
        <v/>
      </c>
      <c r="C79" s="106"/>
      <c r="D79" s="132" t="str">
        <f>IFERROR(IF(D9=21%,ROUNDDOWN((D17*16%),0),""),"")</f>
        <v/>
      </c>
      <c r="E79" s="133"/>
      <c r="F79" s="197"/>
      <c r="G79" s="123"/>
      <c r="H79" s="123"/>
      <c r="I79" s="101"/>
    </row>
    <row r="80" spans="1:9" x14ac:dyDescent="0.2">
      <c r="A80" s="101"/>
      <c r="B80" s="120" t="str">
        <f>IF(D9=21%,"Total maximum non-ODR DF portion of the 21% DF above that IS subject to DF adjustments","")</f>
        <v/>
      </c>
      <c r="C80" s="121"/>
      <c r="D80" s="135" t="str">
        <f>IF(D78="","",D78+D79)</f>
        <v/>
      </c>
      <c r="E80" s="133"/>
      <c r="F80" s="198"/>
      <c r="G80" s="123"/>
      <c r="H80" s="123"/>
      <c r="I80" s="101"/>
    </row>
    <row r="81" spans="1:9" x14ac:dyDescent="0.2">
      <c r="A81" s="101"/>
      <c r="B81" s="131" t="str">
        <f>IF(D9=21%,"Total Adjustments","")</f>
        <v/>
      </c>
      <c r="C81" s="121"/>
      <c r="D81" s="233" t="str">
        <f>IF(D78="","",IFERROR(N(D44),""))</f>
        <v/>
      </c>
      <c r="E81" s="133"/>
      <c r="F81" s="199"/>
      <c r="G81" s="123"/>
      <c r="H81" s="123"/>
      <c r="I81" s="101"/>
    </row>
    <row r="82" spans="1:9" x14ac:dyDescent="0.2">
      <c r="A82" s="101"/>
      <c r="B82" s="120" t="str">
        <f>IF(D9=21%,"Total maximum non-ODR DF portion of the 21% DF above after adjustments","")</f>
        <v/>
      </c>
      <c r="C82" s="121"/>
      <c r="D82" s="136" t="str">
        <f>IFERROR(D80+D81,"")</f>
        <v/>
      </c>
      <c r="E82" s="133"/>
      <c r="F82" s="198"/>
      <c r="G82" s="123"/>
      <c r="H82" s="123"/>
      <c r="I82" s="101"/>
    </row>
    <row r="83" spans="1:9" x14ac:dyDescent="0.2">
      <c r="A83" s="101"/>
      <c r="B83" s="112" t="str">
        <f>IF(D9=21%,"The maximum ODR DF (on Non-Acquisition Costs) portion of the 21% DF above that is NOT subject to any DF adjustments","")</f>
        <v/>
      </c>
      <c r="C83" s="106"/>
      <c r="D83" s="137" t="str">
        <f>IF(D9=21%,ROUNDDOWN((D12*I5),0),"")</f>
        <v/>
      </c>
      <c r="E83" s="133"/>
      <c r="F83" s="123"/>
      <c r="G83" s="123"/>
      <c r="H83" s="123"/>
      <c r="I83" s="101"/>
    </row>
    <row r="84" spans="1:9" x14ac:dyDescent="0.2">
      <c r="A84" s="101"/>
      <c r="B84" s="112" t="str">
        <f>IF(D9=21%,"The maximum ODR DF (on Building Acquisition Costs) portion of the 21% DF above that is NOT subject to any DF adjustments","")</f>
        <v/>
      </c>
      <c r="C84" s="106"/>
      <c r="D84" s="137" t="str">
        <f>IF(D9=21%,ROUNDDOWN((D17*I5),0),"")</f>
        <v/>
      </c>
      <c r="E84" s="133"/>
      <c r="F84" s="197"/>
      <c r="G84" s="123"/>
      <c r="H84" s="123"/>
      <c r="I84" s="101"/>
    </row>
    <row r="85" spans="1:9" x14ac:dyDescent="0.2">
      <c r="A85" s="101"/>
      <c r="B85" s="138" t="str">
        <f>IF(D9=21%,"Total maximum ODR DF portion of the 21% DF above that is NOT subject to any DF adjustments","")</f>
        <v/>
      </c>
      <c r="C85" s="139"/>
      <c r="D85" s="140" t="str">
        <f>IF(D83="","",D83+D84)</f>
        <v/>
      </c>
      <c r="E85" s="123"/>
      <c r="F85" s="200"/>
      <c r="G85" s="123"/>
      <c r="H85" s="101"/>
      <c r="I85" s="101"/>
    </row>
    <row r="86" spans="1:9" x14ac:dyDescent="0.2">
      <c r="A86" s="101"/>
      <c r="B86" s="138"/>
      <c r="C86" s="139"/>
      <c r="D86" s="141"/>
      <c r="E86" s="123"/>
      <c r="F86" s="200"/>
      <c r="G86" s="123"/>
      <c r="H86" s="101"/>
      <c r="I86" s="101"/>
    </row>
    <row r="87" spans="1:9" hidden="1" outlineLevel="1" x14ac:dyDescent="0.2">
      <c r="B87" s="147" t="s">
        <v>134</v>
      </c>
      <c r="C87" s="148"/>
    </row>
    <row r="88" spans="1:9" hidden="1" outlineLevel="1" x14ac:dyDescent="0.2">
      <c r="C88" s="148"/>
    </row>
    <row r="89" spans="1:9" hidden="1" outlineLevel="1" x14ac:dyDescent="0.2">
      <c r="F89" s="234" t="s">
        <v>245</v>
      </c>
      <c r="G89" s="246" t="s">
        <v>246</v>
      </c>
      <c r="H89" s="246" t="s">
        <v>247</v>
      </c>
      <c r="I89" s="247" t="s">
        <v>248</v>
      </c>
    </row>
    <row r="90" spans="1:9" hidden="1" outlineLevel="1" x14ac:dyDescent="0.2">
      <c r="A90" s="97" t="s">
        <v>82</v>
      </c>
      <c r="B90" s="149">
        <v>0.1</v>
      </c>
      <c r="D90" s="125"/>
      <c r="F90" s="190" t="s">
        <v>267</v>
      </c>
      <c r="G90" s="253"/>
      <c r="H90" s="253">
        <v>0</v>
      </c>
      <c r="I90" s="248">
        <f>H90</f>
        <v>0</v>
      </c>
    </row>
    <row r="91" spans="1:9" hidden="1" outlineLevel="1" x14ac:dyDescent="0.2">
      <c r="A91" s="97" t="s">
        <v>83</v>
      </c>
      <c r="B91" s="150">
        <v>0.16</v>
      </c>
      <c r="D91" s="125"/>
      <c r="F91" s="192" t="s">
        <v>287</v>
      </c>
      <c r="G91" s="249">
        <f>ROUNDDOWN($D$9*G90,0)</f>
        <v>0</v>
      </c>
      <c r="H91" s="249">
        <f>ROUNDDOWN($D$9*H90,0)</f>
        <v>0</v>
      </c>
      <c r="I91" s="250">
        <f>IFERROR(ROUNDDOWN(G91/G96*H96,0),0)</f>
        <v>0</v>
      </c>
    </row>
    <row r="92" spans="1:9" hidden="1" outlineLevel="1" x14ac:dyDescent="0.2">
      <c r="B92" s="150">
        <v>0.18</v>
      </c>
      <c r="D92" s="125"/>
      <c r="F92" s="192" t="s">
        <v>266</v>
      </c>
      <c r="G92" s="264">
        <v>0</v>
      </c>
      <c r="H92" s="249">
        <f>IFERROR(G92,0)</f>
        <v>0</v>
      </c>
      <c r="I92" s="250">
        <f>IFERROR(H92,0)</f>
        <v>0</v>
      </c>
    </row>
    <row r="93" spans="1:9" hidden="1" outlineLevel="1" x14ac:dyDescent="0.2">
      <c r="B93" s="151">
        <v>0.21</v>
      </c>
      <c r="D93" s="125"/>
      <c r="F93" s="192" t="s">
        <v>265</v>
      </c>
      <c r="G93" s="249">
        <f>G91+G92</f>
        <v>0</v>
      </c>
      <c r="H93" s="249">
        <f>H91+H92</f>
        <v>0</v>
      </c>
      <c r="I93" s="250">
        <f>IFERROR(I91+I92,0)</f>
        <v>0</v>
      </c>
    </row>
    <row r="94" spans="1:9" ht="13.15" customHeight="1" collapsed="1" x14ac:dyDescent="0.2">
      <c r="D94" s="125"/>
      <c r="F94" s="192" t="s">
        <v>268</v>
      </c>
      <c r="G94" s="251">
        <f>G$93-IF($D$9=21%,G95,0)</f>
        <v>0</v>
      </c>
      <c r="H94" s="251">
        <f>H$93-IF($D$9=21%,H95,0)</f>
        <v>0</v>
      </c>
      <c r="I94" s="250">
        <f>IFERROR(I93-I95,0)</f>
        <v>0</v>
      </c>
    </row>
    <row r="95" spans="1:9" hidden="1" x14ac:dyDescent="0.2">
      <c r="B95" s="277" t="s">
        <v>295</v>
      </c>
      <c r="D95" s="125"/>
      <c r="F95" s="194" t="s">
        <v>269</v>
      </c>
      <c r="G95" s="251">
        <f>IF($D$9=21%,ROUNDDOWN(5/21*G$93,0),0)</f>
        <v>0</v>
      </c>
      <c r="H95" s="251">
        <f>IF($D$9=21%,ROUNDDOWN(5/21*H$93,0),0)</f>
        <v>0</v>
      </c>
      <c r="I95" s="250">
        <f>IFERROR(H95,0)</f>
        <v>0</v>
      </c>
    </row>
    <row r="96" spans="1:9" hidden="1" x14ac:dyDescent="0.2">
      <c r="B96" s="97">
        <f>IF(AND(B97&lt;=B98,B98&lt;=B99),B98,IF(AND(B98&lt;=B97,B97&lt;=B99),B97,IF(AND(B99&lt;B97,B99&lt;B98),IF(B98&lt;B97,B98,B97),B99)))</f>
        <v>1250</v>
      </c>
      <c r="F96" s="188" t="s">
        <v>249</v>
      </c>
      <c r="G96" s="265">
        <v>0</v>
      </c>
      <c r="H96" s="265">
        <v>0</v>
      </c>
      <c r="I96" s="252">
        <f>IFERROR(H96,0)</f>
        <v>0</v>
      </c>
    </row>
    <row r="97" spans="2:6" hidden="1" x14ac:dyDescent="0.2">
      <c r="B97" s="97">
        <v>1250</v>
      </c>
      <c r="F97" s="214" t="str">
        <f>IF(G90=0,"","NA: Non-Acquisition; NADC: Non-Acquisition Development Costs")</f>
        <v/>
      </c>
    </row>
    <row r="98" spans="2:6" hidden="1" x14ac:dyDescent="0.2">
      <c r="B98" s="97">
        <v>1200</v>
      </c>
    </row>
    <row r="99" spans="2:6" hidden="1" x14ac:dyDescent="0.2">
      <c r="B99" s="97">
        <v>1250</v>
      </c>
    </row>
  </sheetData>
  <sheetProtection algorithmName="SHA-512" hashValue="13jXjic2JhGkIsyt3xiM8HwK94rEVvnJGYW8JoMtJsO5u2+bWZMrBd6/zOAitgB2ytAM9ylB9966n/QevbGlAA==" saltValue="42gs2ZmC7i7/pGfsnvsN9Q==" spinCount="100000" sheet="1" objects="1" scenarios="1"/>
  <mergeCells count="3">
    <mergeCell ref="J5:N6"/>
    <mergeCell ref="I5:I6"/>
    <mergeCell ref="B1:B2"/>
  </mergeCells>
  <conditionalFormatting sqref="B78:D85">
    <cfRule type="expression" dxfId="53" priority="21">
      <formula>$D$9&lt;&gt;21%</formula>
    </cfRule>
  </conditionalFormatting>
  <conditionalFormatting sqref="B15:F16">
    <cfRule type="expression" dxfId="52" priority="18">
      <formula>$D$14="No"</formula>
    </cfRule>
  </conditionalFormatting>
  <conditionalFormatting sqref="D36:D38">
    <cfRule type="expression" dxfId="51" priority="1">
      <formula>$D$14="No"</formula>
    </cfRule>
  </conditionalFormatting>
  <conditionalFormatting sqref="D41:D44">
    <cfRule type="expression" dxfId="50" priority="389">
      <formula>D$35="Yes"</formula>
    </cfRule>
  </conditionalFormatting>
  <conditionalFormatting sqref="D47">
    <cfRule type="expression" dxfId="49" priority="2">
      <formula>D$46="Yes"</formula>
    </cfRule>
  </conditionalFormatting>
  <conditionalFormatting sqref="F7:F8">
    <cfRule type="cellIs" dxfId="48" priority="24" operator="equal">
      <formula>"NOT in Balance"</formula>
    </cfRule>
  </conditionalFormatting>
  <conditionalFormatting sqref="F54:F61">
    <cfRule type="expression" dxfId="47" priority="27">
      <formula>$D54&gt;0</formula>
    </cfRule>
  </conditionalFormatting>
  <conditionalFormatting sqref="F89:I97">
    <cfRule type="expression" dxfId="46" priority="386">
      <formula>$G$90=0</formula>
    </cfRule>
  </conditionalFormatting>
  <conditionalFormatting sqref="G90">
    <cfRule type="cellIs" dxfId="45" priority="7" operator="equal">
      <formula>0</formula>
    </cfRule>
  </conditionalFormatting>
  <dataValidations count="2">
    <dataValidation type="list" allowBlank="1" showInputMessage="1" showErrorMessage="1" promptTitle="Choose Maximum Developer Fee" sqref="D9" xr:uid="{E84CB51B-812E-406E-9531-D4F54C60956F}">
      <formula1>$B$90:$B$93</formula1>
    </dataValidation>
    <dataValidation type="list" allowBlank="1" showInputMessage="1" showErrorMessage="1" sqref="D14" xr:uid="{D0E8D87A-F375-4E0A-95E6-5F56529B435B}">
      <formula1>$A$90:$A$91</formula1>
    </dataValidation>
  </dataValidations>
  <printOptions horizontalCentered="1" headings="1" gridLines="1"/>
  <pageMargins left="0.25" right="0.25" top="0.25" bottom="0.25" header="0.3" footer="0.3"/>
  <pageSetup scale="7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EBA44-CF97-4227-B8E4-FF89953A1305}">
  <sheetPr codeName="Sheet3"/>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A3A6C-9675-4177-878F-09EBA0085E62}">
  <sheetPr codeName="Sheet4">
    <pageSetUpPr fitToPage="1"/>
  </sheetPr>
  <dimension ref="A1:Q82"/>
  <sheetViews>
    <sheetView zoomScaleNormal="100" zoomScaleSheetLayoutView="100" workbookViewId="0">
      <selection activeCell="G18" sqref="G18"/>
    </sheetView>
  </sheetViews>
  <sheetFormatPr defaultColWidth="9.140625" defaultRowHeight="12.75" outlineLevelRow="1" x14ac:dyDescent="0.2"/>
  <cols>
    <col min="1" max="1" width="12.7109375" style="97" customWidth="1"/>
    <col min="2" max="2" width="98.85546875" style="97" customWidth="1"/>
    <col min="3" max="3" width="1.140625" style="97" customWidth="1"/>
    <col min="4" max="4" width="27.7109375" style="97" customWidth="1"/>
    <col min="5" max="5" width="1.140625" style="97" customWidth="1"/>
    <col min="6" max="8" width="23.5703125" style="97" customWidth="1"/>
    <col min="9" max="11" width="14.42578125" style="97" customWidth="1"/>
    <col min="12" max="12" width="9.140625" style="97" customWidth="1"/>
    <col min="13" max="16384" width="9.140625" style="97"/>
  </cols>
  <sheetData>
    <row r="1" spans="1:14" ht="24.95" customHeight="1" x14ac:dyDescent="0.2">
      <c r="B1" s="348" t="s">
        <v>115</v>
      </c>
      <c r="C1" s="93"/>
      <c r="D1" s="350" t="s">
        <v>127</v>
      </c>
      <c r="E1" s="351"/>
      <c r="F1" s="352"/>
      <c r="G1" s="96"/>
      <c r="H1" s="314"/>
      <c r="I1" s="314"/>
      <c r="J1" s="96"/>
    </row>
    <row r="2" spans="1:14" x14ac:dyDescent="0.2">
      <c r="B2" s="349"/>
      <c r="C2" s="93"/>
      <c r="D2" s="224" t="s">
        <v>128</v>
      </c>
      <c r="E2" s="165"/>
      <c r="F2" s="224" t="s">
        <v>129</v>
      </c>
      <c r="G2" s="96"/>
      <c r="H2" s="96"/>
      <c r="I2" s="96"/>
      <c r="J2" s="96"/>
      <c r="K2" s="99"/>
    </row>
    <row r="3" spans="1:14" ht="24" customHeight="1" x14ac:dyDescent="0.2">
      <c r="B3" s="100"/>
      <c r="C3" s="93"/>
      <c r="E3" s="101"/>
      <c r="F3" s="101"/>
      <c r="G3" s="96"/>
      <c r="H3" s="96"/>
      <c r="I3" s="96"/>
      <c r="J3" s="96"/>
      <c r="K3" s="99"/>
    </row>
    <row r="4" spans="1:14" x14ac:dyDescent="0.2">
      <c r="A4" s="101"/>
      <c r="B4" s="102" t="s">
        <v>116</v>
      </c>
      <c r="C4" s="103"/>
      <c r="D4" s="104" t="str">
        <f ca="1">IF(CELL("type",RFA!D5)="b","",RFA!D5)</f>
        <v/>
      </c>
      <c r="E4" s="105"/>
      <c r="F4" s="282"/>
      <c r="G4" s="96"/>
      <c r="H4" s="96"/>
      <c r="I4" s="254">
        <v>2</v>
      </c>
      <c r="J4" s="165" t="s">
        <v>121</v>
      </c>
      <c r="K4" s="165"/>
      <c r="L4" s="165"/>
      <c r="M4" s="165"/>
      <c r="N4" s="166"/>
    </row>
    <row r="5" spans="1:14" x14ac:dyDescent="0.2">
      <c r="A5" s="101"/>
      <c r="B5" s="102" t="s">
        <v>117</v>
      </c>
      <c r="C5" s="103"/>
      <c r="D5" s="104" t="str">
        <f ca="1">IF(CELL("type",RFA!D6)="b","",RFA!D6)</f>
        <v/>
      </c>
      <c r="E5" s="105"/>
      <c r="F5" s="282"/>
      <c r="G5" s="96"/>
      <c r="H5" s="96"/>
      <c r="I5" s="346">
        <v>0.05</v>
      </c>
      <c r="J5" s="342" t="s">
        <v>212</v>
      </c>
      <c r="K5" s="342"/>
      <c r="L5" s="342"/>
      <c r="M5" s="342"/>
      <c r="N5" s="343"/>
    </row>
    <row r="6" spans="1:14" x14ac:dyDescent="0.2">
      <c r="A6" s="101"/>
      <c r="B6" s="102" t="s">
        <v>118</v>
      </c>
      <c r="C6" s="103"/>
      <c r="D6" s="106" t="str">
        <f>IFERROR(VLOOKUP(1,RFA!C15:D32,2,FALSE),"")</f>
        <v/>
      </c>
      <c r="E6" s="107"/>
      <c r="F6" s="283"/>
      <c r="G6" s="96"/>
      <c r="H6" s="96"/>
      <c r="I6" s="347"/>
      <c r="J6" s="344"/>
      <c r="K6" s="344"/>
      <c r="L6" s="344"/>
      <c r="M6" s="344"/>
      <c r="N6" s="345"/>
    </row>
    <row r="7" spans="1:14" x14ac:dyDescent="0.2">
      <c r="A7" s="101"/>
      <c r="B7" s="102" t="s">
        <v>8</v>
      </c>
      <c r="C7" s="103"/>
      <c r="D7" s="108">
        <f>SUMIF(RFA!B51:B57,"NC",RFA!C51:C57)</f>
        <v>0</v>
      </c>
      <c r="E7" s="109"/>
      <c r="F7" s="284"/>
      <c r="G7" s="110"/>
      <c r="H7" s="99"/>
      <c r="I7" s="99"/>
      <c r="J7" s="99"/>
      <c r="K7" s="99"/>
    </row>
    <row r="8" spans="1:14" x14ac:dyDescent="0.2">
      <c r="A8" s="101"/>
      <c r="B8" s="102" t="s">
        <v>9</v>
      </c>
      <c r="C8" s="103"/>
      <c r="D8" s="108">
        <f>SUMIF(RFA!B51:B57,"Rehab",RFA!C51:C57)</f>
        <v>0</v>
      </c>
      <c r="E8" s="109"/>
      <c r="F8" s="284"/>
      <c r="G8" s="110"/>
      <c r="H8" s="111"/>
      <c r="I8" s="99"/>
    </row>
    <row r="9" spans="1:14" x14ac:dyDescent="0.2">
      <c r="A9" s="101"/>
      <c r="B9" s="112" t="s">
        <v>119</v>
      </c>
      <c r="C9" s="106"/>
      <c r="D9" s="278">
        <f>CUR!D9</f>
        <v>0.16</v>
      </c>
      <c r="E9" s="44"/>
      <c r="F9" s="285"/>
      <c r="G9" s="113"/>
    </row>
    <row r="10" spans="1:14" x14ac:dyDescent="0.2">
      <c r="A10" s="101"/>
      <c r="B10" s="112" t="s">
        <v>224</v>
      </c>
      <c r="C10" s="108"/>
      <c r="D10" s="42">
        <f>RFA!J58</f>
        <v>0</v>
      </c>
      <c r="E10" s="115"/>
      <c r="F10" s="286"/>
      <c r="G10" s="116"/>
      <c r="J10" s="114"/>
    </row>
    <row r="11" spans="1:14" x14ac:dyDescent="0.2">
      <c r="A11" s="101"/>
      <c r="B11" s="112" t="s">
        <v>120</v>
      </c>
      <c r="C11" s="106"/>
      <c r="D11" s="117">
        <f>D7+D8</f>
        <v>0</v>
      </c>
      <c r="E11" s="118"/>
      <c r="F11" s="287"/>
      <c r="G11" s="119"/>
    </row>
    <row r="12" spans="1:14" x14ac:dyDescent="0.2">
      <c r="A12" s="101"/>
      <c r="B12" s="102" t="s">
        <v>222</v>
      </c>
      <c r="C12" s="134"/>
      <c r="D12" s="167">
        <f>ROUND(D10*D11,I4)</f>
        <v>0</v>
      </c>
      <c r="E12" s="123"/>
      <c r="F12" s="281"/>
      <c r="H12" s="124"/>
      <c r="I12" s="125"/>
    </row>
    <row r="13" spans="1:14" x14ac:dyDescent="0.2">
      <c r="A13" s="101"/>
      <c r="B13" s="120" t="s">
        <v>300</v>
      </c>
      <c r="C13" s="121"/>
      <c r="D13" s="122">
        <f>IF(H$75&gt;0,J76,ROUNDDOWN(D12*D9,0))</f>
        <v>0</v>
      </c>
      <c r="E13" s="123"/>
      <c r="F13" s="281"/>
      <c r="G13" s="272" t="s">
        <v>314</v>
      </c>
      <c r="H13" s="168"/>
      <c r="I13" s="125"/>
    </row>
    <row r="14" spans="1:14" x14ac:dyDescent="0.2">
      <c r="A14" s="101"/>
      <c r="B14" s="102" t="s">
        <v>225</v>
      </c>
      <c r="C14" s="121"/>
      <c r="D14" s="280" t="str">
        <f>CUR!D14</f>
        <v>Yes</v>
      </c>
      <c r="E14" s="123"/>
      <c r="F14" s="281"/>
      <c r="G14" s="113"/>
      <c r="H14" s="124"/>
      <c r="I14" s="125"/>
    </row>
    <row r="15" spans="1:14" x14ac:dyDescent="0.2">
      <c r="A15" s="101"/>
      <c r="B15" s="126" t="str">
        <f>IF(D14="Yes","Lesser of Appraised Value or Actual Purchase Price of the Entire Property","")</f>
        <v>Lesser of Appraised Value or Actual Purchase Price of the Entire Property</v>
      </c>
      <c r="C15" s="106"/>
      <c r="D15" s="279">
        <f>CUR!D15</f>
        <v>0</v>
      </c>
      <c r="E15" s="123"/>
      <c r="F15" s="281"/>
      <c r="G15" s="113"/>
      <c r="H15" s="125"/>
      <c r="I15" s="125"/>
    </row>
    <row r="16" spans="1:14" x14ac:dyDescent="0.2">
      <c r="A16" s="101"/>
      <c r="B16" s="126" t="str">
        <f>IF(D14="Yes","Lowest Land Cost Allocation of the Three Land Cost Allocation Methods","")</f>
        <v>Lowest Land Cost Allocation of the Three Land Cost Allocation Methods</v>
      </c>
      <c r="C16" s="106"/>
      <c r="D16" s="279">
        <f>CUR!D16</f>
        <v>0</v>
      </c>
      <c r="E16" s="123"/>
      <c r="F16" s="281"/>
      <c r="G16" s="113"/>
      <c r="H16" s="125"/>
      <c r="I16" s="125"/>
    </row>
    <row r="17" spans="1:17" x14ac:dyDescent="0.2">
      <c r="A17" s="101"/>
      <c r="B17" s="102" t="s">
        <v>223</v>
      </c>
      <c r="C17" s="126"/>
      <c r="D17" s="128">
        <f>CUR!D17</f>
        <v>0</v>
      </c>
      <c r="E17" s="123"/>
      <c r="F17" s="281"/>
      <c r="G17" s="113"/>
      <c r="I17" s="123"/>
      <c r="J17" s="101"/>
      <c r="K17" s="101"/>
      <c r="L17" s="101"/>
      <c r="M17" s="101"/>
      <c r="N17" s="101"/>
      <c r="O17" s="101"/>
      <c r="P17" s="101"/>
      <c r="Q17" s="101"/>
    </row>
    <row r="18" spans="1:17" x14ac:dyDescent="0.2">
      <c r="A18" s="101"/>
      <c r="B18" s="102" t="s">
        <v>303</v>
      </c>
      <c r="C18" s="126"/>
      <c r="D18" s="281"/>
      <c r="E18" s="123"/>
      <c r="F18" s="256">
        <v>0</v>
      </c>
      <c r="G18" s="113"/>
      <c r="I18" s="123"/>
      <c r="J18" s="101"/>
      <c r="K18" s="101"/>
      <c r="L18" s="101"/>
      <c r="M18" s="101"/>
      <c r="N18" s="101"/>
      <c r="O18" s="101"/>
      <c r="P18" s="101"/>
      <c r="Q18" s="101"/>
    </row>
    <row r="19" spans="1:17" x14ac:dyDescent="0.2">
      <c r="A19" s="101"/>
      <c r="B19" s="120" t="s">
        <v>301</v>
      </c>
      <c r="C19" s="129"/>
      <c r="D19" s="130">
        <f>ROUNDDOWN(D17*D9,0)</f>
        <v>0</v>
      </c>
      <c r="E19" s="123"/>
      <c r="F19" s="130">
        <f>ROUNDDOWN((D17+F18)*D9,0)</f>
        <v>0</v>
      </c>
      <c r="G19" s="272" t="s">
        <v>315</v>
      </c>
      <c r="H19" s="168"/>
      <c r="I19" s="125"/>
    </row>
    <row r="20" spans="1:17" x14ac:dyDescent="0.2">
      <c r="A20" s="101"/>
      <c r="B20" s="120" t="s">
        <v>211</v>
      </c>
      <c r="C20" s="129"/>
      <c r="D20" s="184">
        <f>D13+D19</f>
        <v>0</v>
      </c>
      <c r="E20" s="123"/>
      <c r="F20" s="130">
        <f>F19+D13</f>
        <v>0</v>
      </c>
      <c r="G20" s="216"/>
      <c r="H20" s="168"/>
    </row>
    <row r="21" spans="1:17" x14ac:dyDescent="0.2">
      <c r="A21" s="101"/>
      <c r="B21" s="201" t="s">
        <v>263</v>
      </c>
      <c r="C21" s="202"/>
      <c r="D21" s="203">
        <f>D12+D20</f>
        <v>0</v>
      </c>
      <c r="E21" s="185"/>
      <c r="F21" s="289">
        <f>F20+D12</f>
        <v>0</v>
      </c>
      <c r="G21" s="291" t="s">
        <v>242</v>
      </c>
      <c r="H21" s="290"/>
      <c r="I21" s="125"/>
      <c r="J21" s="217"/>
      <c r="K21" s="176"/>
      <c r="L21" s="176"/>
      <c r="M21" s="176"/>
      <c r="N21" s="176"/>
      <c r="O21" s="176"/>
    </row>
    <row r="22" spans="1:17" x14ac:dyDescent="0.2">
      <c r="A22" s="101"/>
      <c r="B22" s="213" t="s">
        <v>302</v>
      </c>
      <c r="C22" s="211"/>
      <c r="D22" s="281"/>
      <c r="E22" s="133"/>
      <c r="F22" s="255">
        <v>0</v>
      </c>
      <c r="G22" s="168"/>
      <c r="J22" s="225"/>
      <c r="K22" s="179"/>
      <c r="L22" s="133"/>
      <c r="M22" s="133"/>
      <c r="N22" s="176"/>
      <c r="O22" s="176"/>
    </row>
    <row r="23" spans="1:17" x14ac:dyDescent="0.2">
      <c r="A23" s="101"/>
      <c r="B23" s="120" t="s">
        <v>244</v>
      </c>
      <c r="C23" s="183"/>
      <c r="D23" s="184">
        <f>CUR!D23</f>
        <v>0</v>
      </c>
      <c r="E23" s="123"/>
      <c r="F23" s="122">
        <f>D23+F22</f>
        <v>0</v>
      </c>
      <c r="G23" s="125"/>
      <c r="H23" s="296"/>
      <c r="J23" s="225"/>
      <c r="K23" s="179"/>
      <c r="L23" s="133"/>
      <c r="M23" s="133"/>
      <c r="N23" s="176"/>
      <c r="O23" s="176"/>
    </row>
    <row r="24" spans="1:17" x14ac:dyDescent="0.2">
      <c r="A24" s="101"/>
      <c r="B24" s="106" t="s">
        <v>289</v>
      </c>
      <c r="C24" s="183"/>
      <c r="D24" s="281"/>
      <c r="E24" s="123"/>
      <c r="F24" s="215" t="str">
        <f>IF(N(D47)&lt;0,"Yes","No")</f>
        <v>No</v>
      </c>
      <c r="G24" s="273" t="str">
        <f>"Exhibit C.1.c.(1)("&amp;IF(F24="No",IF(F32&lt;=F21,"a","b"),IF(F32&lt;D51,"c","d"))&amp;") will apply"</f>
        <v>Exhibit C.1.c.(1)(a) will apply</v>
      </c>
      <c r="H24" s="168"/>
      <c r="I24" s="123"/>
      <c r="K24" s="101"/>
    </row>
    <row r="25" spans="1:17" ht="12" customHeight="1" x14ac:dyDescent="0.2">
      <c r="A25" s="101"/>
      <c r="B25" s="112" t="s">
        <v>250</v>
      </c>
      <c r="C25" s="183"/>
      <c r="D25" s="279">
        <f>CUR!D25</f>
        <v>0</v>
      </c>
      <c r="E25" s="123"/>
      <c r="F25" s="256">
        <v>0</v>
      </c>
      <c r="G25" s="113" t="s">
        <v>270</v>
      </c>
      <c r="H25" s="168"/>
      <c r="I25" s="125"/>
      <c r="J25" s="123"/>
    </row>
    <row r="26" spans="1:17" x14ac:dyDescent="0.2">
      <c r="A26" s="101"/>
      <c r="B26" s="112" t="s">
        <v>123</v>
      </c>
      <c r="C26" s="183"/>
      <c r="D26" s="187">
        <f>IF(D23=0,0,D25/D23)</f>
        <v>0</v>
      </c>
      <c r="E26" s="123"/>
      <c r="F26" s="187">
        <f>IF(F23=0,0,F25/F23)</f>
        <v>0</v>
      </c>
      <c r="G26" s="168"/>
      <c r="H26" s="113"/>
      <c r="I26" s="125"/>
    </row>
    <row r="27" spans="1:17" x14ac:dyDescent="0.2">
      <c r="A27" s="101"/>
      <c r="B27" s="112" t="str">
        <f>"Maximum Developer Fee Based on "&amp;TEXT(D9,"0%")&amp;" Fee Limit"</f>
        <v>Maximum Developer Fee Based on 16% Fee Limit</v>
      </c>
      <c r="C27" s="183"/>
      <c r="D27" s="226">
        <f>IF(D9&lt;&gt;21%,ROUNDDOWN(D23*D9,0),ROUNDDOWN(D23*16%,0)+ROUNDDOWN(D23*I5,0))</f>
        <v>0</v>
      </c>
      <c r="E27" s="123"/>
      <c r="F27" s="226">
        <f>IF(D9&lt;&gt;21%,ROUNDDOWN(F23*D9,0),ROUNDDOWN(F23*16%,0)+ROUNDDOWN(F23*I5,0))</f>
        <v>0</v>
      </c>
      <c r="G27" s="272" t="s">
        <v>296</v>
      </c>
      <c r="H27" s="168" t="str">
        <f>IF(F$23&lt;1,"","( Stated FCCAP Development Costs of "&amp;TEXT(F23,"$#,##0.00")&amp;" x "&amp;TEXT(IF($D9&lt;&gt;21%,$D9,16%),"0%")&amp;", rounded down to nearest $1 )"&amp;IF($D9&lt;&gt;21%,""," + "&amp;TEXT(F23,"$#,##0.00")&amp;" x "&amp;TEXT($I5,"0%")&amp;", rounded down to nearest $1 )"))</f>
        <v/>
      </c>
      <c r="I27" s="123"/>
      <c r="J27" s="101"/>
      <c r="K27" s="101"/>
      <c r="L27" s="101"/>
    </row>
    <row r="28" spans="1:17" x14ac:dyDescent="0.2">
      <c r="A28" s="101"/>
      <c r="B28" s="206" t="s">
        <v>251</v>
      </c>
      <c r="C28" s="183"/>
      <c r="D28" s="227">
        <f>IF(D27&gt;=D25,0,D27-D25)</f>
        <v>0</v>
      </c>
      <c r="E28" s="123"/>
      <c r="F28" s="227">
        <f>IF(F27&gt;=F25,0,F27-F25)</f>
        <v>0</v>
      </c>
      <c r="G28" s="272" t="s">
        <v>296</v>
      </c>
      <c r="H28" s="168" t="str">
        <f>IF(OR(F$23&lt;1,F$28=0),"","( Maximum % DF of "&amp;TEXT(F27,"$#,##0.00")&amp;", less initial stated DF of "&amp;TEXT(F25,"$#,##0.00")&amp;" )")</f>
        <v/>
      </c>
      <c r="I28" s="123"/>
      <c r="J28" s="101"/>
      <c r="K28" s="101"/>
      <c r="L28" s="101"/>
    </row>
    <row r="29" spans="1:17" x14ac:dyDescent="0.2">
      <c r="A29" s="101"/>
      <c r="B29" s="112" t="str">
        <f>"Stated DF within "&amp;IF(D28=0,"Actual","Adjusted")&amp;" Stated Overall Total Development Costs, after % Fee in 1.b.(1)"</f>
        <v>Stated DF within Actual Stated Overall Total Development Costs, after % Fee in 1.b.(1)</v>
      </c>
      <c r="C29" s="183"/>
      <c r="D29" s="228">
        <f>D25+D28</f>
        <v>0</v>
      </c>
      <c r="E29" s="123"/>
      <c r="F29" s="228">
        <f>F25+F28</f>
        <v>0</v>
      </c>
      <c r="G29" s="272" t="s">
        <v>296</v>
      </c>
      <c r="H29" s="297" t="str">
        <f>IF(OR(F$23&lt;1,F$28=0),"","( Initial stated DF "&amp;TEXT(F25,"$#,##0.00")&amp;", less 1st Adjustment of "&amp;TEXT(-F28,"$#,##0.00")&amp;" )")</f>
        <v/>
      </c>
      <c r="I29" s="123"/>
      <c r="J29" s="101"/>
      <c r="K29" s="101"/>
      <c r="L29" s="101"/>
    </row>
    <row r="30" spans="1:17" x14ac:dyDescent="0.2">
      <c r="A30" s="101"/>
      <c r="B30" s="206" t="s">
        <v>317</v>
      </c>
      <c r="C30" s="183"/>
      <c r="D30" s="227" t="str">
        <f>IF(D29&gt;D20,D20-D29,"NA  ")</f>
        <v xml:space="preserve">NA  </v>
      </c>
      <c r="E30" s="123"/>
      <c r="F30" s="227">
        <f>IF(F29&gt;F20,F20-F29,0)</f>
        <v>0</v>
      </c>
      <c r="G30" s="272" t="s">
        <v>296</v>
      </c>
      <c r="H30" s="168" t="str">
        <f>IF(F29&gt;F20,"( The stated % Fee limit of "&amp;TEXT(F29,"$#,##0.00")&amp;", less the Total Maximum Developer Fee of "&amp;TEXT(F20,"$#,##0.00")&amp;" )","")</f>
        <v/>
      </c>
      <c r="I30" s="123"/>
      <c r="J30" s="101"/>
      <c r="K30" s="101"/>
      <c r="L30" s="101"/>
    </row>
    <row r="31" spans="1:17" x14ac:dyDescent="0.2">
      <c r="A31" s="101"/>
      <c r="B31" s="112" t="s">
        <v>316</v>
      </c>
      <c r="C31" s="183"/>
      <c r="D31" s="226">
        <f>D29+N(D30)</f>
        <v>0</v>
      </c>
      <c r="E31" s="123"/>
      <c r="F31" s="226">
        <f>F29+N(F30)</f>
        <v>0</v>
      </c>
      <c r="G31" s="272" t="s">
        <v>296</v>
      </c>
      <c r="H31" s="168" t="str">
        <f>IF(N(F30)=0,"( The previously stated DF )","( The previously stated DF of "&amp;TEXT(F29,"$#,##0.00")&amp;", less the excess fee of "&amp;TEXT(-N(F30),"$#,##0.00")&amp;" )")</f>
        <v>( The previously stated DF )</v>
      </c>
      <c r="I31" s="123"/>
      <c r="J31" s="101"/>
      <c r="K31" s="101"/>
      <c r="L31" s="101"/>
    </row>
    <row r="32" spans="1:17" x14ac:dyDescent="0.2">
      <c r="A32" s="101"/>
      <c r="B32" s="112" t="s">
        <v>299</v>
      </c>
      <c r="C32" s="183"/>
      <c r="D32" s="279">
        <f>CUR!D32</f>
        <v>0</v>
      </c>
      <c r="E32" s="123"/>
      <c r="F32" s="294">
        <f>D51+F22-D48+F31</f>
        <v>0</v>
      </c>
      <c r="G32" s="272" t="s">
        <v>296</v>
      </c>
      <c r="H32" s="297" t="str">
        <f>IF(F$23&lt;1,"","( "&amp;IF(F28+F30=0,"Same as Initial FCCAP Net Stated TDC","Initial FCCAP Net Stated TDC ["&amp;TEXT(D51+F22-D48+F25,"$#,##0.00")&amp;"], less 1st Adjustment"&amp;IF(N(F30)&lt;0,"s","")&amp;" of "&amp;TEXT(-F28,"$#,##0.00"))&amp;IF(N(F30)&lt;0," and "&amp;TEXT(-N(F30),"$#,##0.00"),"")&amp;" )")</f>
        <v/>
      </c>
      <c r="I32" s="123"/>
      <c r="J32" s="101"/>
      <c r="K32" s="101"/>
      <c r="L32" s="101"/>
    </row>
    <row r="33" spans="1:13" x14ac:dyDescent="0.2">
      <c r="A33" s="101"/>
      <c r="B33" s="112" t="str">
        <f>IF(D28+F28=0,"Actual","Adjusted")&amp;" Stated Overall Total Development Costs, after 1.b.(1) or 1.c.(1), as applicable"</f>
        <v>Actual Stated Overall Total Development Costs, after 1.b.(1) or 1.c.(1), as applicable</v>
      </c>
      <c r="C33" s="183"/>
      <c r="D33" s="226">
        <f>CUR!D33</f>
        <v>0</v>
      </c>
      <c r="E33" s="123"/>
      <c r="F33" s="226">
        <f>D49+F22-D48+F31</f>
        <v>0</v>
      </c>
      <c r="G33" s="272" t="s">
        <v>296</v>
      </c>
      <c r="H33" s="168" t="str">
        <f>IF(OR($F$23&lt;1,F$28+F$30=0),"( Same as Initial FCCAP Stated Overall TDC )","( Initial FCCAP TDC of "&amp;TEXT(D49+F22-D48+F25,"$#,##0.00")&amp;", less 1st Adjustment"&amp;IF(N(F30)&lt;0,"s","")&amp;" of "&amp;TEXT(-F28,"$#,##0.00")&amp;IF(N(F30)&lt;0," and "&amp;TEXT(-N(F30),"$#,##0.00"),"")&amp;" )")</f>
        <v>( Same as Initial FCCAP Stated Overall TDC )</v>
      </c>
      <c r="J33" s="101"/>
      <c r="K33" s="101"/>
      <c r="L33" s="101"/>
    </row>
    <row r="34" spans="1:13" x14ac:dyDescent="0.2">
      <c r="A34" s="101"/>
      <c r="B34" s="112"/>
      <c r="C34" s="183"/>
      <c r="D34" s="226"/>
      <c r="E34" s="123"/>
      <c r="F34" s="279"/>
      <c r="G34" s="127"/>
      <c r="H34" s="113"/>
      <c r="J34" s="101"/>
      <c r="K34" s="123"/>
      <c r="L34" s="101"/>
    </row>
    <row r="35" spans="1:13" x14ac:dyDescent="0.2">
      <c r="A35" s="101"/>
      <c r="B35" s="120" t="s">
        <v>255</v>
      </c>
      <c r="C35" s="183"/>
      <c r="D35" s="205" t="str">
        <f>IF(D21&gt;=D40,"Yes","No")</f>
        <v>Yes</v>
      </c>
      <c r="E35" s="123"/>
      <c r="F35" s="215" t="str">
        <f>IF(F21&gt;=F32,"Yes","No")</f>
        <v>Yes</v>
      </c>
      <c r="G35" s="292" t="str">
        <f>"Exhibit C.1.c.(1)("&amp;IF(F24="No",IF(F40&lt;=F21,"a","b"),IF(F40&lt;=D51,"c","d"))&amp;")"</f>
        <v>Exhibit C.1.c.(1)(a)</v>
      </c>
      <c r="H35" s="113" t="s">
        <v>259</v>
      </c>
      <c r="J35" s="101"/>
      <c r="K35" s="101"/>
      <c r="L35" s="101"/>
    </row>
    <row r="36" spans="1:13" x14ac:dyDescent="0.2">
      <c r="A36" s="101"/>
      <c r="B36" s="112" t="s">
        <v>308</v>
      </c>
      <c r="C36" s="183"/>
      <c r="D36" s="281"/>
      <c r="E36" s="123"/>
      <c r="F36" s="298" t="str">
        <f>IF(OR(F24="No",F35="Yes"),"NA",IF(F31&gt;D45,"Yes","No"))</f>
        <v>NA</v>
      </c>
      <c r="G36" s="293" t="s">
        <v>311</v>
      </c>
      <c r="H36" s="168" t="str">
        <f>IF(OR(F36="NA",F36="No"),"","( The previously stated DF of "&amp;TEXT(F31,"$#,##0.00")&amp;" exceeds the maximum DF at time of CUR of "&amp;TEXT(D45,"$#,##0.00")&amp;" )")</f>
        <v/>
      </c>
      <c r="J36" s="101"/>
      <c r="K36" s="101"/>
      <c r="L36" s="101"/>
    </row>
    <row r="37" spans="1:13" x14ac:dyDescent="0.2">
      <c r="A37" s="101"/>
      <c r="B37" s="112" t="s">
        <v>310</v>
      </c>
      <c r="C37" s="183"/>
      <c r="D37" s="281"/>
      <c r="E37" s="123"/>
      <c r="F37" s="299" t="str">
        <f>IF(F35="Yes","NA  ",IF(OR(F36="No",F36="NA"),"NA  ",IF(N(D45)&gt;0,IF(D45-F31&lt;0,D45-F31,0),"NA  ")))</f>
        <v xml:space="preserve">NA  </v>
      </c>
      <c r="G37" s="293" t="s">
        <v>311</v>
      </c>
      <c r="H37" s="297" t="str">
        <f>IF(F37="NA  ","","( The maximum DF at time of CUR of "&amp;TEXT(N(D45),"$#,##0.00")&amp;", less the previously stated FCAAP DF of "&amp;TEXT(F31,"$#,##0.00")&amp;" )")</f>
        <v/>
      </c>
      <c r="J37" s="101"/>
      <c r="K37" s="101"/>
      <c r="L37" s="101"/>
    </row>
    <row r="38" spans="1:13" x14ac:dyDescent="0.2">
      <c r="A38" s="101"/>
      <c r="B38" s="112" t="s">
        <v>309</v>
      </c>
      <c r="C38" s="183"/>
      <c r="D38" s="281"/>
      <c r="E38" s="123"/>
      <c r="F38" s="268">
        <f>F31+N(F37)</f>
        <v>0</v>
      </c>
      <c r="G38" s="293" t="str">
        <f>"Exhibit C.1.c.(1)("&amp;IF(F24="No",IF(F40&lt;=F21,"a","b"),IF(F40&lt;=D51,"c","d"))&amp;")"</f>
        <v>Exhibit C.1.c.(1)(a)</v>
      </c>
      <c r="H38" s="168" t="str">
        <f>IF(N(F37)=0,"( No change from previously stated DF amount )","( Previous DF of "&amp;TEXT(F31,"$#,##0.00")&amp;", less the 1.c.(1)(d) adjustment of "&amp;TEXT(-N(F37),"$#,##0.00")&amp;" )")</f>
        <v>( No change from previously stated DF amount )</v>
      </c>
      <c r="J38" s="101"/>
      <c r="K38" s="101"/>
      <c r="L38" s="101"/>
    </row>
    <row r="39" spans="1:13" x14ac:dyDescent="0.2">
      <c r="A39" s="101"/>
      <c r="B39" s="112" t="s">
        <v>297</v>
      </c>
      <c r="C39" s="183"/>
      <c r="D39" s="226">
        <f>D33</f>
        <v>0</v>
      </c>
      <c r="E39" s="123"/>
      <c r="F39" s="279">
        <f>F33+N(F37)</f>
        <v>0</v>
      </c>
      <c r="G39" s="293" t="str">
        <f>"Exhibit C.1.c.(1)("&amp;IF(F24="No",IF(F40&lt;=F21,"a","b"),IF(F40&lt;=D51,"c","d"))&amp;")"</f>
        <v>Exhibit C.1.c.(1)(a)</v>
      </c>
      <c r="H39" s="168" t="str">
        <f>IF(N(F37)=0,"( No change from previously stated Overall TDC amount )","( Previous overall TDC amount of "&amp;TEXT(F33,"$#,##0.00")&amp;", less the 1.c.(1)(d) adjustment of "&amp;TEXT(-N(F37),"$#,##0.00")&amp;" )")</f>
        <v>( No change from previously stated Overall TDC amount )</v>
      </c>
      <c r="J39" s="101"/>
      <c r="K39" s="101"/>
      <c r="L39" s="101"/>
    </row>
    <row r="40" spans="1:13" x14ac:dyDescent="0.2">
      <c r="A40" s="101"/>
      <c r="B40" s="120" t="s">
        <v>312</v>
      </c>
      <c r="C40" s="183"/>
      <c r="D40" s="204">
        <f>CUR!D40</f>
        <v>0</v>
      </c>
      <c r="E40" s="123"/>
      <c r="F40" s="288">
        <f>D51+F22-D48+F38</f>
        <v>0</v>
      </c>
      <c r="G40" s="293" t="str">
        <f>"Exhibit C.1.c.(1)("&amp;IF(F24="No",IF(F40&lt;=F21,"a","b"),IF(F40&lt;=D51,"c","d"))&amp;")"</f>
        <v>Exhibit C.1.c.(1)(a)</v>
      </c>
      <c r="H40" s="297" t="str">
        <f>IF(N(F40)=N(F32),"( No change from previously stated Net TDC amount )","( Previously stated Net TDC amount of "&amp;TEXT(N(F32),"$#,##0.00")&amp;", less the 1.c.(1)(d) adjustment of "&amp;TEXT(-N(F37),"$#,##0.00")&amp;" )")</f>
        <v>( No change from previously stated Net TDC amount )</v>
      </c>
      <c r="J40" s="101"/>
      <c r="K40" s="101"/>
      <c r="L40" s="101"/>
    </row>
    <row r="41" spans="1:13" s="101" customFormat="1" x14ac:dyDescent="0.2">
      <c r="B41" s="102" t="s">
        <v>291</v>
      </c>
      <c r="C41" s="183"/>
      <c r="D41" s="268" t="str">
        <f>IF(D$35="Yes","NA  ",IF(D40&gt;D21,(D40-D21),0))</f>
        <v xml:space="preserve">NA  </v>
      </c>
      <c r="E41" s="123"/>
      <c r="F41" s="268" t="str">
        <f>IF(F$35="Yes","NA  ",IF(F40&gt;F21,(F40-F21),0))</f>
        <v xml:space="preserve">NA  </v>
      </c>
      <c r="G41" s="272" t="s">
        <v>304</v>
      </c>
      <c r="H41" s="297" t="str">
        <f>IF(F$35="Yes","","( The previously stated Net TDC of "&amp;TEXT(F40,"$#,##0.00")&amp;", less the Development's Maximum TDC Component of "&amp;TEXT(F21,"$#,##0.00")&amp;" )")</f>
        <v/>
      </c>
      <c r="I41" s="123"/>
    </row>
    <row r="42" spans="1:13" x14ac:dyDescent="0.2">
      <c r="A42" s="101"/>
      <c r="B42" s="112" t="s">
        <v>256</v>
      </c>
      <c r="C42" s="183"/>
      <c r="D42" s="269" t="str">
        <f>IF(D$35="Yes","NA  ",750000)</f>
        <v xml:space="preserve">NA  </v>
      </c>
      <c r="E42" s="123"/>
      <c r="F42" s="269" t="str">
        <f>IF(F$35="Yes","NA  ",350000)</f>
        <v xml:space="preserve">NA  </v>
      </c>
      <c r="G42" s="272" t="s">
        <v>305</v>
      </c>
      <c r="H42" s="168"/>
      <c r="I42" s="123"/>
      <c r="J42" s="101"/>
      <c r="K42" s="101"/>
      <c r="L42" s="101"/>
      <c r="M42" s="101"/>
    </row>
    <row r="43" spans="1:13" x14ac:dyDescent="0.2">
      <c r="A43" s="101"/>
      <c r="B43" s="102" t="s">
        <v>215</v>
      </c>
      <c r="C43" s="183"/>
      <c r="D43" s="269" t="str">
        <f>IF(D$35="Yes","NA  ",ROUND(D20*0.25,I4))</f>
        <v xml:space="preserve">NA  </v>
      </c>
      <c r="E43" s="123"/>
      <c r="F43" s="269" t="str">
        <f>IF(F$35="Yes","NA  ",ROUND(F20*0.1,K4))</f>
        <v xml:space="preserve">NA  </v>
      </c>
      <c r="G43" s="272" t="s">
        <v>306</v>
      </c>
      <c r="H43" s="168" t="str">
        <f>IF(F$43="NA  ","","( Total Maximum Developer Fee of "&amp;TEXT(F20,"$#,##0.00")&amp;" x 10%, rounded to nearest "&amp;CHOOSE(I4+1,"dollar","dime","penny")&amp;" )")</f>
        <v/>
      </c>
      <c r="I43" s="123"/>
      <c r="J43" s="101"/>
      <c r="K43" s="101"/>
      <c r="L43" s="101"/>
      <c r="M43" s="101"/>
    </row>
    <row r="44" spans="1:13" x14ac:dyDescent="0.2">
      <c r="A44" s="101"/>
      <c r="B44" s="206" t="s">
        <v>264</v>
      </c>
      <c r="C44" s="145"/>
      <c r="D44" s="227" t="str">
        <f>IF(D$35="Yes","NA  ",-IF(D40&gt;D21,(MIN(D41,D42,D43)),0))</f>
        <v xml:space="preserve">NA  </v>
      </c>
      <c r="E44" s="123"/>
      <c r="F44" s="227" t="str">
        <f>IF(F$35="Yes","NA  ",-IF(F40&gt;F21,(MIN(F41,F42,F43)),0))</f>
        <v xml:space="preserve">NA  </v>
      </c>
      <c r="G44" s="272" t="s">
        <v>307</v>
      </c>
      <c r="H44" s="168" t="str">
        <f>IF(F$44="NA  ","","( The lesser of "&amp;TEXT(MIN(N(F41),N(F42),N(F43)),"$#,##0.00")&amp;", "&amp;TEXT(IF(AND(N(F41)&lt;=N(F42),N(F42)&lt;=N(F43)),N(F42),IF(AND(N(F42)&lt;=N(F41),N(F41)&lt;=N(F43)),N(F41),IF(AND(N(F43)&lt;N(F41),N(F43)&lt;N(F42)),IF(N(F42)&lt;N(F41),N(F42),N(F41)),N(F43)))),"$#,##0.00")&amp;" or "&amp;TEXT(MAX(N(F41),N(F42),N(F43)),"$#,##0.00")&amp;" )")</f>
        <v/>
      </c>
      <c r="I44" s="123"/>
      <c r="J44" s="101"/>
      <c r="K44" s="101"/>
      <c r="L44" s="101"/>
      <c r="M44" s="101"/>
    </row>
    <row r="45" spans="1:13" x14ac:dyDescent="0.2">
      <c r="A45" s="101"/>
      <c r="B45" s="102" t="s">
        <v>257</v>
      </c>
      <c r="C45" s="145"/>
      <c r="D45" s="229">
        <f>D20+N(D44)</f>
        <v>0</v>
      </c>
      <c r="E45" s="123"/>
      <c r="F45" s="229">
        <f>IF(F24="Yes",MIN(D45,F20,F27),MIN(F20,F27))+N(F44)</f>
        <v>0</v>
      </c>
      <c r="G45" s="272" t="s">
        <v>307</v>
      </c>
      <c r="H45" s="168" t="str">
        <f>IF(F24="Yes","( The Maximum DF at time of CUR of "&amp;TEXT(D45,"$#,##0.00")&amp;IF(F44&lt;0,", less the adjustment amount of "&amp;TEXT(-N(F44),"$#,##0.00")," unadjusted")&amp;" )",IF(F45=F31,"","( The Maximum FCCAP Total Developer Fee of "&amp;TEXT(MIN(F20,F27),"$#,##).00")&amp;", less the adjustment amount of "&amp;TEXT(-N(F44),"$#,##0.00")&amp;" )"))</f>
        <v/>
      </c>
      <c r="I45" s="123"/>
      <c r="J45" s="101"/>
      <c r="K45" s="101"/>
      <c r="L45" s="101"/>
      <c r="M45" s="101"/>
    </row>
    <row r="46" spans="1:13" x14ac:dyDescent="0.2">
      <c r="A46" s="101"/>
      <c r="B46" s="102" t="s">
        <v>318</v>
      </c>
      <c r="C46" s="145"/>
      <c r="D46" s="230" t="str">
        <f>IF(D45&gt;=D31,"Yes","No")</f>
        <v>Yes</v>
      </c>
      <c r="E46" s="123"/>
      <c r="F46" s="230" t="str">
        <f>IF(F45&gt;=F38,"Yes","No")</f>
        <v>Yes</v>
      </c>
      <c r="H46" s="168" t="s">
        <v>259</v>
      </c>
      <c r="I46" s="123"/>
      <c r="J46" s="101"/>
      <c r="K46" s="101"/>
      <c r="L46" s="101"/>
      <c r="M46" s="101"/>
    </row>
    <row r="47" spans="1:13" x14ac:dyDescent="0.2">
      <c r="A47" s="101"/>
      <c r="B47" s="206" t="s">
        <v>260</v>
      </c>
      <c r="C47" s="145"/>
      <c r="D47" s="270" t="str">
        <f>IF(D$46="Yes","NA  ",IF(D45-D31&lt;0,D45-D31,0))</f>
        <v xml:space="preserve">NA  </v>
      </c>
      <c r="E47" s="123"/>
      <c r="F47" s="270" t="str">
        <f>IF(F$46="Yes","NA  ",IF(F45-F38&lt;0,F45-F38,0))</f>
        <v xml:space="preserve">NA  </v>
      </c>
      <c r="G47" s="127"/>
      <c r="H47" s="292" t="str">
        <f>IF(N(F47)=0,"","( The previously stated DF of "&amp;TEXT(N(F38),"$#,##0.00")&amp;", less the Maximum Developer Fee of "&amp;TEXT(N(F45),"$#,##0.00")&amp;" )")</f>
        <v/>
      </c>
      <c r="I47" s="123"/>
      <c r="J47" s="101"/>
      <c r="K47" s="101"/>
      <c r="L47" s="101"/>
      <c r="M47" s="101"/>
    </row>
    <row r="48" spans="1:13" x14ac:dyDescent="0.2">
      <c r="A48" s="101"/>
      <c r="B48" s="112" t="s">
        <v>261</v>
      </c>
      <c r="C48" s="145"/>
      <c r="D48" s="229">
        <f>D31+N(D47)</f>
        <v>0</v>
      </c>
      <c r="E48" s="123"/>
      <c r="F48" s="229">
        <f>F38+N(F47)</f>
        <v>0</v>
      </c>
      <c r="G48" s="127"/>
      <c r="H48" s="168" t="str">
        <f>IF(N(F47)=0,"","( The previously stated DF of "&amp;TEXT(N(F38),"$#,##0.00")&amp;", less the adjustment amount of "&amp;TEXT(-N(F47),"$#,##0.00")&amp;" )")</f>
        <v/>
      </c>
      <c r="I48" s="123"/>
      <c r="J48" s="101"/>
      <c r="K48" s="101"/>
      <c r="L48" s="101"/>
      <c r="M48" s="101"/>
    </row>
    <row r="49" spans="1:13" x14ac:dyDescent="0.2">
      <c r="A49" s="101"/>
      <c r="B49" s="112" t="s">
        <v>262</v>
      </c>
      <c r="C49" s="145"/>
      <c r="D49" s="229">
        <f>D39+N(D47)</f>
        <v>0</v>
      </c>
      <c r="E49" s="123"/>
      <c r="F49" s="229">
        <f>F39+N(F47)</f>
        <v>0</v>
      </c>
      <c r="G49" s="168"/>
      <c r="H49" s="168" t="str">
        <f>IF(N(F47)=0,"","( The previously stated stated overall TDC of "&amp;TEXT(N(F39),"$#,##0.00")&amp;", less the adjustment amount of "&amp;TEXT(-N(F47),"$#,##0.00")&amp;" )")</f>
        <v/>
      </c>
      <c r="I49" s="123"/>
      <c r="J49" s="101"/>
      <c r="K49" s="101"/>
      <c r="L49" s="101"/>
      <c r="M49" s="101"/>
    </row>
    <row r="50" spans="1:13" x14ac:dyDescent="0.2">
      <c r="A50" s="101"/>
      <c r="B50" s="102"/>
      <c r="C50" s="145"/>
      <c r="D50" s="229"/>
      <c r="E50" s="123"/>
      <c r="F50" s="279"/>
      <c r="G50" s="168"/>
      <c r="H50" s="113"/>
      <c r="I50" s="123"/>
      <c r="J50" s="101"/>
      <c r="K50" s="101"/>
      <c r="L50" s="101"/>
      <c r="M50" s="101"/>
    </row>
    <row r="51" spans="1:13" s="181" customFormat="1" ht="13.5" thickBot="1" x14ac:dyDescent="0.25">
      <c r="A51" s="176"/>
      <c r="B51" s="112" t="s">
        <v>288</v>
      </c>
      <c r="C51" s="207"/>
      <c r="D51" s="231">
        <f>D40+N(D47)</f>
        <v>0</v>
      </c>
      <c r="E51" s="174"/>
      <c r="F51" s="231">
        <f>F40+N(F47)</f>
        <v>0</v>
      </c>
      <c r="G51" s="175"/>
      <c r="H51" s="175"/>
      <c r="I51" s="133"/>
      <c r="J51" s="176"/>
      <c r="K51" s="176"/>
      <c r="L51" s="176"/>
      <c r="M51" s="176"/>
    </row>
    <row r="52" spans="1:13" x14ac:dyDescent="0.2">
      <c r="A52" s="101"/>
      <c r="H52" s="125"/>
    </row>
    <row r="53" spans="1:13" x14ac:dyDescent="0.2">
      <c r="H53" s="146"/>
    </row>
    <row r="54" spans="1:13" ht="15" x14ac:dyDescent="0.2">
      <c r="B54" s="152" t="s">
        <v>218</v>
      </c>
      <c r="C54" s="153"/>
      <c r="D54" s="154">
        <f>D48</f>
        <v>0</v>
      </c>
      <c r="F54" s="154">
        <f>F48</f>
        <v>0</v>
      </c>
      <c r="H54" s="146"/>
    </row>
    <row r="55" spans="1:13" ht="15" x14ac:dyDescent="0.2">
      <c r="B55" s="152" t="s">
        <v>145</v>
      </c>
      <c r="C55" s="153"/>
      <c r="D55" s="154">
        <f>D49</f>
        <v>0</v>
      </c>
      <c r="F55" s="154">
        <f>F49</f>
        <v>0</v>
      </c>
      <c r="H55" s="146"/>
    </row>
    <row r="56" spans="1:13" x14ac:dyDescent="0.2">
      <c r="D56" s="125"/>
      <c r="H56" s="146"/>
    </row>
    <row r="57" spans="1:13" x14ac:dyDescent="0.2">
      <c r="H57" s="125"/>
    </row>
    <row r="58" spans="1:13" x14ac:dyDescent="0.2">
      <c r="B58" s="131" t="s">
        <v>124</v>
      </c>
      <c r="D58" s="170">
        <f>D28+N(D47)</f>
        <v>0</v>
      </c>
      <c r="F58" s="170">
        <f>F28+N(F47)</f>
        <v>0</v>
      </c>
      <c r="G58" s="182"/>
      <c r="H58" s="125"/>
    </row>
    <row r="59" spans="1:13" x14ac:dyDescent="0.2">
      <c r="B59" s="169" t="s">
        <v>125</v>
      </c>
      <c r="C59" s="139"/>
      <c r="D59" s="232">
        <f>IF(D58=0,0,D58/D25)</f>
        <v>0</v>
      </c>
      <c r="E59" s="123"/>
      <c r="F59" s="232">
        <f>IF(F58=0,0,F58/F25)</f>
        <v>0</v>
      </c>
      <c r="H59" s="125"/>
    </row>
    <row r="60" spans="1:13" x14ac:dyDescent="0.2">
      <c r="B60" s="142" t="s">
        <v>237</v>
      </c>
      <c r="D60" s="171" t="e">
        <f>D54/D55</f>
        <v>#DIV/0!</v>
      </c>
      <c r="E60" s="123"/>
      <c r="F60" s="171" t="e">
        <f>F54/F55</f>
        <v>#DIV/0!</v>
      </c>
      <c r="H60" s="146"/>
    </row>
    <row r="61" spans="1:13" x14ac:dyDescent="0.2">
      <c r="B61" s="142" t="s">
        <v>126</v>
      </c>
      <c r="D61" s="171">
        <f>IF(D23=0,0,D54/D23)</f>
        <v>0</v>
      </c>
      <c r="F61" s="171">
        <f>IF(F23=0,0,F54/F23)</f>
        <v>0</v>
      </c>
      <c r="H61" s="113"/>
      <c r="I61" s="125"/>
    </row>
    <row r="62" spans="1:13" x14ac:dyDescent="0.2">
      <c r="G62" s="146"/>
      <c r="H62" s="113"/>
      <c r="I62" s="125"/>
    </row>
    <row r="63" spans="1:13" x14ac:dyDescent="0.2">
      <c r="A63" s="101"/>
      <c r="B63" s="112" t="str">
        <f>IF(D9=21%,"The maximum non-ODR DF (on Non-Acquisition Costs) portion of the 21% DF above that IS subject to DF adjustments","")</f>
        <v/>
      </c>
      <c r="C63" s="106"/>
      <c r="D63" s="132" t="str">
        <f>IFERROR(IF(D9=21%,ROUNDDOWN((D12*(D9-0.05)),0),""),"")</f>
        <v/>
      </c>
      <c r="E63" s="133"/>
      <c r="F63" s="132" t="str">
        <f>IFERROR(IF(D9=21%,ROUNDDOWN((D12*(D9-0.05)),0),""),"")</f>
        <v/>
      </c>
      <c r="G63" s="196"/>
      <c r="H63" s="123"/>
      <c r="I63" s="123"/>
      <c r="J63" s="101"/>
    </row>
    <row r="64" spans="1:13" x14ac:dyDescent="0.2">
      <c r="A64" s="101"/>
      <c r="B64" s="112" t="str">
        <f>IF(D9=21%,"The maximum non-ODR DF (on Building Acquisition Costs) portion of the 21% DF above that IS subject to DF adjustments","")</f>
        <v/>
      </c>
      <c r="C64" s="106"/>
      <c r="D64" s="132" t="str">
        <f>IFERROR(IF(D9=21%,ROUNDDOWN((D17*(D9-0.05)),0),""),"")</f>
        <v/>
      </c>
      <c r="E64" s="133"/>
      <c r="F64" s="132" t="str">
        <f>IFERROR(IF(D9=21%,ROUNDDOWN((D17*(D9-0.05)),0),""),"")</f>
        <v/>
      </c>
      <c r="G64" s="197"/>
      <c r="H64" s="123"/>
      <c r="I64" s="123"/>
      <c r="J64" s="101"/>
    </row>
    <row r="65" spans="1:10" x14ac:dyDescent="0.2">
      <c r="A65" s="101"/>
      <c r="B65" s="120" t="str">
        <f>IF(D9=21%,"Total maximum non-ODR DF portion of the 21% DF above that IS subject to DF adjustments","")</f>
        <v/>
      </c>
      <c r="C65" s="121"/>
      <c r="D65" s="135" t="str">
        <f>IF(D63="","",D63+D64)</f>
        <v/>
      </c>
      <c r="E65" s="133"/>
      <c r="F65" s="135" t="str">
        <f>IF(F63="","",F63+F64)</f>
        <v/>
      </c>
      <c r="G65" s="198"/>
      <c r="H65" s="123"/>
      <c r="I65" s="123"/>
      <c r="J65" s="101"/>
    </row>
    <row r="66" spans="1:10" x14ac:dyDescent="0.2">
      <c r="A66" s="101"/>
      <c r="B66" s="131" t="str">
        <f>IF(D9=21%,"Total Adjustments","")</f>
        <v/>
      </c>
      <c r="C66" s="121"/>
      <c r="D66" s="233" t="str">
        <f>IF(D63="","",IFERROR(N(D44),""))</f>
        <v/>
      </c>
      <c r="E66" s="133"/>
      <c r="F66" s="233" t="str">
        <f>IF(F63="","",IFERROR(N(F44),""))</f>
        <v/>
      </c>
      <c r="G66" s="199"/>
      <c r="H66" s="123"/>
      <c r="I66" s="123"/>
      <c r="J66" s="101"/>
    </row>
    <row r="67" spans="1:10" x14ac:dyDescent="0.2">
      <c r="A67" s="101"/>
      <c r="B67" s="120" t="str">
        <f>IF(D9=21%,"Total maximum non-ODR DF portion of the 21% DF above after adjustments","")</f>
        <v/>
      </c>
      <c r="C67" s="121"/>
      <c r="D67" s="136" t="str">
        <f>IFERROR(D65+D66,"")</f>
        <v/>
      </c>
      <c r="E67" s="133"/>
      <c r="F67" s="136" t="str">
        <f>IFERROR(F65+F66,"")</f>
        <v/>
      </c>
      <c r="G67" s="198"/>
      <c r="H67" s="123"/>
      <c r="I67" s="123"/>
      <c r="J67" s="101"/>
    </row>
    <row r="68" spans="1:10" x14ac:dyDescent="0.2">
      <c r="A68" s="101"/>
      <c r="B68" s="112" t="str">
        <f>IF(D9=21%,"The maximum ODR DF (on Non-Acquisition Costs) portion of the 21% DF above that is NOT subject to any DF adjustments","")</f>
        <v/>
      </c>
      <c r="C68" s="106"/>
      <c r="D68" s="137" t="str">
        <f>IF(D9=21%,ROUNDDOWN((D12*I5),0),"")</f>
        <v/>
      </c>
      <c r="E68" s="133"/>
      <c r="F68" s="137" t="str">
        <f>IF(D9=21%,ROUNDDOWN((D12*I5),0),"")</f>
        <v/>
      </c>
      <c r="G68" s="123"/>
      <c r="H68" s="123"/>
      <c r="I68" s="123"/>
      <c r="J68" s="101"/>
    </row>
    <row r="69" spans="1:10" x14ac:dyDescent="0.2">
      <c r="A69" s="101"/>
      <c r="B69" s="112" t="str">
        <f>IF(D9=21%,"The maximum ODR DF (on Building Acquisition Costs) portion of the 21% DF above that is NOT subject to any DF adjustments","")</f>
        <v/>
      </c>
      <c r="C69" s="106"/>
      <c r="D69" s="137" t="str">
        <f>IF(D9=21%,ROUNDDOWN((D17*I5),0),"")</f>
        <v/>
      </c>
      <c r="E69" s="133"/>
      <c r="F69" s="137" t="str">
        <f>IF(D9=21%,ROUNDDOWN((D17*I5),0),"")</f>
        <v/>
      </c>
      <c r="G69" s="197"/>
      <c r="H69" s="123"/>
      <c r="I69" s="123"/>
      <c r="J69" s="101"/>
    </row>
    <row r="70" spans="1:10" x14ac:dyDescent="0.2">
      <c r="A70" s="101"/>
      <c r="B70" s="138" t="str">
        <f>IF(D9=21%,"Total maximum ODR DF portion of the 21% DF above that is NOT subject to any DF adjustments","")</f>
        <v/>
      </c>
      <c r="C70" s="139"/>
      <c r="D70" s="140" t="str">
        <f>IF(D68="","",D68+D69)</f>
        <v/>
      </c>
      <c r="E70" s="123"/>
      <c r="F70" s="140" t="str">
        <f>IF(F68="","",F68+F69)</f>
        <v/>
      </c>
      <c r="G70" s="200"/>
      <c r="H70" s="123"/>
      <c r="I70" s="101"/>
      <c r="J70" s="101"/>
    </row>
    <row r="71" spans="1:10" x14ac:dyDescent="0.2">
      <c r="A71" s="101"/>
      <c r="B71" s="138"/>
      <c r="C71" s="139"/>
      <c r="D71" s="141"/>
      <c r="E71" s="123"/>
      <c r="F71" s="123"/>
      <c r="G71" s="200"/>
      <c r="H71" s="123"/>
      <c r="I71" s="101"/>
      <c r="J71" s="101"/>
    </row>
    <row r="72" spans="1:10" hidden="1" outlineLevel="1" x14ac:dyDescent="0.2">
      <c r="B72" s="147" t="s">
        <v>134</v>
      </c>
      <c r="C72" s="148"/>
    </row>
    <row r="73" spans="1:10" hidden="1" outlineLevel="1" x14ac:dyDescent="0.2">
      <c r="C73" s="148"/>
    </row>
    <row r="74" spans="1:10" hidden="1" outlineLevel="1" x14ac:dyDescent="0.2">
      <c r="G74" s="234" t="s">
        <v>245</v>
      </c>
      <c r="H74" s="235" t="s">
        <v>246</v>
      </c>
      <c r="I74" s="235" t="s">
        <v>247</v>
      </c>
      <c r="J74" s="236" t="s">
        <v>248</v>
      </c>
    </row>
    <row r="75" spans="1:10" hidden="1" outlineLevel="1" x14ac:dyDescent="0.2">
      <c r="A75" s="97" t="s">
        <v>82</v>
      </c>
      <c r="B75" s="149">
        <v>0.1</v>
      </c>
      <c r="D75" s="125"/>
      <c r="G75" s="190" t="s">
        <v>267</v>
      </c>
      <c r="H75" s="253"/>
      <c r="I75" s="253">
        <v>0</v>
      </c>
      <c r="J75" s="191">
        <f>I75</f>
        <v>0</v>
      </c>
    </row>
    <row r="76" spans="1:10" hidden="1" outlineLevel="1" x14ac:dyDescent="0.2">
      <c r="A76" s="97" t="s">
        <v>83</v>
      </c>
      <c r="B76" s="150">
        <v>0.16</v>
      </c>
      <c r="D76" s="125"/>
      <c r="G76" s="192" t="s">
        <v>287</v>
      </c>
      <c r="H76" s="257">
        <f>ROUNDDOWN($D$9*H75,0)</f>
        <v>0</v>
      </c>
      <c r="I76" s="258">
        <f>ROUNDDOWN($D$9*I75,0)</f>
        <v>0</v>
      </c>
      <c r="J76" s="193">
        <f>IFERROR(ROUNDDOWN(H76/H81*I81,0),0)</f>
        <v>0</v>
      </c>
    </row>
    <row r="77" spans="1:10" hidden="1" outlineLevel="1" x14ac:dyDescent="0.2">
      <c r="B77" s="150">
        <v>0.18</v>
      </c>
      <c r="D77" s="125"/>
      <c r="G77" s="192" t="s">
        <v>266</v>
      </c>
      <c r="H77" s="261">
        <v>0</v>
      </c>
      <c r="I77" s="258">
        <f>H77</f>
        <v>0</v>
      </c>
      <c r="J77" s="193">
        <f>IFERROR(I77,0)</f>
        <v>0</v>
      </c>
    </row>
    <row r="78" spans="1:10" hidden="1" outlineLevel="1" x14ac:dyDescent="0.2">
      <c r="B78" s="151">
        <v>0.21</v>
      </c>
      <c r="D78" s="125"/>
      <c r="G78" s="192" t="s">
        <v>265</v>
      </c>
      <c r="H78" s="257">
        <f>H76+H77</f>
        <v>0</v>
      </c>
      <c r="I78" s="258">
        <f>I76+I77</f>
        <v>0</v>
      </c>
      <c r="J78" s="193">
        <f>IFERROR(J76+J77,0)</f>
        <v>0</v>
      </c>
    </row>
    <row r="79" spans="1:10" ht="13.15" hidden="1" customHeight="1" outlineLevel="1" x14ac:dyDescent="0.2">
      <c r="D79" s="125"/>
      <c r="G79" s="192" t="s">
        <v>268</v>
      </c>
      <c r="H79" s="259">
        <f>H$78-IF($D$9=21%,H80,0)</f>
        <v>0</v>
      </c>
      <c r="I79" s="260">
        <f>I$78-IF($D$9=21%,I80,0)</f>
        <v>0</v>
      </c>
      <c r="J79" s="193">
        <f>IFERROR(J78-J80,0)</f>
        <v>0</v>
      </c>
    </row>
    <row r="80" spans="1:10" hidden="1" outlineLevel="1" x14ac:dyDescent="0.2">
      <c r="D80" s="125"/>
      <c r="G80" s="194" t="s">
        <v>269</v>
      </c>
      <c r="H80" s="259">
        <f>IF($D$9=21%,ROUNDDOWN(5/21*H$78,0),0)</f>
        <v>0</v>
      </c>
      <c r="I80" s="260">
        <f>IF($D$9=21%,ROUNDDOWN(5/21*I$78,0),0)</f>
        <v>0</v>
      </c>
      <c r="J80" s="193">
        <f>IFERROR(I80,0)</f>
        <v>0</v>
      </c>
    </row>
    <row r="81" spans="7:10" hidden="1" outlineLevel="1" x14ac:dyDescent="0.2">
      <c r="G81" s="188" t="s">
        <v>249</v>
      </c>
      <c r="H81" s="262">
        <v>0</v>
      </c>
      <c r="I81" s="263">
        <v>0</v>
      </c>
      <c r="J81" s="189">
        <f>IFERROR(I81,0)</f>
        <v>0</v>
      </c>
    </row>
    <row r="82" spans="7:10" collapsed="1" x14ac:dyDescent="0.2">
      <c r="G82" s="214" t="str">
        <f>IF(H75=0,"","NA: Non-Acquisition; NADC: Non-Acquisition Development Costs")</f>
        <v/>
      </c>
    </row>
  </sheetData>
  <sheetProtection algorithmName="SHA-512" hashValue="PvMR1eDR3PCcWcfxrnd5t970J5E+OvEWIjEQBQ8oIwy/ss0kD6vp4AUfHup4CJkOLovUgzehkbJl7uR7g7eRmw==" saltValue="hbDVRmFU5iOlLbQb12cuSA==" spinCount="100000" sheet="1" objects="1" scenarios="1"/>
  <mergeCells count="4">
    <mergeCell ref="B1:B2"/>
    <mergeCell ref="I5:I6"/>
    <mergeCell ref="J5:N6"/>
    <mergeCell ref="D1:F1"/>
  </mergeCells>
  <conditionalFormatting sqref="B63:F71">
    <cfRule type="expression" dxfId="44" priority="17">
      <formula>$D$9&lt;&gt;21%</formula>
    </cfRule>
  </conditionalFormatting>
  <conditionalFormatting sqref="B15:G16">
    <cfRule type="expression" dxfId="43" priority="16">
      <formula>$D$14="No"</formula>
    </cfRule>
  </conditionalFormatting>
  <conditionalFormatting sqref="D24">
    <cfRule type="expression" dxfId="42" priority="11">
      <formula>$D$14="No"</formula>
    </cfRule>
  </conditionalFormatting>
  <conditionalFormatting sqref="D36:D38">
    <cfRule type="expression" dxfId="41" priority="3">
      <formula>$D$14="No"</formula>
    </cfRule>
  </conditionalFormatting>
  <conditionalFormatting sqref="D41:D44">
    <cfRule type="expression" dxfId="40" priority="389">
      <formula>$D$35="Yes"</formula>
    </cfRule>
  </conditionalFormatting>
  <conditionalFormatting sqref="D47">
    <cfRule type="expression" dxfId="39" priority="7">
      <formula>$D$46="Yes"</formula>
    </cfRule>
  </conditionalFormatting>
  <conditionalFormatting sqref="F36">
    <cfRule type="cellIs" dxfId="38" priority="2" operator="equal">
      <formula>"NA"</formula>
    </cfRule>
  </conditionalFormatting>
  <conditionalFormatting sqref="F37">
    <cfRule type="cellIs" dxfId="37" priority="1" operator="equal">
      <formula>"NA  "</formula>
    </cfRule>
  </conditionalFormatting>
  <conditionalFormatting sqref="F38">
    <cfRule type="cellIs" dxfId="36" priority="4" operator="equal">
      <formula>"NA"</formula>
    </cfRule>
  </conditionalFormatting>
  <conditionalFormatting sqref="F41:F44">
    <cfRule type="expression" dxfId="35" priority="390">
      <formula>$F$35="Yes"</formula>
    </cfRule>
  </conditionalFormatting>
  <conditionalFormatting sqref="F47">
    <cfRule type="expression" dxfId="34" priority="6">
      <formula>$F$46="Yes"</formula>
    </cfRule>
  </conditionalFormatting>
  <conditionalFormatting sqref="G7:G8">
    <cfRule type="cellIs" dxfId="33" priority="18" operator="equal">
      <formula>"NOT in Balance"</formula>
    </cfRule>
  </conditionalFormatting>
  <conditionalFormatting sqref="G74:J82">
    <cfRule type="expression" dxfId="32" priority="20">
      <formula>$H$75=0</formula>
    </cfRule>
  </conditionalFormatting>
  <conditionalFormatting sqref="H75">
    <cfRule type="cellIs" dxfId="31" priority="14" operator="equal">
      <formula>0</formula>
    </cfRule>
  </conditionalFormatting>
  <printOptions horizontalCentered="1" headings="1" gridLines="1"/>
  <pageMargins left="0.25" right="0.25" top="0.25" bottom="0.25" header="0.3" footer="0.3"/>
  <pageSetup scale="7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N V o f U + q d Q 3 O j A A A A 9 Q A A A B I A H A B D b 2 5 m a W c v U G F j a 2 F n Z S 5 4 b W w g o h g A K K A U A A A A A A A A A A A A A A A A A A A A A A A A A A A A h Y 8 x D o I w G I W v Q r r T l h o T J D 9 l c J X E h G h c m 1 K h E Y q h x X I 3 B 4 / k F c Q o 6 u b 4 v v c N 7 9 2 v N 8 j G t g k u q r e 6 M y m K M E W B M r I r t a l S N L h j G K O M w 1 b I k 6 h U M M n G J q M t U 1 Q 7 d 0 4 I 8 d 5 j v 8 B d X x F G a U Q O + a a Q t W o F + s j 6 v x x q Y 5 0 w U i E O + 9 c Y z v C K 4 m X M M A U y M 8 i 1 + f Z s m v t s f y C s h 8 Y N v e L K h L s C y B y B v C / w B 1 B L A w Q U A A I A C A A 1 W h 9 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V o f U y i K R 7 g O A A A A E Q A A A B M A H A B G b 3 J t d W x h c y 9 T Z W N 0 a W 9 u M S 5 t I K I Y A C i g F A A A A A A A A A A A A A A A A A A A A A A A A A A A A C t O T S 7 J z M 9 T C I b Q h t Y A U E s B A i 0 A F A A C A A g A N V o f U + q d Q 3 O j A A A A 9 Q A A A B I A A A A A A A A A A A A A A A A A A A A A A E N v b m Z p Z y 9 Q Y W N r Y W d l L n h t b F B L A Q I t A B Q A A g A I A D V a H 1 M P y u m r p A A A A O k A A A A T A A A A A A A A A A A A A A A A A O 8 A A A B b Q 2 9 u d G V u d F 9 U e X B l c 1 0 u e G 1 s U E s B A i 0 A F A A C A A g A N V o f U 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6 r x 4 g 5 8 n l M t h n 9 C l z t f e 0 A A A A A A g A A A A A A A 2 Y A A M A A A A A Q A A A A U O 4 y c n C P F h W Z K A N g g M o l S w A A A A A E g A A A o A A A A B A A A A D R p a y Z Q h z G g z z O i q b j Y L q C U A A A A M Q t H 7 S V 7 Y E s N d e r V j T f 9 8 / D s c L z f L o B m E m m / s D r K 1 b H p S 7 t 0 1 9 2 E M i F i o Q N g l 4 D N v a S l Q z 4 i Y M k O P c L X v Z M d 5 B J O D k a i o P n I 3 L R 6 N J U j m N E F A A A A N C C I 7 / A z p 3 1 V Q f c 4 i 3 d Q + v z H B H x < / D a t a M a s h u p > 
</file>

<file path=customXml/itemProps1.xml><?xml version="1.0" encoding="utf-8"?>
<ds:datastoreItem xmlns:ds="http://schemas.openxmlformats.org/officeDocument/2006/customXml" ds:itemID="{995710DA-FC29-475A-ACB7-3CA597AB297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RFA</vt:lpstr>
      <vt:lpstr>Data</vt:lpstr>
      <vt:lpstr>CUR</vt:lpstr>
      <vt:lpstr>Sheet1</vt:lpstr>
      <vt:lpstr>Both CUR &amp; FCCA</vt:lpstr>
      <vt:lpstr>RFA!AddOns</vt:lpstr>
      <vt:lpstr>RFA!AddOns2</vt:lpstr>
      <vt:lpstr>RFA!AppDue</vt:lpstr>
      <vt:lpstr>RFA!Base01</vt:lpstr>
      <vt:lpstr>RFA!Counties</vt:lpstr>
      <vt:lpstr>RFA!Descriptions</vt:lpstr>
      <vt:lpstr>EscalationFactor</vt:lpstr>
      <vt:lpstr>RFA!Identify</vt:lpstr>
      <vt:lpstr>RFA!MultiplierNames</vt:lpstr>
      <vt:lpstr>RFA!MultiplierNumbers</vt:lpstr>
      <vt:lpstr>'Both CUR &amp; FCCA'!Print_Area</vt:lpstr>
      <vt:lpstr>CUR!Print_Area</vt:lpstr>
      <vt:lpstr>RFA!RFAs</vt:lpstr>
      <vt:lpstr>TDC_Table</vt:lpstr>
      <vt:lpstr>RFA!Types</vt:lpstr>
      <vt:lpstr>RFA!Year</vt:lpstr>
      <vt:lpstr>RFA!Years</vt:lpstr>
      <vt:lpstr>RFA!YesNo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Tatreau</dc:creator>
  <cp:lastModifiedBy>Tracy Willis</cp:lastModifiedBy>
  <dcterms:created xsi:type="dcterms:W3CDTF">2021-04-14T14:41:56Z</dcterms:created>
  <dcterms:modified xsi:type="dcterms:W3CDTF">2025-03-14T15:41:31Z</dcterms:modified>
</cp:coreProperties>
</file>